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30" windowHeight="5520" tabRatio="601" activeTab="0"/>
  </bookViews>
  <sheets>
    <sheet name="Janar" sheetId="1" r:id="rId1"/>
    <sheet name="Shkurt" sheetId="2" r:id="rId2"/>
    <sheet name="Mars" sheetId="3" r:id="rId3"/>
    <sheet name="Prill" sheetId="4" r:id="rId4"/>
    <sheet name="Maj" sheetId="5" r:id="rId5"/>
    <sheet name="Qershor" sheetId="6" r:id="rId6"/>
    <sheet name="Koorik" sheetId="7" r:id="rId7"/>
    <sheet name="Gusht" sheetId="8" r:id="rId8"/>
    <sheet name="Shtator" sheetId="9" r:id="rId9"/>
    <sheet name="Tetor" sheetId="10" r:id="rId10"/>
    <sheet name="Nentor" sheetId="11" r:id="rId11"/>
    <sheet name="Dhjetor" sheetId="12" r:id="rId12"/>
  </sheets>
  <definedNames>
    <definedName name="_xlnm.Print_Area" localSheetId="11">'Dhjetor'!$A$1:$BJ$35</definedName>
    <definedName name="_xlnm.Print_Area" localSheetId="7">'Gusht'!$A$2:$CT$35</definedName>
    <definedName name="_xlnm.Print_Area" localSheetId="0">'Janar'!$A$1:$CM$36</definedName>
    <definedName name="_xlnm.Print_Area" localSheetId="6">'Koorik'!$A$1:$BY$35</definedName>
    <definedName name="_xlnm.Print_Area" localSheetId="4">'Maj'!$A$1:$CQ$35</definedName>
    <definedName name="_xlnm.Print_Area" localSheetId="2">'Mars'!$A$1:$CH$35</definedName>
    <definedName name="_xlnm.Print_Area" localSheetId="10">'Nentor'!$A$1:$CH$35</definedName>
    <definedName name="_xlnm.Print_Area" localSheetId="3">'Prill'!$A$1:$CH$35</definedName>
    <definedName name="_xlnm.Print_Area" localSheetId="5">'Qershor'!$A$1:$CM$35</definedName>
    <definedName name="_xlnm.Print_Area" localSheetId="1">'Shkurt'!$A$1:$CH$35</definedName>
    <definedName name="_xlnm.Print_Area" localSheetId="8">'Shtator'!$A$1:$CI$35</definedName>
    <definedName name="_xlnm.Print_Area" localSheetId="9">'Tetor'!$A$1:$CT$35</definedName>
  </definedNames>
  <calcPr fullCalcOnLoad="1"/>
</workbook>
</file>

<file path=xl/sharedStrings.xml><?xml version="1.0" encoding="utf-8"?>
<sst xmlns="http://schemas.openxmlformats.org/spreadsheetml/2006/main" count="4122" uniqueCount="311">
  <si>
    <t xml:space="preserve">         Kurset e Kembimit</t>
  </si>
  <si>
    <t/>
  </si>
  <si>
    <t>Janar' 01</t>
  </si>
  <si>
    <t xml:space="preserve">   </t>
  </si>
  <si>
    <t xml:space="preserve">    DT. 03.01.2001</t>
  </si>
  <si>
    <t xml:space="preserve">    DT. 04.01.2001</t>
  </si>
  <si>
    <t xml:space="preserve">    DT. 05.01.2001</t>
  </si>
  <si>
    <t xml:space="preserve">    DT. 08.01.2001</t>
  </si>
  <si>
    <t xml:space="preserve">    DT. 09.01.2001</t>
  </si>
  <si>
    <t xml:space="preserve">    DT. 10.01.2001</t>
  </si>
  <si>
    <t xml:space="preserve">    DT. 11.01.2001</t>
  </si>
  <si>
    <t xml:space="preserve">    DT. 12.01.2001</t>
  </si>
  <si>
    <t xml:space="preserve">    DT. 15.01.2001</t>
  </si>
  <si>
    <t xml:space="preserve">    DT. 16.01.2001</t>
  </si>
  <si>
    <t xml:space="preserve">    DT. 17.01.2001</t>
  </si>
  <si>
    <t xml:space="preserve">    DT. 18.01.2001</t>
  </si>
  <si>
    <t xml:space="preserve">    DT. 19.01.2001</t>
  </si>
  <si>
    <t xml:space="preserve">    DT. 22.01.2001</t>
  </si>
  <si>
    <t xml:space="preserve">    DT. 23.01.2001</t>
  </si>
  <si>
    <t xml:space="preserve">    DT. 24.01.2001</t>
  </si>
  <si>
    <t xml:space="preserve">    DT. 25.01.2001</t>
  </si>
  <si>
    <t xml:space="preserve">    DT. 26.01.2001</t>
  </si>
  <si>
    <t xml:space="preserve">    DT. 29.01.2001</t>
  </si>
  <si>
    <t xml:space="preserve">    DT. 30.01.2001</t>
  </si>
  <si>
    <t xml:space="preserve">    DT. 31.01.2001</t>
  </si>
  <si>
    <t xml:space="preserve">         KURSI  MESATAR</t>
  </si>
  <si>
    <t>Kursi</t>
  </si>
  <si>
    <t>Kursi i</t>
  </si>
  <si>
    <t>Lloji i Monedhave</t>
  </si>
  <si>
    <t>Kundrejt</t>
  </si>
  <si>
    <t>Ne Tregun</t>
  </si>
  <si>
    <t>Valutave</t>
  </si>
  <si>
    <t>Lekut</t>
  </si>
  <si>
    <t>USD</t>
  </si>
  <si>
    <t>Lire</t>
  </si>
  <si>
    <t xml:space="preserve">Kundrejt </t>
  </si>
  <si>
    <t>(sipas fix.)</t>
  </si>
  <si>
    <t xml:space="preserve"> </t>
  </si>
  <si>
    <t>Marka Gjermane (DEM)</t>
  </si>
  <si>
    <t>Jeni Japonez (per 100) (JPY)</t>
  </si>
  <si>
    <t>Sterlina Angleze (GBP)</t>
  </si>
  <si>
    <t>Franga Zvicerane (CHF)</t>
  </si>
  <si>
    <t>Franga Franceze (FRF)</t>
  </si>
  <si>
    <t>Gulden Hollandez (NLG)</t>
  </si>
  <si>
    <t>Lira Italiane (per 1000) (ITL)</t>
  </si>
  <si>
    <t>Franga Belge (BEF)</t>
  </si>
  <si>
    <t>E U R O</t>
  </si>
  <si>
    <t>Ari (oz)</t>
  </si>
  <si>
    <t>Argjendi (oz)</t>
  </si>
  <si>
    <t>Dollare Australian (AUD)</t>
  </si>
  <si>
    <t>Dollar Kanadez (CAD)</t>
  </si>
  <si>
    <t>Shilinge Austriake (ATS)</t>
  </si>
  <si>
    <t>Peseta Spanj.(per 100) (ESP)</t>
  </si>
  <si>
    <t>Korona Suedeze (SEK)</t>
  </si>
  <si>
    <t>Korona Norvegjeze (NOK)</t>
  </si>
  <si>
    <t>Korona Daneze (DKK)</t>
  </si>
  <si>
    <t>Marku Finlandez (FIM)</t>
  </si>
  <si>
    <t>Eskudo Portug.(per 100) (PTE)</t>
  </si>
  <si>
    <t>Spec Drawing RIGH</t>
  </si>
  <si>
    <t>Dhrahmi Greke (per 100) (GRD)</t>
  </si>
  <si>
    <t>Dollari Amerikan (USD)</t>
  </si>
  <si>
    <t xml:space="preserve">    DT. 01.02.2001</t>
  </si>
  <si>
    <t xml:space="preserve">    DT. 02.02.2001</t>
  </si>
  <si>
    <t xml:space="preserve">    DT. 01.06.2000</t>
  </si>
  <si>
    <t>Peseta Spanj. (per 100) (ESP)</t>
  </si>
  <si>
    <t xml:space="preserve">    DT. 11.12.2000</t>
  </si>
  <si>
    <t xml:space="preserve">    DT. 12.12.2000</t>
  </si>
  <si>
    <t xml:space="preserve">    DT. 13.12.2000</t>
  </si>
  <si>
    <t xml:space="preserve">    DT. 05.02.2001</t>
  </si>
  <si>
    <t xml:space="preserve">    DT. 06.02.2001</t>
  </si>
  <si>
    <t xml:space="preserve">    DT. 07.02.2001</t>
  </si>
  <si>
    <t xml:space="preserve">    DT. 08.02.2001</t>
  </si>
  <si>
    <t xml:space="preserve">    DT. 09.02.2001</t>
  </si>
  <si>
    <t xml:space="preserve">    DT. 12.02.2001</t>
  </si>
  <si>
    <t xml:space="preserve">    DT. 13.02.2001</t>
  </si>
  <si>
    <t xml:space="preserve">    DT. 14.02.2001</t>
  </si>
  <si>
    <t xml:space="preserve">    DT. 15.02.2001</t>
  </si>
  <si>
    <t xml:space="preserve">    DT. 16.02.2001</t>
  </si>
  <si>
    <t xml:space="preserve">    DT. 19.02.2001</t>
  </si>
  <si>
    <t xml:space="preserve">    DT. 20.02.2001</t>
  </si>
  <si>
    <t xml:space="preserve">    DT. 21.02.2001</t>
  </si>
  <si>
    <t xml:space="preserve">    DT. 22.02.2001</t>
  </si>
  <si>
    <t xml:space="preserve">    DT. 23.02.2001</t>
  </si>
  <si>
    <t xml:space="preserve">    DT. 26.02.2001</t>
  </si>
  <si>
    <t xml:space="preserve">    DT. 27.02.2001</t>
  </si>
  <si>
    <t xml:space="preserve">    DT. 28.02.2001</t>
  </si>
  <si>
    <t>Mars' 2001</t>
  </si>
  <si>
    <t xml:space="preserve">    DT. 01.03.2001</t>
  </si>
  <si>
    <t xml:space="preserve">    DT. 02.03.2001</t>
  </si>
  <si>
    <t xml:space="preserve">    DT. 06.03.2001</t>
  </si>
  <si>
    <t xml:space="preserve">    DT. 07.03.2001</t>
  </si>
  <si>
    <t xml:space="preserve">    DT. 08.03.2001</t>
  </si>
  <si>
    <t xml:space="preserve">    DT. 09.03.2001</t>
  </si>
  <si>
    <t xml:space="preserve">    DT. 12.03.2001</t>
  </si>
  <si>
    <t xml:space="preserve">    DT. 13.03.2001</t>
  </si>
  <si>
    <t xml:space="preserve">    DT. 14.03.2001</t>
  </si>
  <si>
    <t xml:space="preserve">    DT. 15.03.2001</t>
  </si>
  <si>
    <t xml:space="preserve">    DT. 16.03.2001</t>
  </si>
  <si>
    <t xml:space="preserve">    DT. 19.03.2001</t>
  </si>
  <si>
    <t xml:space="preserve">    DT. 20.03.2001</t>
  </si>
  <si>
    <t xml:space="preserve">    DT. 21.03.2001</t>
  </si>
  <si>
    <t xml:space="preserve">    DT. 23.03.2001</t>
  </si>
  <si>
    <t xml:space="preserve">    DT. 26.03.2001</t>
  </si>
  <si>
    <t xml:space="preserve">    DT. 27.03.2001</t>
  </si>
  <si>
    <t xml:space="preserve">    DT. 28.03.2001</t>
  </si>
  <si>
    <t xml:space="preserve">    DT. 29.03.2001</t>
  </si>
  <si>
    <t>KURSI  MESATAR</t>
  </si>
  <si>
    <t>Faleminderit per bashkpunimin</t>
  </si>
  <si>
    <t>informacionin ne lidhje me kurset</t>
  </si>
  <si>
    <t>dergoni prane Departamentit te Teknologjise dhe Informaciont</t>
  </si>
  <si>
    <t xml:space="preserve">( per rezerven e detyrueshme dhe bilancin ) t'jua dergojme me Mail </t>
  </si>
  <si>
    <t xml:space="preserve">Sektori i Informacionit adresat t'uaja te Mailit. </t>
  </si>
  <si>
    <t xml:space="preserve">Shenim: Ju lutemi qe ne vazhdim ne se eshte e mundur qe </t>
  </si>
  <si>
    <t>Shkurt' 2001</t>
  </si>
  <si>
    <t xml:space="preserve">    DT. 30.03.2001</t>
  </si>
  <si>
    <t>Prill' 2001</t>
  </si>
  <si>
    <t xml:space="preserve">    DT. 02.04.2001</t>
  </si>
  <si>
    <t xml:space="preserve">    DT. 03.04.2001</t>
  </si>
  <si>
    <t xml:space="preserve">    DT. 04.04.2001</t>
  </si>
  <si>
    <t xml:space="preserve">    DT. 05.04.2001</t>
  </si>
  <si>
    <t xml:space="preserve">    DT. 06.04.2001</t>
  </si>
  <si>
    <t xml:space="preserve">    DT. 09.04.2001</t>
  </si>
  <si>
    <t xml:space="preserve">    DT. 10.04.2001</t>
  </si>
  <si>
    <t xml:space="preserve">    DT. 11.04.2001</t>
  </si>
  <si>
    <t xml:space="preserve">    DT. 12.04.2001</t>
  </si>
  <si>
    <t xml:space="preserve">    DT. 13.04.2001</t>
  </si>
  <si>
    <t xml:space="preserve">    DT. 17.04.2001</t>
  </si>
  <si>
    <t xml:space="preserve">    DT. 18.04.2001</t>
  </si>
  <si>
    <t xml:space="preserve">    DT. 19.04.2001</t>
  </si>
  <si>
    <t xml:space="preserve">    DT. 20.04.2001</t>
  </si>
  <si>
    <t xml:space="preserve">    DT. 23.04.2001</t>
  </si>
  <si>
    <t xml:space="preserve">    DT. 24.04.2001</t>
  </si>
  <si>
    <t xml:space="preserve">    DT. 25.04.2001</t>
  </si>
  <si>
    <t xml:space="preserve">    DT. 26.04.2001</t>
  </si>
  <si>
    <t xml:space="preserve">    DT. 27.04.2001</t>
  </si>
  <si>
    <t xml:space="preserve">    DT. 30.04.2001</t>
  </si>
  <si>
    <t xml:space="preserve">    DT. 02.05.2001</t>
  </si>
  <si>
    <t>Maj' 2001</t>
  </si>
  <si>
    <t xml:space="preserve">    DT. 03.05.2001</t>
  </si>
  <si>
    <t xml:space="preserve">    DT. 04.05.2001</t>
  </si>
  <si>
    <t xml:space="preserve">    DT. 07.05.2001</t>
  </si>
  <si>
    <t xml:space="preserve">    DT. 08.05.2001</t>
  </si>
  <si>
    <t xml:space="preserve">    DT. 09.05.2001</t>
  </si>
  <si>
    <t xml:space="preserve">    DT. 10.05.2001</t>
  </si>
  <si>
    <t xml:space="preserve">    DT. 11.05.2001</t>
  </si>
  <si>
    <t xml:space="preserve">    DT. 14.05.2001</t>
  </si>
  <si>
    <t xml:space="preserve">    DT. 15.05.2001</t>
  </si>
  <si>
    <t xml:space="preserve">    DT. 16.05.2001</t>
  </si>
  <si>
    <t xml:space="preserve">    DT. 17.05.2001</t>
  </si>
  <si>
    <t xml:space="preserve">    DT. 18.05.2001</t>
  </si>
  <si>
    <t xml:space="preserve">    DT. 21.05.2001</t>
  </si>
  <si>
    <t xml:space="preserve">    DT. 22.05.2001</t>
  </si>
  <si>
    <t xml:space="preserve">    DT. 23.05.2001</t>
  </si>
  <si>
    <t xml:space="preserve">    DT. 24.05.2001</t>
  </si>
  <si>
    <t xml:space="preserve">    DT. 25.05.2001</t>
  </si>
  <si>
    <t xml:space="preserve">    DT. 28.05.2001</t>
  </si>
  <si>
    <t xml:space="preserve">    DT. 29.05.2001</t>
  </si>
  <si>
    <t xml:space="preserve">    DT. 30.05.2001</t>
  </si>
  <si>
    <t xml:space="preserve">    DT. 31.05.2001</t>
  </si>
  <si>
    <t xml:space="preserve">  KURSI  MESATAR</t>
  </si>
  <si>
    <t>Qershor' 2001</t>
  </si>
  <si>
    <t xml:space="preserve">    DT. 04.06.2001</t>
  </si>
  <si>
    <t xml:space="preserve">    DT. 05.06.2001</t>
  </si>
  <si>
    <t xml:space="preserve">    DT. 06.06.2001</t>
  </si>
  <si>
    <t xml:space="preserve">    DT. 07.06.2001</t>
  </si>
  <si>
    <t xml:space="preserve">    DT. 08.06.2001</t>
  </si>
  <si>
    <t xml:space="preserve">    DT. 11.06.2001</t>
  </si>
  <si>
    <t xml:space="preserve">    DT. 12.06.2001</t>
  </si>
  <si>
    <t xml:space="preserve">    DT. 13.06.2001</t>
  </si>
  <si>
    <t xml:space="preserve">    DT. 14.06.2001</t>
  </si>
  <si>
    <t xml:space="preserve">    DT. 15.06.2001</t>
  </si>
  <si>
    <t xml:space="preserve">    DT. 18.06.2001</t>
  </si>
  <si>
    <t xml:space="preserve">    DT. 19.06.2001</t>
  </si>
  <si>
    <t xml:space="preserve">    DT. 20.06.2001</t>
  </si>
  <si>
    <t xml:space="preserve">    DT. 21.06.2001</t>
  </si>
  <si>
    <t xml:space="preserve">    DT. 22.06.2001</t>
  </si>
  <si>
    <t xml:space="preserve">    DT. 25.06.2001</t>
  </si>
  <si>
    <t xml:space="preserve">    DT. 26.06.2001</t>
  </si>
  <si>
    <t xml:space="preserve">    DT. 27.06.2001</t>
  </si>
  <si>
    <t xml:space="preserve">    DT. 28.06.2001</t>
  </si>
  <si>
    <t xml:space="preserve">    DT. 29.06.2001</t>
  </si>
  <si>
    <t>Korrik' 2001</t>
  </si>
  <si>
    <t xml:space="preserve">    DT. 02.07.2001</t>
  </si>
  <si>
    <t xml:space="preserve">    DT. 03.07.2001</t>
  </si>
  <si>
    <t xml:space="preserve">    DT. 04.07.2001</t>
  </si>
  <si>
    <t xml:space="preserve">    DT. 05.07.2001</t>
  </si>
  <si>
    <t xml:space="preserve">    DT. 06.07.2001</t>
  </si>
  <si>
    <t xml:space="preserve">    DT. 09.07.2001</t>
  </si>
  <si>
    <t xml:space="preserve">    DT. 10.07.2001</t>
  </si>
  <si>
    <t xml:space="preserve">    DT. 11.07.2001</t>
  </si>
  <si>
    <t xml:space="preserve">    DT. 12.07.2001</t>
  </si>
  <si>
    <t xml:space="preserve">    DT. 13.07.2001</t>
  </si>
  <si>
    <t xml:space="preserve">    DT. 16.07.2001</t>
  </si>
  <si>
    <t xml:space="preserve">    DT. 17.07.2001</t>
  </si>
  <si>
    <t xml:space="preserve">    DT. 18.07.2001</t>
  </si>
  <si>
    <t xml:space="preserve">    DT. 19.07.2001</t>
  </si>
  <si>
    <t xml:space="preserve">    DT. 20.07.2001</t>
  </si>
  <si>
    <t xml:space="preserve">    DT. 23.07.2001</t>
  </si>
  <si>
    <t xml:space="preserve">    DT. 24.07.2001</t>
  </si>
  <si>
    <t xml:space="preserve">    DT. 25.07.2001</t>
  </si>
  <si>
    <t xml:space="preserve">    DT. 26.07.2001</t>
  </si>
  <si>
    <t xml:space="preserve">    DT. 27.07.2001</t>
  </si>
  <si>
    <t xml:space="preserve">    DT. 30.07.2001</t>
  </si>
  <si>
    <t xml:space="preserve">    DT. 31.07.2001</t>
  </si>
  <si>
    <t>Gusht' 2001</t>
  </si>
  <si>
    <t xml:space="preserve">    DT. 01.08.2001</t>
  </si>
  <si>
    <t xml:space="preserve">    DT. 02.08.2001</t>
  </si>
  <si>
    <t xml:space="preserve">    DT. 03.08.2001</t>
  </si>
  <si>
    <t xml:space="preserve">    DT. 06.08.2001</t>
  </si>
  <si>
    <t xml:space="preserve">    DT. 07.08.2001</t>
  </si>
  <si>
    <t xml:space="preserve">    DT. 8.08.2001</t>
  </si>
  <si>
    <t xml:space="preserve">    DT. 9.08.2001</t>
  </si>
  <si>
    <t xml:space="preserve">    DT. 10.08.2001</t>
  </si>
  <si>
    <t xml:space="preserve">    DT. 13.08.2001</t>
  </si>
  <si>
    <t xml:space="preserve">    DT. 14.08.2001</t>
  </si>
  <si>
    <t xml:space="preserve">    DT. 15.08.2001</t>
  </si>
  <si>
    <t xml:space="preserve">    DT. 16.08.2001</t>
  </si>
  <si>
    <t xml:space="preserve">    DT. 17.08.2001</t>
  </si>
  <si>
    <t xml:space="preserve">    DT. 20.08.2001</t>
  </si>
  <si>
    <t xml:space="preserve">    DT. 21.08.2001</t>
  </si>
  <si>
    <t xml:space="preserve">    DT. 22.08.2001</t>
  </si>
  <si>
    <t xml:space="preserve">    DT. 23.08.2001</t>
  </si>
  <si>
    <t xml:space="preserve">    DT. 24.08.2001</t>
  </si>
  <si>
    <t xml:space="preserve">    DT. 27.08.2001</t>
  </si>
  <si>
    <t xml:space="preserve">    DT. 28.08.2001</t>
  </si>
  <si>
    <t xml:space="preserve">    DT. 29.08.2001</t>
  </si>
  <si>
    <t xml:space="preserve">    DT. 30.08.2001</t>
  </si>
  <si>
    <t xml:space="preserve">    DT. 31.08.2001</t>
  </si>
  <si>
    <t>Shtator' 2001</t>
  </si>
  <si>
    <t xml:space="preserve">    DT. 03.09.2001</t>
  </si>
  <si>
    <t xml:space="preserve">    DT. 04.09.2001</t>
  </si>
  <si>
    <t xml:space="preserve">    DT. 05.09.2001</t>
  </si>
  <si>
    <t xml:space="preserve">    DT. 06.09.2001</t>
  </si>
  <si>
    <t xml:space="preserve">    DT. 07.09.2001</t>
  </si>
  <si>
    <t xml:space="preserve">    DT. 10.09.2001</t>
  </si>
  <si>
    <t xml:space="preserve">    DT. 11.09.2001</t>
  </si>
  <si>
    <t xml:space="preserve">    DT. 12.09.2001</t>
  </si>
  <si>
    <t xml:space="preserve">    DT. 13.09.2001</t>
  </si>
  <si>
    <t xml:space="preserve">    DT. 14.09.2001</t>
  </si>
  <si>
    <t xml:space="preserve">    DT. 17.09.2001</t>
  </si>
  <si>
    <t xml:space="preserve">    DT. 18.09.2001</t>
  </si>
  <si>
    <t xml:space="preserve">    DT. 19.09.2001</t>
  </si>
  <si>
    <t xml:space="preserve">    DT. 20.09.2001</t>
  </si>
  <si>
    <t xml:space="preserve">    DT. 21.09.2001</t>
  </si>
  <si>
    <t xml:space="preserve">    DT. 24.09.2001</t>
  </si>
  <si>
    <t xml:space="preserve">    DT. 25.09.2001</t>
  </si>
  <si>
    <t xml:space="preserve">    DT. 26.09.2001</t>
  </si>
  <si>
    <t xml:space="preserve">    DT. 27.09.2001</t>
  </si>
  <si>
    <t xml:space="preserve">    DT. 28.09.2001</t>
  </si>
  <si>
    <t>Tetor' 2001</t>
  </si>
  <si>
    <t xml:space="preserve">    DT. 01.10.2001</t>
  </si>
  <si>
    <t xml:space="preserve">    DT. 02.10.2001</t>
  </si>
  <si>
    <t xml:space="preserve">    DT. 03.10.2001</t>
  </si>
  <si>
    <t xml:space="preserve">    DT. 04.10.2001</t>
  </si>
  <si>
    <t xml:space="preserve">    DT. 05.10.2001</t>
  </si>
  <si>
    <t xml:space="preserve">    DT. 08.10.2001</t>
  </si>
  <si>
    <t xml:space="preserve">    DT. 09.10.2001</t>
  </si>
  <si>
    <t xml:space="preserve">    DT. 10.10.2001</t>
  </si>
  <si>
    <t xml:space="preserve">    DT. 11.10.2001</t>
  </si>
  <si>
    <t xml:space="preserve">    DT. 12.10.2001</t>
  </si>
  <si>
    <t xml:space="preserve">    DT. 15.10.2001</t>
  </si>
  <si>
    <t xml:space="preserve">    DT. 16.10.2001</t>
  </si>
  <si>
    <t xml:space="preserve">    DT. 17.10.2001</t>
  </si>
  <si>
    <t xml:space="preserve">    DT. 18.10.2001</t>
  </si>
  <si>
    <t xml:space="preserve">    DT. 19.10.2001</t>
  </si>
  <si>
    <t xml:space="preserve">    DT. 22.10.2001</t>
  </si>
  <si>
    <t xml:space="preserve">    DT. 23.10.2001</t>
  </si>
  <si>
    <t xml:space="preserve">    DT. 24.10.2001</t>
  </si>
  <si>
    <t xml:space="preserve">    DT. 25.10.2001</t>
  </si>
  <si>
    <t xml:space="preserve">    DT. 26.10.2001</t>
  </si>
  <si>
    <t xml:space="preserve">    DT. 29.10.2001</t>
  </si>
  <si>
    <t xml:space="preserve">    DT. 30.10.2001</t>
  </si>
  <si>
    <t xml:space="preserve">    DT. 31.10.2001</t>
  </si>
  <si>
    <t>Nentor' 2001</t>
  </si>
  <si>
    <t xml:space="preserve">    DT. 01.11.2001</t>
  </si>
  <si>
    <t xml:space="preserve">    DT. 02.11.2001</t>
  </si>
  <si>
    <t xml:space="preserve">    DT. 05.11.2001</t>
  </si>
  <si>
    <t xml:space="preserve">    DT. 06.11.2001</t>
  </si>
  <si>
    <t xml:space="preserve">    DT. 07.11.2001</t>
  </si>
  <si>
    <t xml:space="preserve">    DT. 08.11.2001</t>
  </si>
  <si>
    <t xml:space="preserve">    DT. 09.11.2001</t>
  </si>
  <si>
    <t xml:space="preserve">    DT. 12.11.2001</t>
  </si>
  <si>
    <t xml:space="preserve">    DT. 13.11.2001</t>
  </si>
  <si>
    <t xml:space="preserve">    DT. 14.11.2001</t>
  </si>
  <si>
    <t xml:space="preserve">    DT. 15.11.2001</t>
  </si>
  <si>
    <t xml:space="preserve">    DT. 16.11.2001</t>
  </si>
  <si>
    <t xml:space="preserve">    DT. 19.11.2001</t>
  </si>
  <si>
    <t xml:space="preserve">    DT. 20.11.2001</t>
  </si>
  <si>
    <t xml:space="preserve">    DT. 21.11.2001</t>
  </si>
  <si>
    <t xml:space="preserve">    DT. 22.11.2001</t>
  </si>
  <si>
    <t xml:space="preserve">    DT. 23.11.2001</t>
  </si>
  <si>
    <t xml:space="preserve">    DT. 26.11.2001</t>
  </si>
  <si>
    <t xml:space="preserve">    DT. 27.11.2001</t>
  </si>
  <si>
    <t xml:space="preserve">    DT. 30.11.2001</t>
  </si>
  <si>
    <t>Dhjetor' 2001</t>
  </si>
  <si>
    <t xml:space="preserve">    DT. 03.12.2001</t>
  </si>
  <si>
    <t xml:space="preserve">    DT. 04.12.2001</t>
  </si>
  <si>
    <t xml:space="preserve">    DT. 05.12.2001</t>
  </si>
  <si>
    <t xml:space="preserve">    DT. 06.12.2001</t>
  </si>
  <si>
    <t xml:space="preserve">    DT. 07.12.2001</t>
  </si>
  <si>
    <t xml:space="preserve">    DT. 10.12.2001</t>
  </si>
  <si>
    <t xml:space="preserve">    DT. 14.12.2001</t>
  </si>
  <si>
    <t xml:space="preserve">    DT. 18.12.2001</t>
  </si>
  <si>
    <t xml:space="preserve">    DT. 19.12.2001</t>
  </si>
  <si>
    <t xml:space="preserve">    DT. 20.12.2001</t>
  </si>
  <si>
    <t xml:space="preserve">    DT. 21.12.2001</t>
  </si>
  <si>
    <t xml:space="preserve">    DT. 24.12.2001</t>
  </si>
  <si>
    <t xml:space="preserve">    DT. 26.12.2001</t>
  </si>
  <si>
    <t xml:space="preserve">    DT. 27.12.2001</t>
  </si>
  <si>
    <t xml:space="preserve">    DT. 28.12.2001</t>
  </si>
  <si>
    <t xml:space="preserve">    DT. 31.12.2001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</si>
</sst>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_)"/>
    <numFmt numFmtId="173" formatCode="0.000_)"/>
    <numFmt numFmtId="174" formatCode="0.00_)"/>
    <numFmt numFmtId="175" formatCode="0.00000_)"/>
    <numFmt numFmtId="176" formatCode="0.0000_)"/>
    <numFmt numFmtId="177" formatCode="0.000"/>
    <numFmt numFmtId="178" formatCode="0.0000"/>
    <numFmt numFmtId="179" formatCode="0.0_)"/>
    <numFmt numFmtId="180" formatCode="0_)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54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2"/>
      <name val="Tms Rmn"/>
      <family val="0"/>
    </font>
    <font>
      <b/>
      <sz val="10"/>
      <color indexed="12"/>
      <name val="Tms Rmn"/>
      <family val="0"/>
    </font>
    <font>
      <sz val="10"/>
      <color indexed="12"/>
      <name val="Arial MT"/>
      <family val="0"/>
    </font>
    <font>
      <sz val="10"/>
      <color indexed="12"/>
      <name val="Helv"/>
      <family val="0"/>
    </font>
    <font>
      <b/>
      <sz val="10"/>
      <color indexed="12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2"/>
      <name val="Tms Rmn"/>
      <family val="0"/>
    </font>
    <font>
      <sz val="12"/>
      <color indexed="12"/>
      <name val="Tms Rmn"/>
      <family val="0"/>
    </font>
    <font>
      <sz val="12"/>
      <name val="Helv"/>
      <family val="0"/>
    </font>
    <font>
      <sz val="12"/>
      <color indexed="12"/>
      <name val="Arial MT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10"/>
      <color indexed="10"/>
      <name val="Helv"/>
      <family val="0"/>
    </font>
    <font>
      <b/>
      <sz val="14"/>
      <color indexed="12"/>
      <name val="Times New Roman"/>
      <family val="1"/>
    </font>
    <font>
      <u val="single"/>
      <sz val="7.5"/>
      <color indexed="12"/>
      <name val="Helv"/>
      <family val="0"/>
    </font>
    <font>
      <u val="single"/>
      <sz val="7.5"/>
      <color indexed="36"/>
      <name val="Helv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4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01">
    <xf numFmtId="172" fontId="0" fillId="0" borderId="0" xfId="0" applyAlignment="1">
      <alignment/>
    </xf>
    <xf numFmtId="172" fontId="8" fillId="0" borderId="0" xfId="0" applyFont="1" applyAlignment="1">
      <alignment/>
    </xf>
    <xf numFmtId="173" fontId="6" fillId="0" borderId="0" xfId="0" applyNumberFormat="1" applyFont="1" applyAlignment="1" applyProtection="1">
      <alignment horizontal="left"/>
      <protection/>
    </xf>
    <xf numFmtId="173" fontId="6" fillId="0" borderId="0" xfId="0" applyNumberFormat="1" applyFont="1" applyAlignment="1" applyProtection="1">
      <alignment/>
      <protection/>
    </xf>
    <xf numFmtId="173" fontId="5" fillId="0" borderId="0" xfId="0" applyNumberFormat="1" applyFont="1" applyAlignment="1" applyProtection="1">
      <alignment/>
      <protection/>
    </xf>
    <xf numFmtId="173" fontId="5" fillId="0" borderId="0" xfId="0" applyNumberFormat="1" applyFont="1" applyAlignment="1" applyProtection="1">
      <alignment horizontal="left"/>
      <protection/>
    </xf>
    <xf numFmtId="173" fontId="7" fillId="0" borderId="0" xfId="0" applyNumberFormat="1" applyFont="1" applyAlignment="1" applyProtection="1">
      <alignment/>
      <protection/>
    </xf>
    <xf numFmtId="173" fontId="5" fillId="0" borderId="10" xfId="0" applyNumberFormat="1" applyFont="1" applyBorder="1" applyAlignment="1" applyProtection="1">
      <alignment/>
      <protection/>
    </xf>
    <xf numFmtId="173" fontId="5" fillId="0" borderId="0" xfId="0" applyNumberFormat="1" applyFont="1" applyAlignment="1" applyProtection="1">
      <alignment horizontal="center"/>
      <protection/>
    </xf>
    <xf numFmtId="173" fontId="6" fillId="0" borderId="0" xfId="0" applyNumberFormat="1" applyFont="1" applyAlignment="1" applyProtection="1">
      <alignment horizontal="center"/>
      <protection/>
    </xf>
    <xf numFmtId="173" fontId="5" fillId="0" borderId="10" xfId="0" applyNumberFormat="1" applyFont="1" applyBorder="1" applyAlignment="1" applyProtection="1">
      <alignment horizontal="left"/>
      <protection/>
    </xf>
    <xf numFmtId="172" fontId="8" fillId="0" borderId="0" xfId="0" applyNumberFormat="1" applyFont="1" applyAlignment="1" applyProtection="1">
      <alignment/>
      <protection/>
    </xf>
    <xf numFmtId="173" fontId="8" fillId="0" borderId="0" xfId="0" applyNumberFormat="1" applyFont="1" applyAlignment="1" applyProtection="1">
      <alignment/>
      <protection/>
    </xf>
    <xf numFmtId="173" fontId="5" fillId="0" borderId="11" xfId="0" applyNumberFormat="1" applyFont="1" applyBorder="1" applyAlignment="1" applyProtection="1">
      <alignment/>
      <protection/>
    </xf>
    <xf numFmtId="172" fontId="8" fillId="0" borderId="0" xfId="0" applyFont="1" applyBorder="1" applyAlignment="1">
      <alignment/>
    </xf>
    <xf numFmtId="172" fontId="5" fillId="0" borderId="0" xfId="0" applyFont="1" applyAlignment="1">
      <alignment/>
    </xf>
    <xf numFmtId="174" fontId="5" fillId="0" borderId="0" xfId="0" applyNumberFormat="1" applyFont="1" applyAlignment="1" applyProtection="1">
      <alignment/>
      <protection/>
    </xf>
    <xf numFmtId="175" fontId="5" fillId="0" borderId="0" xfId="0" applyNumberFormat="1" applyFont="1" applyAlignment="1" applyProtection="1">
      <alignment/>
      <protection/>
    </xf>
    <xf numFmtId="173" fontId="6" fillId="0" borderId="0" xfId="0" applyNumberFormat="1" applyFont="1" applyBorder="1" applyAlignment="1" applyProtection="1">
      <alignment horizontal="left"/>
      <protection/>
    </xf>
    <xf numFmtId="173" fontId="6" fillId="0" borderId="0" xfId="0" applyNumberFormat="1" applyFont="1" applyBorder="1" applyAlignment="1" applyProtection="1">
      <alignment/>
      <protection/>
    </xf>
    <xf numFmtId="173" fontId="7" fillId="0" borderId="0" xfId="0" applyNumberFormat="1" applyFont="1" applyBorder="1" applyAlignment="1" applyProtection="1">
      <alignment/>
      <protection/>
    </xf>
    <xf numFmtId="172" fontId="0" fillId="0" borderId="0" xfId="0" applyBorder="1" applyAlignment="1">
      <alignment/>
    </xf>
    <xf numFmtId="173" fontId="5" fillId="0" borderId="0" xfId="0" applyNumberFormat="1" applyFont="1" applyBorder="1" applyAlignment="1" applyProtection="1">
      <alignment horizontal="center"/>
      <protection/>
    </xf>
    <xf numFmtId="173" fontId="5" fillId="0" borderId="0" xfId="0" applyNumberFormat="1" applyFont="1" applyBorder="1" applyAlignment="1" applyProtection="1">
      <alignment/>
      <protection/>
    </xf>
    <xf numFmtId="173" fontId="5" fillId="0" borderId="12" xfId="0" applyNumberFormat="1" applyFont="1" applyBorder="1" applyAlignment="1" applyProtection="1">
      <alignment/>
      <protection/>
    </xf>
    <xf numFmtId="173" fontId="5" fillId="0" borderId="0" xfId="0" applyNumberFormat="1" applyFont="1" applyAlignment="1" applyProtection="1">
      <alignment horizontal="right"/>
      <protection/>
    </xf>
    <xf numFmtId="37" fontId="9" fillId="0" borderId="0" xfId="0" applyNumberFormat="1" applyFont="1" applyAlignment="1" applyProtection="1">
      <alignment/>
      <protection/>
    </xf>
    <xf numFmtId="173" fontId="9" fillId="0" borderId="0" xfId="0" applyNumberFormat="1" applyFont="1" applyAlignment="1" applyProtection="1">
      <alignment horizontal="left"/>
      <protection/>
    </xf>
    <xf numFmtId="172" fontId="9" fillId="0" borderId="0" xfId="0" applyNumberFormat="1" applyFont="1" applyAlignment="1" applyProtection="1">
      <alignment horizontal="left"/>
      <protection/>
    </xf>
    <xf numFmtId="37" fontId="9" fillId="0" borderId="11" xfId="0" applyNumberFormat="1" applyFont="1" applyBorder="1" applyAlignment="1" applyProtection="1">
      <alignment/>
      <protection/>
    </xf>
    <xf numFmtId="173" fontId="9" fillId="0" borderId="11" xfId="0" applyNumberFormat="1" applyFont="1" applyBorder="1" applyAlignment="1" applyProtection="1">
      <alignment horizontal="left"/>
      <protection/>
    </xf>
    <xf numFmtId="173" fontId="6" fillId="0" borderId="10" xfId="0" applyNumberFormat="1" applyFont="1" applyBorder="1" applyAlignment="1" applyProtection="1">
      <alignment/>
      <protection/>
    </xf>
    <xf numFmtId="173" fontId="10" fillId="0" borderId="0" xfId="0" applyNumberFormat="1" applyFont="1" applyAlignment="1" applyProtection="1">
      <alignment/>
      <protection/>
    </xf>
    <xf numFmtId="173" fontId="10" fillId="0" borderId="0" xfId="0" applyNumberFormat="1" applyFont="1" applyAlignment="1" applyProtection="1">
      <alignment horizontal="right"/>
      <protection/>
    </xf>
    <xf numFmtId="172" fontId="0" fillId="0" borderId="0" xfId="0" applyFont="1" applyAlignment="1">
      <alignment/>
    </xf>
    <xf numFmtId="172" fontId="0" fillId="0" borderId="0" xfId="0" applyFont="1" applyBorder="1" applyAlignment="1">
      <alignment/>
    </xf>
    <xf numFmtId="177" fontId="5" fillId="0" borderId="0" xfId="0" applyNumberFormat="1" applyFont="1" applyAlignment="1" applyProtection="1">
      <alignment/>
      <protection/>
    </xf>
    <xf numFmtId="177" fontId="5" fillId="0" borderId="11" xfId="0" applyNumberFormat="1" applyFont="1" applyBorder="1" applyAlignment="1" applyProtection="1">
      <alignment/>
      <protection/>
    </xf>
    <xf numFmtId="177" fontId="5" fillId="0" borderId="12" xfId="0" applyNumberFormat="1" applyFont="1" applyBorder="1" applyAlignment="1" applyProtection="1">
      <alignment/>
      <protection/>
    </xf>
    <xf numFmtId="174" fontId="5" fillId="0" borderId="11" xfId="0" applyNumberFormat="1" applyFont="1" applyBorder="1" applyAlignment="1" applyProtection="1">
      <alignment/>
      <protection/>
    </xf>
    <xf numFmtId="174" fontId="5" fillId="0" borderId="12" xfId="0" applyNumberFormat="1" applyFont="1" applyBorder="1" applyAlignment="1" applyProtection="1">
      <alignment/>
      <protection/>
    </xf>
    <xf numFmtId="174" fontId="8" fillId="0" borderId="0" xfId="0" applyNumberFormat="1" applyFont="1" applyAlignment="1" applyProtection="1">
      <alignment/>
      <protection/>
    </xf>
    <xf numFmtId="174" fontId="5" fillId="0" borderId="0" xfId="0" applyNumberFormat="1" applyFont="1" applyBorder="1" applyAlignment="1" applyProtection="1">
      <alignment/>
      <protection/>
    </xf>
    <xf numFmtId="173" fontId="5" fillId="0" borderId="0" xfId="0" applyNumberFormat="1" applyFont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3" fontId="5" fillId="0" borderId="11" xfId="0" applyNumberFormat="1" applyFont="1" applyBorder="1" applyAlignment="1" applyProtection="1">
      <alignment/>
      <protection/>
    </xf>
    <xf numFmtId="174" fontId="5" fillId="0" borderId="11" xfId="0" applyNumberFormat="1" applyFont="1" applyBorder="1" applyAlignment="1" applyProtection="1">
      <alignment/>
      <protection/>
    </xf>
    <xf numFmtId="174" fontId="5" fillId="0" borderId="12" xfId="0" applyNumberFormat="1" applyFont="1" applyBorder="1" applyAlignment="1" applyProtection="1">
      <alignment/>
      <protection/>
    </xf>
    <xf numFmtId="174" fontId="5" fillId="0" borderId="0" xfId="0" applyNumberFormat="1" applyFont="1" applyBorder="1" applyAlignment="1" applyProtection="1">
      <alignment/>
      <protection/>
    </xf>
    <xf numFmtId="40" fontId="5" fillId="0" borderId="0" xfId="0" applyNumberFormat="1" applyFont="1" applyAlignment="1" applyProtection="1">
      <alignment/>
      <protection/>
    </xf>
    <xf numFmtId="173" fontId="11" fillId="0" borderId="0" xfId="0" applyNumberFormat="1" applyFont="1" applyAlignment="1" applyProtection="1">
      <alignment horizontal="left"/>
      <protection/>
    </xf>
    <xf numFmtId="173" fontId="12" fillId="0" borderId="0" xfId="0" applyNumberFormat="1" applyFont="1" applyAlignment="1" applyProtection="1">
      <alignment/>
      <protection/>
    </xf>
    <xf numFmtId="173" fontId="12" fillId="0" borderId="0" xfId="0" applyNumberFormat="1" applyFont="1" applyAlignment="1" applyProtection="1">
      <alignment horizontal="left"/>
      <protection/>
    </xf>
    <xf numFmtId="172" fontId="12" fillId="0" borderId="0" xfId="0" applyFont="1" applyAlignment="1">
      <alignment/>
    </xf>
    <xf numFmtId="175" fontId="12" fillId="0" borderId="0" xfId="0" applyNumberFormat="1" applyFont="1" applyAlignment="1" applyProtection="1">
      <alignment/>
      <protection/>
    </xf>
    <xf numFmtId="172" fontId="13" fillId="0" borderId="0" xfId="0" applyFont="1" applyAlignment="1">
      <alignment/>
    </xf>
    <xf numFmtId="173" fontId="12" fillId="0" borderId="0" xfId="0" applyNumberFormat="1" applyFont="1" applyBorder="1" applyAlignment="1" applyProtection="1">
      <alignment/>
      <protection/>
    </xf>
    <xf numFmtId="173" fontId="11" fillId="0" borderId="0" xfId="0" applyNumberFormat="1" applyFont="1" applyAlignment="1" applyProtection="1">
      <alignment/>
      <protection/>
    </xf>
    <xf numFmtId="173" fontId="12" fillId="0" borderId="10" xfId="0" applyNumberFormat="1" applyFont="1" applyBorder="1" applyAlignment="1" applyProtection="1">
      <alignment/>
      <protection/>
    </xf>
    <xf numFmtId="173" fontId="12" fillId="0" borderId="0" xfId="0" applyNumberFormat="1" applyFont="1" applyAlignment="1" applyProtection="1">
      <alignment horizontal="center"/>
      <protection/>
    </xf>
    <xf numFmtId="173" fontId="11" fillId="0" borderId="0" xfId="0" applyNumberFormat="1" applyFont="1" applyAlignment="1" applyProtection="1">
      <alignment horizontal="center"/>
      <protection/>
    </xf>
    <xf numFmtId="173" fontId="12" fillId="0" borderId="10" xfId="0" applyNumberFormat="1" applyFont="1" applyBorder="1" applyAlignment="1" applyProtection="1">
      <alignment horizontal="left"/>
      <protection/>
    </xf>
    <xf numFmtId="173" fontId="11" fillId="0" borderId="10" xfId="0" applyNumberFormat="1" applyFont="1" applyBorder="1" applyAlignment="1" applyProtection="1">
      <alignment/>
      <protection/>
    </xf>
    <xf numFmtId="37" fontId="10" fillId="0" borderId="0" xfId="0" applyNumberFormat="1" applyFont="1" applyAlignment="1" applyProtection="1">
      <alignment/>
      <protection/>
    </xf>
    <xf numFmtId="173" fontId="10" fillId="0" borderId="0" xfId="0" applyNumberFormat="1" applyFont="1" applyAlignment="1" applyProtection="1">
      <alignment horizontal="left"/>
      <protection/>
    </xf>
    <xf numFmtId="174" fontId="12" fillId="0" borderId="0" xfId="0" applyNumberFormat="1" applyFont="1" applyAlignment="1" applyProtection="1">
      <alignment/>
      <protection/>
    </xf>
    <xf numFmtId="173" fontId="15" fillId="0" borderId="0" xfId="0" applyNumberFormat="1" applyFont="1" applyAlignment="1" applyProtection="1">
      <alignment/>
      <protection/>
    </xf>
    <xf numFmtId="177" fontId="12" fillId="0" borderId="0" xfId="0" applyNumberFormat="1" applyFont="1" applyAlignment="1" applyProtection="1">
      <alignment/>
      <protection/>
    </xf>
    <xf numFmtId="2" fontId="12" fillId="0" borderId="0" xfId="0" applyNumberFormat="1" applyFont="1" applyAlignment="1" applyProtection="1">
      <alignment/>
      <protection/>
    </xf>
    <xf numFmtId="173" fontId="12" fillId="0" borderId="0" xfId="0" applyNumberFormat="1" applyFont="1" applyAlignment="1" applyProtection="1">
      <alignment horizontal="right"/>
      <protection/>
    </xf>
    <xf numFmtId="172" fontId="10" fillId="0" borderId="0" xfId="0" applyNumberFormat="1" applyFont="1" applyAlignment="1" applyProtection="1">
      <alignment horizontal="left"/>
      <protection/>
    </xf>
    <xf numFmtId="174" fontId="15" fillId="0" borderId="0" xfId="0" applyNumberFormat="1" applyFont="1" applyAlignment="1" applyProtection="1">
      <alignment/>
      <protection/>
    </xf>
    <xf numFmtId="37" fontId="10" fillId="0" borderId="11" xfId="0" applyNumberFormat="1" applyFont="1" applyBorder="1" applyAlignment="1" applyProtection="1">
      <alignment/>
      <protection/>
    </xf>
    <xf numFmtId="173" fontId="10" fillId="0" borderId="11" xfId="0" applyNumberFormat="1" applyFont="1" applyBorder="1" applyAlignment="1" applyProtection="1">
      <alignment horizontal="left"/>
      <protection/>
    </xf>
    <xf numFmtId="173" fontId="12" fillId="0" borderId="11" xfId="0" applyNumberFormat="1" applyFont="1" applyBorder="1" applyAlignment="1" applyProtection="1">
      <alignment/>
      <protection/>
    </xf>
    <xf numFmtId="174" fontId="12" fillId="0" borderId="11" xfId="0" applyNumberFormat="1" applyFont="1" applyBorder="1" applyAlignment="1" applyProtection="1">
      <alignment/>
      <protection/>
    </xf>
    <xf numFmtId="174" fontId="12" fillId="0" borderId="12" xfId="0" applyNumberFormat="1" applyFont="1" applyBorder="1" applyAlignment="1" applyProtection="1">
      <alignment/>
      <protection/>
    </xf>
    <xf numFmtId="173" fontId="12" fillId="0" borderId="12" xfId="0" applyNumberFormat="1" applyFont="1" applyBorder="1" applyAlignment="1" applyProtection="1">
      <alignment/>
      <protection/>
    </xf>
    <xf numFmtId="177" fontId="12" fillId="0" borderId="11" xfId="0" applyNumberFormat="1" applyFont="1" applyBorder="1" applyAlignment="1" applyProtection="1">
      <alignment/>
      <protection/>
    </xf>
    <xf numFmtId="2" fontId="12" fillId="0" borderId="11" xfId="0" applyNumberFormat="1" applyFont="1" applyBorder="1" applyAlignment="1" applyProtection="1">
      <alignment/>
      <protection/>
    </xf>
    <xf numFmtId="2" fontId="12" fillId="0" borderId="12" xfId="0" applyNumberFormat="1" applyFont="1" applyBorder="1" applyAlignment="1" applyProtection="1">
      <alignment/>
      <protection/>
    </xf>
    <xf numFmtId="172" fontId="15" fillId="0" borderId="0" xfId="0" applyFont="1" applyAlignment="1">
      <alignment/>
    </xf>
    <xf numFmtId="172" fontId="16" fillId="0" borderId="0" xfId="0" applyFont="1" applyAlignment="1">
      <alignment/>
    </xf>
    <xf numFmtId="173" fontId="11" fillId="0" borderId="0" xfId="0" applyNumberFormat="1" applyFont="1" applyBorder="1" applyAlignment="1" applyProtection="1">
      <alignment/>
      <protection/>
    </xf>
    <xf numFmtId="173" fontId="11" fillId="0" borderId="0" xfId="0" applyNumberFormat="1" applyFont="1" applyBorder="1" applyAlignment="1" applyProtection="1">
      <alignment horizontal="left"/>
      <protection/>
    </xf>
    <xf numFmtId="173" fontId="14" fillId="0" borderId="0" xfId="0" applyNumberFormat="1" applyFont="1" applyBorder="1" applyAlignment="1" applyProtection="1">
      <alignment/>
      <protection/>
    </xf>
    <xf numFmtId="172" fontId="13" fillId="0" borderId="0" xfId="0" applyFont="1" applyBorder="1" applyAlignment="1">
      <alignment/>
    </xf>
    <xf numFmtId="173" fontId="12" fillId="0" borderId="0" xfId="0" applyNumberFormat="1" applyFont="1" applyBorder="1" applyAlignment="1" applyProtection="1">
      <alignment horizontal="center"/>
      <protection/>
    </xf>
    <xf numFmtId="174" fontId="12" fillId="0" borderId="0" xfId="0" applyNumberFormat="1" applyFont="1" applyBorder="1" applyAlignment="1" applyProtection="1">
      <alignment/>
      <protection/>
    </xf>
    <xf numFmtId="172" fontId="15" fillId="0" borderId="0" xfId="0" applyFont="1" applyBorder="1" applyAlignment="1">
      <alignment/>
    </xf>
    <xf numFmtId="2" fontId="5" fillId="0" borderId="0" xfId="0" applyNumberFormat="1" applyFont="1" applyAlignment="1" applyProtection="1">
      <alignment/>
      <protection/>
    </xf>
    <xf numFmtId="2" fontId="5" fillId="0" borderId="12" xfId="0" applyNumberFormat="1" applyFont="1" applyBorder="1" applyAlignment="1" applyProtection="1">
      <alignment/>
      <protection/>
    </xf>
    <xf numFmtId="173" fontId="5" fillId="0" borderId="13" xfId="0" applyNumberFormat="1" applyFont="1" applyBorder="1" applyAlignment="1" applyProtection="1">
      <alignment/>
      <protection/>
    </xf>
    <xf numFmtId="172" fontId="17" fillId="0" borderId="0" xfId="0" applyFont="1" applyAlignment="1">
      <alignment/>
    </xf>
    <xf numFmtId="173" fontId="14" fillId="0" borderId="0" xfId="0" applyNumberFormat="1" applyFont="1" applyAlignment="1" applyProtection="1">
      <alignment/>
      <protection/>
    </xf>
    <xf numFmtId="173" fontId="12" fillId="0" borderId="0" xfId="0" applyNumberFormat="1" applyFont="1" applyAlignment="1" applyProtection="1">
      <alignment/>
      <protection/>
    </xf>
    <xf numFmtId="174" fontId="12" fillId="0" borderId="0" xfId="0" applyNumberFormat="1" applyFont="1" applyAlignment="1" applyProtection="1">
      <alignment/>
      <protection/>
    </xf>
    <xf numFmtId="173" fontId="12" fillId="0" borderId="11" xfId="0" applyNumberFormat="1" applyFont="1" applyBorder="1" applyAlignment="1" applyProtection="1">
      <alignment/>
      <protection/>
    </xf>
    <xf numFmtId="174" fontId="12" fillId="0" borderId="11" xfId="0" applyNumberFormat="1" applyFont="1" applyBorder="1" applyAlignment="1" applyProtection="1">
      <alignment/>
      <protection/>
    </xf>
    <xf numFmtId="174" fontId="12" fillId="0" borderId="12" xfId="0" applyNumberFormat="1" applyFont="1" applyBorder="1" applyAlignment="1" applyProtection="1">
      <alignment/>
      <protection/>
    </xf>
    <xf numFmtId="173" fontId="18" fillId="0" borderId="0" xfId="0" applyNumberFormat="1" applyFont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36"/>
  <sheetViews>
    <sheetView tabSelected="1" zoomScale="75" zoomScaleNormal="75" zoomScalePageLayoutView="0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B13" sqref="B13"/>
    </sheetView>
  </sheetViews>
  <sheetFormatPr defaultColWidth="13.28125" defaultRowHeight="15.75" customHeight="1"/>
  <cols>
    <col min="1" max="1" width="5.7109375" style="0" customWidth="1"/>
    <col min="2" max="2" width="34.00390625" style="0" bestFit="1" customWidth="1"/>
  </cols>
  <sheetData>
    <row r="1" spans="1:87" ht="15.75" customHeight="1">
      <c r="A1" s="2" t="s">
        <v>0</v>
      </c>
      <c r="B1" s="3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5" t="s">
        <v>1</v>
      </c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15"/>
      <c r="CB1" s="15"/>
      <c r="CC1" s="17"/>
      <c r="CD1" s="15"/>
      <c r="CE1" s="15"/>
      <c r="CF1" s="15"/>
      <c r="CG1" s="15"/>
      <c r="CH1" s="15"/>
      <c r="CI1" s="15"/>
    </row>
    <row r="2" spans="1:87" ht="15.75" customHeight="1">
      <c r="A2" s="2"/>
      <c r="B2" s="32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5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15"/>
      <c r="CB2" s="15"/>
      <c r="CC2" s="17"/>
      <c r="CD2" s="15"/>
      <c r="CE2" s="15"/>
      <c r="CF2" s="15"/>
      <c r="CG2" s="15"/>
      <c r="CH2" s="15"/>
      <c r="CI2" s="15"/>
    </row>
    <row r="3" spans="1:87" ht="15.75" customHeight="1">
      <c r="A3" s="4"/>
      <c r="B3" s="33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23"/>
      <c r="CB3" s="23"/>
      <c r="CC3" s="23"/>
      <c r="CD3" s="23"/>
      <c r="CE3" s="23"/>
      <c r="CF3" s="23"/>
      <c r="CG3" s="23"/>
      <c r="CH3" s="23"/>
      <c r="CI3" s="23"/>
    </row>
    <row r="4" spans="1:90" ht="15.75" customHeight="1">
      <c r="A4" s="5" t="s">
        <v>3</v>
      </c>
      <c r="B4" s="4"/>
      <c r="C4" s="3"/>
      <c r="D4" s="2" t="s">
        <v>4</v>
      </c>
      <c r="E4" s="3"/>
      <c r="F4" s="3"/>
      <c r="G4" s="3"/>
      <c r="H4" s="2" t="s">
        <v>5</v>
      </c>
      <c r="I4" s="3"/>
      <c r="J4" s="3"/>
      <c r="K4" s="3"/>
      <c r="L4" s="2" t="s">
        <v>6</v>
      </c>
      <c r="M4" s="3"/>
      <c r="N4" s="3"/>
      <c r="O4" s="3"/>
      <c r="P4" s="2" t="s">
        <v>7</v>
      </c>
      <c r="Q4" s="3"/>
      <c r="R4" s="3"/>
      <c r="S4" s="3"/>
      <c r="T4" s="2" t="s">
        <v>8</v>
      </c>
      <c r="U4" s="3"/>
      <c r="V4" s="3"/>
      <c r="W4" s="3"/>
      <c r="X4" s="2" t="s">
        <v>9</v>
      </c>
      <c r="Y4" s="3"/>
      <c r="Z4" s="3"/>
      <c r="AA4" s="3"/>
      <c r="AB4" s="2" t="s">
        <v>10</v>
      </c>
      <c r="AC4" s="3"/>
      <c r="AD4" s="3"/>
      <c r="AE4" s="3"/>
      <c r="AF4" s="2" t="s">
        <v>11</v>
      </c>
      <c r="AG4" s="3"/>
      <c r="AH4" s="3"/>
      <c r="AI4" s="3"/>
      <c r="AJ4" s="2" t="s">
        <v>12</v>
      </c>
      <c r="AK4" s="3"/>
      <c r="AL4" s="3"/>
      <c r="AM4" s="3"/>
      <c r="AN4" s="2" t="s">
        <v>13</v>
      </c>
      <c r="AO4" s="3"/>
      <c r="AP4" s="3"/>
      <c r="AQ4" s="3"/>
      <c r="AR4" s="2" t="s">
        <v>14</v>
      </c>
      <c r="AS4" s="3"/>
      <c r="AT4" s="3"/>
      <c r="AU4" s="3"/>
      <c r="AV4" s="2" t="s">
        <v>15</v>
      </c>
      <c r="AW4" s="3"/>
      <c r="AX4" s="3"/>
      <c r="AY4" s="3"/>
      <c r="AZ4" s="2" t="s">
        <v>16</v>
      </c>
      <c r="BA4" s="3"/>
      <c r="BB4" s="3"/>
      <c r="BC4" s="3"/>
      <c r="BD4" s="2" t="s">
        <v>17</v>
      </c>
      <c r="BE4" s="3"/>
      <c r="BF4" s="3"/>
      <c r="BG4" s="3"/>
      <c r="BH4" s="2" t="s">
        <v>18</v>
      </c>
      <c r="BI4" s="3"/>
      <c r="BJ4" s="3"/>
      <c r="BK4" s="3"/>
      <c r="BL4" s="2" t="s">
        <v>19</v>
      </c>
      <c r="BM4" s="3"/>
      <c r="BN4" s="3"/>
      <c r="BO4" s="3"/>
      <c r="BP4" s="2" t="s">
        <v>20</v>
      </c>
      <c r="BQ4" s="3"/>
      <c r="BR4" s="3"/>
      <c r="BS4" s="3"/>
      <c r="BT4" s="2" t="s">
        <v>21</v>
      </c>
      <c r="BU4" s="3"/>
      <c r="BV4" s="3"/>
      <c r="BW4" s="3"/>
      <c r="BX4" s="2" t="s">
        <v>22</v>
      </c>
      <c r="BY4" s="3"/>
      <c r="BZ4" s="3"/>
      <c r="CA4" s="3"/>
      <c r="CB4" s="2" t="s">
        <v>23</v>
      </c>
      <c r="CC4" s="3"/>
      <c r="CD4" s="3"/>
      <c r="CE4" s="3"/>
      <c r="CF4" s="2" t="s">
        <v>24</v>
      </c>
      <c r="CG4" s="3"/>
      <c r="CH4" s="3"/>
      <c r="CI4" s="6"/>
      <c r="CJ4" s="2" t="s">
        <v>25</v>
      </c>
      <c r="CK4" s="3"/>
      <c r="CL4" s="6"/>
    </row>
    <row r="5" spans="1:90" ht="15.75" customHeight="1" thickBo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6"/>
      <c r="CJ5" s="6"/>
      <c r="CK5" s="6"/>
      <c r="CL5" s="6"/>
    </row>
    <row r="6" spans="1:90" ht="15.75" customHeight="1" thickTop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</row>
    <row r="7" spans="1:90" ht="15.75" customHeight="1">
      <c r="A7" s="3"/>
      <c r="B7" s="4"/>
      <c r="C7" s="8" t="s">
        <v>26</v>
      </c>
      <c r="D7" s="8" t="s">
        <v>26</v>
      </c>
      <c r="E7" s="8" t="s">
        <v>26</v>
      </c>
      <c r="F7" s="8" t="s">
        <v>26</v>
      </c>
      <c r="G7" s="8" t="s">
        <v>26</v>
      </c>
      <c r="H7" s="8" t="s">
        <v>26</v>
      </c>
      <c r="I7" s="8" t="s">
        <v>26</v>
      </c>
      <c r="J7" s="8" t="s">
        <v>26</v>
      </c>
      <c r="K7" s="8" t="s">
        <v>26</v>
      </c>
      <c r="L7" s="8" t="s">
        <v>26</v>
      </c>
      <c r="M7" s="8" t="s">
        <v>26</v>
      </c>
      <c r="N7" s="8" t="s">
        <v>26</v>
      </c>
      <c r="O7" s="8" t="s">
        <v>26</v>
      </c>
      <c r="P7" s="8" t="s">
        <v>26</v>
      </c>
      <c r="Q7" s="8" t="s">
        <v>26</v>
      </c>
      <c r="R7" s="8" t="s">
        <v>26</v>
      </c>
      <c r="S7" s="8" t="s">
        <v>26</v>
      </c>
      <c r="T7" s="8" t="s">
        <v>26</v>
      </c>
      <c r="U7" s="8" t="s">
        <v>26</v>
      </c>
      <c r="V7" s="8" t="s">
        <v>26</v>
      </c>
      <c r="W7" s="8" t="s">
        <v>26</v>
      </c>
      <c r="X7" s="8" t="s">
        <v>26</v>
      </c>
      <c r="Y7" s="8" t="s">
        <v>26</v>
      </c>
      <c r="Z7" s="8" t="s">
        <v>26</v>
      </c>
      <c r="AA7" s="8" t="s">
        <v>26</v>
      </c>
      <c r="AB7" s="8" t="s">
        <v>26</v>
      </c>
      <c r="AC7" s="8" t="s">
        <v>26</v>
      </c>
      <c r="AD7" s="8" t="s">
        <v>26</v>
      </c>
      <c r="AE7" s="8" t="s">
        <v>26</v>
      </c>
      <c r="AF7" s="8" t="s">
        <v>26</v>
      </c>
      <c r="AG7" s="8" t="s">
        <v>26</v>
      </c>
      <c r="AH7" s="8" t="s">
        <v>26</v>
      </c>
      <c r="AI7" s="8" t="s">
        <v>26</v>
      </c>
      <c r="AJ7" s="8" t="s">
        <v>26</v>
      </c>
      <c r="AK7" s="8" t="s">
        <v>26</v>
      </c>
      <c r="AL7" s="8" t="s">
        <v>26</v>
      </c>
      <c r="AM7" s="8" t="s">
        <v>26</v>
      </c>
      <c r="AN7" s="8" t="s">
        <v>26</v>
      </c>
      <c r="AO7" s="8" t="s">
        <v>26</v>
      </c>
      <c r="AP7" s="8" t="s">
        <v>26</v>
      </c>
      <c r="AQ7" s="8" t="s">
        <v>26</v>
      </c>
      <c r="AR7" s="8" t="s">
        <v>26</v>
      </c>
      <c r="AS7" s="8" t="s">
        <v>26</v>
      </c>
      <c r="AT7" s="8" t="s">
        <v>26</v>
      </c>
      <c r="AU7" s="8" t="s">
        <v>26</v>
      </c>
      <c r="AV7" s="8" t="s">
        <v>26</v>
      </c>
      <c r="AW7" s="8" t="s">
        <v>26</v>
      </c>
      <c r="AX7" s="8" t="s">
        <v>26</v>
      </c>
      <c r="AY7" s="8" t="s">
        <v>26</v>
      </c>
      <c r="AZ7" s="8" t="s">
        <v>26</v>
      </c>
      <c r="BA7" s="8" t="s">
        <v>26</v>
      </c>
      <c r="BB7" s="8" t="s">
        <v>26</v>
      </c>
      <c r="BC7" s="8" t="s">
        <v>26</v>
      </c>
      <c r="BD7" s="8" t="s">
        <v>26</v>
      </c>
      <c r="BE7" s="8" t="s">
        <v>26</v>
      </c>
      <c r="BF7" s="8" t="s">
        <v>26</v>
      </c>
      <c r="BG7" s="8" t="s">
        <v>26</v>
      </c>
      <c r="BH7" s="8" t="s">
        <v>26</v>
      </c>
      <c r="BI7" s="8" t="s">
        <v>26</v>
      </c>
      <c r="BJ7" s="8" t="s">
        <v>26</v>
      </c>
      <c r="BK7" s="8" t="s">
        <v>26</v>
      </c>
      <c r="BL7" s="8" t="s">
        <v>26</v>
      </c>
      <c r="BM7" s="8" t="s">
        <v>26</v>
      </c>
      <c r="BN7" s="8" t="s">
        <v>26</v>
      </c>
      <c r="BO7" s="8" t="s">
        <v>26</v>
      </c>
      <c r="BP7" s="8" t="s">
        <v>26</v>
      </c>
      <c r="BQ7" s="8" t="s">
        <v>26</v>
      </c>
      <c r="BR7" s="8" t="s">
        <v>26</v>
      </c>
      <c r="BS7" s="8" t="s">
        <v>26</v>
      </c>
      <c r="BT7" s="8" t="s">
        <v>26</v>
      </c>
      <c r="BU7" s="8" t="s">
        <v>26</v>
      </c>
      <c r="BV7" s="8" t="s">
        <v>26</v>
      </c>
      <c r="BW7" s="8" t="s">
        <v>26</v>
      </c>
      <c r="BX7" s="8" t="s">
        <v>26</v>
      </c>
      <c r="BY7" s="8" t="s">
        <v>26</v>
      </c>
      <c r="BZ7" s="8" t="s">
        <v>26</v>
      </c>
      <c r="CA7" s="8" t="s">
        <v>26</v>
      </c>
      <c r="CB7" s="8" t="s">
        <v>26</v>
      </c>
      <c r="CC7" s="8" t="s">
        <v>26</v>
      </c>
      <c r="CD7" s="8" t="s">
        <v>26</v>
      </c>
      <c r="CE7" s="8" t="s">
        <v>26</v>
      </c>
      <c r="CF7" s="8" t="s">
        <v>26</v>
      </c>
      <c r="CG7" s="8" t="s">
        <v>26</v>
      </c>
      <c r="CH7" s="8" t="s">
        <v>26</v>
      </c>
      <c r="CI7" s="8" t="s">
        <v>27</v>
      </c>
      <c r="CJ7" s="8" t="s">
        <v>27</v>
      </c>
      <c r="CK7" s="8" t="s">
        <v>26</v>
      </c>
      <c r="CL7" s="8" t="s">
        <v>26</v>
      </c>
    </row>
    <row r="8" spans="1:90" ht="15.75" customHeight="1">
      <c r="A8" s="4"/>
      <c r="B8" s="9" t="s">
        <v>28</v>
      </c>
      <c r="C8" s="8" t="s">
        <v>29</v>
      </c>
      <c r="D8" s="8" t="s">
        <v>29</v>
      </c>
      <c r="E8" s="8" t="s">
        <v>29</v>
      </c>
      <c r="F8" s="8" t="s">
        <v>30</v>
      </c>
      <c r="G8" s="8" t="s">
        <v>29</v>
      </c>
      <c r="H8" s="8" t="s">
        <v>29</v>
      </c>
      <c r="I8" s="8" t="s">
        <v>29</v>
      </c>
      <c r="J8" s="8" t="s">
        <v>30</v>
      </c>
      <c r="K8" s="8" t="s">
        <v>29</v>
      </c>
      <c r="L8" s="8" t="s">
        <v>29</v>
      </c>
      <c r="M8" s="8" t="s">
        <v>29</v>
      </c>
      <c r="N8" s="8" t="s">
        <v>30</v>
      </c>
      <c r="O8" s="8" t="s">
        <v>29</v>
      </c>
      <c r="P8" s="8" t="s">
        <v>29</v>
      </c>
      <c r="Q8" s="8" t="s">
        <v>29</v>
      </c>
      <c r="R8" s="8" t="s">
        <v>30</v>
      </c>
      <c r="S8" s="8" t="s">
        <v>29</v>
      </c>
      <c r="T8" s="8" t="s">
        <v>29</v>
      </c>
      <c r="U8" s="8" t="s">
        <v>29</v>
      </c>
      <c r="V8" s="8" t="s">
        <v>30</v>
      </c>
      <c r="W8" s="8" t="s">
        <v>29</v>
      </c>
      <c r="X8" s="8" t="s">
        <v>29</v>
      </c>
      <c r="Y8" s="8" t="s">
        <v>29</v>
      </c>
      <c r="Z8" s="8" t="s">
        <v>30</v>
      </c>
      <c r="AA8" s="8" t="s">
        <v>29</v>
      </c>
      <c r="AB8" s="8" t="s">
        <v>29</v>
      </c>
      <c r="AC8" s="8" t="s">
        <v>29</v>
      </c>
      <c r="AD8" s="8" t="s">
        <v>30</v>
      </c>
      <c r="AE8" s="8" t="s">
        <v>29</v>
      </c>
      <c r="AF8" s="8" t="s">
        <v>29</v>
      </c>
      <c r="AG8" s="8" t="s">
        <v>29</v>
      </c>
      <c r="AH8" s="8" t="s">
        <v>30</v>
      </c>
      <c r="AI8" s="8" t="s">
        <v>29</v>
      </c>
      <c r="AJ8" s="8" t="s">
        <v>29</v>
      </c>
      <c r="AK8" s="8" t="s">
        <v>29</v>
      </c>
      <c r="AL8" s="8" t="s">
        <v>30</v>
      </c>
      <c r="AM8" s="8" t="s">
        <v>29</v>
      </c>
      <c r="AN8" s="8" t="s">
        <v>29</v>
      </c>
      <c r="AO8" s="8" t="s">
        <v>29</v>
      </c>
      <c r="AP8" s="8" t="s">
        <v>30</v>
      </c>
      <c r="AQ8" s="8" t="s">
        <v>29</v>
      </c>
      <c r="AR8" s="8" t="s">
        <v>29</v>
      </c>
      <c r="AS8" s="8" t="s">
        <v>29</v>
      </c>
      <c r="AT8" s="8" t="s">
        <v>30</v>
      </c>
      <c r="AU8" s="8" t="s">
        <v>29</v>
      </c>
      <c r="AV8" s="8" t="s">
        <v>29</v>
      </c>
      <c r="AW8" s="8" t="s">
        <v>29</v>
      </c>
      <c r="AX8" s="8" t="s">
        <v>30</v>
      </c>
      <c r="AY8" s="8" t="s">
        <v>29</v>
      </c>
      <c r="AZ8" s="8" t="s">
        <v>29</v>
      </c>
      <c r="BA8" s="8" t="s">
        <v>29</v>
      </c>
      <c r="BB8" s="8" t="s">
        <v>30</v>
      </c>
      <c r="BC8" s="8" t="s">
        <v>29</v>
      </c>
      <c r="BD8" s="8" t="s">
        <v>29</v>
      </c>
      <c r="BE8" s="8" t="s">
        <v>29</v>
      </c>
      <c r="BF8" s="8" t="s">
        <v>30</v>
      </c>
      <c r="BG8" s="8" t="s">
        <v>29</v>
      </c>
      <c r="BH8" s="8" t="s">
        <v>29</v>
      </c>
      <c r="BI8" s="8" t="s">
        <v>29</v>
      </c>
      <c r="BJ8" s="8" t="s">
        <v>30</v>
      </c>
      <c r="BK8" s="8" t="s">
        <v>29</v>
      </c>
      <c r="BL8" s="8" t="s">
        <v>29</v>
      </c>
      <c r="BM8" s="8" t="s">
        <v>29</v>
      </c>
      <c r="BN8" s="8" t="s">
        <v>30</v>
      </c>
      <c r="BO8" s="8" t="s">
        <v>29</v>
      </c>
      <c r="BP8" s="8" t="s">
        <v>29</v>
      </c>
      <c r="BQ8" s="8" t="s">
        <v>29</v>
      </c>
      <c r="BR8" s="8" t="s">
        <v>30</v>
      </c>
      <c r="BS8" s="8" t="s">
        <v>29</v>
      </c>
      <c r="BT8" s="8" t="s">
        <v>29</v>
      </c>
      <c r="BU8" s="8" t="s">
        <v>29</v>
      </c>
      <c r="BV8" s="8" t="s">
        <v>30</v>
      </c>
      <c r="BW8" s="8" t="s">
        <v>29</v>
      </c>
      <c r="BX8" s="8" t="s">
        <v>29</v>
      </c>
      <c r="BY8" s="8" t="s">
        <v>29</v>
      </c>
      <c r="BZ8" s="8" t="s">
        <v>30</v>
      </c>
      <c r="CA8" s="8" t="s">
        <v>29</v>
      </c>
      <c r="CB8" s="8" t="s">
        <v>29</v>
      </c>
      <c r="CC8" s="8" t="s">
        <v>29</v>
      </c>
      <c r="CD8" s="8" t="s">
        <v>30</v>
      </c>
      <c r="CE8" s="8" t="s">
        <v>29</v>
      </c>
      <c r="CF8" s="8" t="s">
        <v>29</v>
      </c>
      <c r="CG8" s="8" t="s">
        <v>29</v>
      </c>
      <c r="CH8" s="8" t="s">
        <v>30</v>
      </c>
      <c r="CI8" s="8" t="s">
        <v>31</v>
      </c>
      <c r="CJ8" s="8" t="s">
        <v>32</v>
      </c>
      <c r="CK8" s="8" t="s">
        <v>32</v>
      </c>
      <c r="CL8" s="8" t="s">
        <v>30</v>
      </c>
    </row>
    <row r="9" spans="1:90" ht="15.75" customHeight="1">
      <c r="A9" s="4"/>
      <c r="B9" s="4"/>
      <c r="C9" s="8" t="s">
        <v>33</v>
      </c>
      <c r="D9" s="8" t="s">
        <v>32</v>
      </c>
      <c r="E9" s="8" t="s">
        <v>32</v>
      </c>
      <c r="F9" s="8" t="s">
        <v>34</v>
      </c>
      <c r="G9" s="8" t="s">
        <v>33</v>
      </c>
      <c r="H9" s="8" t="s">
        <v>32</v>
      </c>
      <c r="I9" s="8" t="s">
        <v>32</v>
      </c>
      <c r="J9" s="8" t="s">
        <v>34</v>
      </c>
      <c r="K9" s="8" t="s">
        <v>33</v>
      </c>
      <c r="L9" s="8" t="s">
        <v>32</v>
      </c>
      <c r="M9" s="8" t="s">
        <v>32</v>
      </c>
      <c r="N9" s="8" t="s">
        <v>34</v>
      </c>
      <c r="O9" s="8" t="s">
        <v>33</v>
      </c>
      <c r="P9" s="8" t="s">
        <v>32</v>
      </c>
      <c r="Q9" s="8" t="s">
        <v>32</v>
      </c>
      <c r="R9" s="8" t="s">
        <v>34</v>
      </c>
      <c r="S9" s="8" t="s">
        <v>33</v>
      </c>
      <c r="T9" s="8" t="s">
        <v>32</v>
      </c>
      <c r="U9" s="8" t="s">
        <v>32</v>
      </c>
      <c r="V9" s="8" t="s">
        <v>34</v>
      </c>
      <c r="W9" s="8" t="s">
        <v>33</v>
      </c>
      <c r="X9" s="8" t="s">
        <v>32</v>
      </c>
      <c r="Y9" s="8" t="s">
        <v>32</v>
      </c>
      <c r="Z9" s="8" t="s">
        <v>34</v>
      </c>
      <c r="AA9" s="8" t="s">
        <v>33</v>
      </c>
      <c r="AB9" s="8" t="s">
        <v>32</v>
      </c>
      <c r="AC9" s="8" t="s">
        <v>32</v>
      </c>
      <c r="AD9" s="8" t="s">
        <v>34</v>
      </c>
      <c r="AE9" s="8" t="s">
        <v>33</v>
      </c>
      <c r="AF9" s="8" t="s">
        <v>32</v>
      </c>
      <c r="AG9" s="8" t="s">
        <v>32</v>
      </c>
      <c r="AH9" s="8" t="s">
        <v>34</v>
      </c>
      <c r="AI9" s="8" t="s">
        <v>33</v>
      </c>
      <c r="AJ9" s="8" t="s">
        <v>32</v>
      </c>
      <c r="AK9" s="8" t="s">
        <v>32</v>
      </c>
      <c r="AL9" s="8" t="s">
        <v>34</v>
      </c>
      <c r="AM9" s="8" t="s">
        <v>33</v>
      </c>
      <c r="AN9" s="8" t="s">
        <v>32</v>
      </c>
      <c r="AO9" s="8" t="s">
        <v>32</v>
      </c>
      <c r="AP9" s="8" t="s">
        <v>34</v>
      </c>
      <c r="AQ9" s="8" t="s">
        <v>33</v>
      </c>
      <c r="AR9" s="8" t="s">
        <v>32</v>
      </c>
      <c r="AS9" s="8" t="s">
        <v>32</v>
      </c>
      <c r="AT9" s="8" t="s">
        <v>34</v>
      </c>
      <c r="AU9" s="8" t="s">
        <v>33</v>
      </c>
      <c r="AV9" s="8" t="s">
        <v>32</v>
      </c>
      <c r="AW9" s="8" t="s">
        <v>32</v>
      </c>
      <c r="AX9" s="8" t="s">
        <v>34</v>
      </c>
      <c r="AY9" s="8" t="s">
        <v>33</v>
      </c>
      <c r="AZ9" s="8" t="s">
        <v>32</v>
      </c>
      <c r="BA9" s="8" t="s">
        <v>32</v>
      </c>
      <c r="BB9" s="8" t="s">
        <v>34</v>
      </c>
      <c r="BC9" s="8" t="s">
        <v>33</v>
      </c>
      <c r="BD9" s="8" t="s">
        <v>32</v>
      </c>
      <c r="BE9" s="8" t="s">
        <v>32</v>
      </c>
      <c r="BF9" s="8" t="s">
        <v>34</v>
      </c>
      <c r="BG9" s="8" t="s">
        <v>33</v>
      </c>
      <c r="BH9" s="8" t="s">
        <v>32</v>
      </c>
      <c r="BI9" s="8" t="s">
        <v>32</v>
      </c>
      <c r="BJ9" s="8" t="s">
        <v>34</v>
      </c>
      <c r="BK9" s="8" t="s">
        <v>33</v>
      </c>
      <c r="BL9" s="8" t="s">
        <v>32</v>
      </c>
      <c r="BM9" s="8" t="s">
        <v>32</v>
      </c>
      <c r="BN9" s="8" t="s">
        <v>34</v>
      </c>
      <c r="BO9" s="8" t="s">
        <v>33</v>
      </c>
      <c r="BP9" s="8" t="s">
        <v>32</v>
      </c>
      <c r="BQ9" s="8" t="s">
        <v>32</v>
      </c>
      <c r="BR9" s="8" t="s">
        <v>34</v>
      </c>
      <c r="BS9" s="8" t="s">
        <v>33</v>
      </c>
      <c r="BT9" s="8" t="s">
        <v>32</v>
      </c>
      <c r="BU9" s="8" t="s">
        <v>32</v>
      </c>
      <c r="BV9" s="8" t="s">
        <v>34</v>
      </c>
      <c r="BW9" s="8" t="s">
        <v>33</v>
      </c>
      <c r="BX9" s="8" t="s">
        <v>32</v>
      </c>
      <c r="BY9" s="8" t="s">
        <v>32</v>
      </c>
      <c r="BZ9" s="8" t="s">
        <v>34</v>
      </c>
      <c r="CA9" s="8" t="s">
        <v>33</v>
      </c>
      <c r="CB9" s="8" t="s">
        <v>32</v>
      </c>
      <c r="CC9" s="8" t="s">
        <v>32</v>
      </c>
      <c r="CD9" s="8" t="s">
        <v>34</v>
      </c>
      <c r="CE9" s="8" t="s">
        <v>33</v>
      </c>
      <c r="CF9" s="8" t="s">
        <v>32</v>
      </c>
      <c r="CG9" s="8" t="s">
        <v>32</v>
      </c>
      <c r="CH9" s="8" t="s">
        <v>34</v>
      </c>
      <c r="CI9" s="8" t="s">
        <v>29</v>
      </c>
      <c r="CJ9" s="8" t="s">
        <v>35</v>
      </c>
      <c r="CK9" s="8" t="s">
        <v>35</v>
      </c>
      <c r="CL9" s="8" t="s">
        <v>34</v>
      </c>
    </row>
    <row r="10" spans="1:91" ht="15.75" customHeight="1">
      <c r="A10" s="4"/>
      <c r="B10" s="4"/>
      <c r="C10" s="4"/>
      <c r="D10" s="4"/>
      <c r="E10" s="4"/>
      <c r="F10" s="8" t="s">
        <v>36</v>
      </c>
      <c r="G10" s="4"/>
      <c r="H10" s="4"/>
      <c r="I10" s="4"/>
      <c r="J10" s="8" t="s">
        <v>36</v>
      </c>
      <c r="K10" s="4"/>
      <c r="L10" s="4"/>
      <c r="M10" s="4"/>
      <c r="N10" s="8" t="s">
        <v>36</v>
      </c>
      <c r="O10" s="4"/>
      <c r="P10" s="4"/>
      <c r="Q10" s="4"/>
      <c r="R10" s="8" t="s">
        <v>36</v>
      </c>
      <c r="S10" s="4"/>
      <c r="T10" s="4"/>
      <c r="U10" s="4"/>
      <c r="V10" s="8" t="s">
        <v>36</v>
      </c>
      <c r="W10" s="4"/>
      <c r="X10" s="4"/>
      <c r="Y10" s="4"/>
      <c r="Z10" s="8" t="s">
        <v>36</v>
      </c>
      <c r="AA10" s="4"/>
      <c r="AB10" s="4"/>
      <c r="AC10" s="4"/>
      <c r="AD10" s="8" t="s">
        <v>36</v>
      </c>
      <c r="AE10" s="5" t="s">
        <v>37</v>
      </c>
      <c r="AF10" s="4"/>
      <c r="AG10" s="4"/>
      <c r="AH10" s="8" t="s">
        <v>36</v>
      </c>
      <c r="AI10" s="5" t="s">
        <v>37</v>
      </c>
      <c r="AJ10" s="4"/>
      <c r="AK10" s="4"/>
      <c r="AL10" s="8" t="s">
        <v>36</v>
      </c>
      <c r="AM10" s="4"/>
      <c r="AN10" s="4"/>
      <c r="AO10" s="4"/>
      <c r="AP10" s="8" t="s">
        <v>36</v>
      </c>
      <c r="AQ10" s="4"/>
      <c r="AR10" s="4"/>
      <c r="AS10" s="4"/>
      <c r="AT10" s="8" t="s">
        <v>36</v>
      </c>
      <c r="AU10" s="4"/>
      <c r="AV10" s="4"/>
      <c r="AW10" s="4"/>
      <c r="AX10" s="8" t="s">
        <v>36</v>
      </c>
      <c r="AY10" s="4"/>
      <c r="AZ10" s="4"/>
      <c r="BA10" s="4"/>
      <c r="BB10" s="8" t="s">
        <v>36</v>
      </c>
      <c r="BC10" s="4"/>
      <c r="BD10" s="4"/>
      <c r="BE10" s="4"/>
      <c r="BF10" s="8" t="s">
        <v>36</v>
      </c>
      <c r="BG10" s="4"/>
      <c r="BH10" s="4"/>
      <c r="BI10" s="4"/>
      <c r="BJ10" s="8" t="s">
        <v>36</v>
      </c>
      <c r="BK10" s="4"/>
      <c r="BL10" s="4"/>
      <c r="BM10" s="4"/>
      <c r="BN10" s="8" t="s">
        <v>36</v>
      </c>
      <c r="BO10" s="4"/>
      <c r="BP10" s="4"/>
      <c r="BQ10" s="4"/>
      <c r="BR10" s="8" t="s">
        <v>36</v>
      </c>
      <c r="BS10" s="4"/>
      <c r="BT10" s="4"/>
      <c r="BU10" s="4"/>
      <c r="BV10" s="8" t="s">
        <v>36</v>
      </c>
      <c r="BW10" s="4"/>
      <c r="BX10" s="4"/>
      <c r="BY10" s="4"/>
      <c r="BZ10" s="8" t="s">
        <v>36</v>
      </c>
      <c r="CA10" s="4"/>
      <c r="CB10" s="4"/>
      <c r="CC10" s="4"/>
      <c r="CD10" s="8" t="s">
        <v>36</v>
      </c>
      <c r="CE10" s="4"/>
      <c r="CF10" s="4"/>
      <c r="CG10" s="4"/>
      <c r="CH10" s="8" t="s">
        <v>36</v>
      </c>
      <c r="CI10" s="4"/>
      <c r="CJ10" s="8" t="s">
        <v>33</v>
      </c>
      <c r="CK10" s="8" t="s">
        <v>31</v>
      </c>
      <c r="CL10" s="8" t="s">
        <v>31</v>
      </c>
      <c r="CM10" s="4"/>
    </row>
    <row r="11" spans="1:90" ht="15.75" customHeight="1" thickBo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8" t="s">
        <v>36</v>
      </c>
      <c r="CL11" s="4"/>
    </row>
    <row r="12" spans="1:90" ht="15.75" customHeight="1" thickTop="1">
      <c r="A12" s="10" t="s">
        <v>3</v>
      </c>
      <c r="B12" s="7"/>
      <c r="C12" s="31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</row>
    <row r="13" spans="1:90" ht="15.75" customHeight="1">
      <c r="A13" s="26">
        <v>1</v>
      </c>
      <c r="B13" s="27" t="s">
        <v>38</v>
      </c>
      <c r="C13" s="4">
        <v>2.069</v>
      </c>
      <c r="D13" s="4">
        <v>68.17</v>
      </c>
      <c r="E13" s="4">
        <f>D$35/C13</f>
        <v>68.17303044949252</v>
      </c>
      <c r="F13" s="4">
        <v>67.35</v>
      </c>
      <c r="G13" s="4">
        <v>2.0725</v>
      </c>
      <c r="H13" s="4">
        <v>67.99</v>
      </c>
      <c r="I13" s="4">
        <f>H$35/G13</f>
        <v>67.99034981905912</v>
      </c>
      <c r="J13" s="4">
        <v>67.2</v>
      </c>
      <c r="K13" s="4">
        <v>2.0575</v>
      </c>
      <c r="L13" s="4">
        <v>68.32</v>
      </c>
      <c r="M13" s="4">
        <f>L$35/K13</f>
        <v>68.32077764277035</v>
      </c>
      <c r="N13" s="4">
        <v>67.36</v>
      </c>
      <c r="O13" s="4">
        <v>2.0553</v>
      </c>
      <c r="P13" s="4">
        <v>68.38</v>
      </c>
      <c r="Q13" s="4">
        <f>P$35/O13</f>
        <v>68.38417749233689</v>
      </c>
      <c r="R13" s="4">
        <v>67.87</v>
      </c>
      <c r="S13" s="4">
        <v>2.078</v>
      </c>
      <c r="T13" s="4">
        <v>67.93</v>
      </c>
      <c r="U13" s="4">
        <f>T$35/S13</f>
        <v>67.93070259865256</v>
      </c>
      <c r="V13" s="4">
        <v>67.71</v>
      </c>
      <c r="W13" s="12">
        <v>2.0798</v>
      </c>
      <c r="X13" s="4">
        <v>67.84</v>
      </c>
      <c r="Y13" s="4">
        <f>X$35/W13</f>
        <v>67.84306183286854</v>
      </c>
      <c r="Z13" s="4">
        <v>67.84</v>
      </c>
      <c r="AA13" s="4">
        <v>2.0675</v>
      </c>
      <c r="AB13" s="4">
        <v>68.34</v>
      </c>
      <c r="AC13" s="4">
        <f>AB$35/AA13</f>
        <v>68.33857315598549</v>
      </c>
      <c r="AD13" s="4">
        <v>68.22</v>
      </c>
      <c r="AE13" s="4">
        <v>2.0506</v>
      </c>
      <c r="AF13" s="4">
        <v>68.86</v>
      </c>
      <c r="AG13" s="4">
        <f>AF$35/AE13</f>
        <v>68.86277187164733</v>
      </c>
      <c r="AH13" s="4">
        <v>68.86</v>
      </c>
      <c r="AI13" s="4">
        <v>2.076</v>
      </c>
      <c r="AJ13" s="4">
        <v>68.46</v>
      </c>
      <c r="AK13" s="4">
        <f>AJ$35/AI13</f>
        <v>68.45857418111753</v>
      </c>
      <c r="AL13" s="4">
        <v>68.72</v>
      </c>
      <c r="AM13" s="4">
        <v>2.0787</v>
      </c>
      <c r="AN13" s="4">
        <v>68.34</v>
      </c>
      <c r="AO13" s="4">
        <f>AN$35/AM13</f>
        <v>68.33597921778035</v>
      </c>
      <c r="AP13" s="4">
        <v>68.57</v>
      </c>
      <c r="AQ13" s="4">
        <v>2.0847</v>
      </c>
      <c r="AR13" s="4">
        <v>68.2</v>
      </c>
      <c r="AS13" s="4">
        <f>AR$35/AQ13</f>
        <v>68.19686285796516</v>
      </c>
      <c r="AT13" s="4">
        <v>68.51</v>
      </c>
      <c r="AU13" s="4">
        <v>2.0758</v>
      </c>
      <c r="AV13" s="4">
        <v>68.39</v>
      </c>
      <c r="AW13" s="4">
        <f>AV$35/AU13</f>
        <v>68.38809133827922</v>
      </c>
      <c r="AX13" s="4">
        <v>68.47</v>
      </c>
      <c r="AY13" s="4">
        <v>2.078</v>
      </c>
      <c r="AZ13" s="4">
        <v>68.22</v>
      </c>
      <c r="BA13" s="4">
        <f>AZ$35/AY13</f>
        <v>68.22425409047162</v>
      </c>
      <c r="BB13" s="4">
        <v>68.58</v>
      </c>
      <c r="BC13" s="4">
        <v>2.0943</v>
      </c>
      <c r="BD13" s="4">
        <v>67.81</v>
      </c>
      <c r="BE13" s="4">
        <f>BD$35/BC13</f>
        <v>67.81263429308122</v>
      </c>
      <c r="BF13" s="4">
        <v>67.92</v>
      </c>
      <c r="BG13" s="4">
        <v>2.0767</v>
      </c>
      <c r="BH13" s="4">
        <v>68.32</v>
      </c>
      <c r="BI13" s="4">
        <f>BH$35/BG13</f>
        <v>68.32474599123609</v>
      </c>
      <c r="BJ13" s="4">
        <v>68.1</v>
      </c>
      <c r="BK13" s="4">
        <v>2.1008</v>
      </c>
      <c r="BL13" s="4">
        <v>67.5</v>
      </c>
      <c r="BM13" s="4">
        <f>BL$35/BK13</f>
        <v>67.50285605483626</v>
      </c>
      <c r="BN13" s="4">
        <v>67.88</v>
      </c>
      <c r="BO13" s="4">
        <v>2.1282</v>
      </c>
      <c r="BP13" s="4">
        <v>67</v>
      </c>
      <c r="BQ13" s="4">
        <f>BP$35/BO13</f>
        <v>67.00498073489334</v>
      </c>
      <c r="BR13" s="4">
        <v>67.43</v>
      </c>
      <c r="BS13" s="4">
        <v>2.1037</v>
      </c>
      <c r="BT13" s="4">
        <v>67.67</v>
      </c>
      <c r="BU13" s="4">
        <f>BT$35/BS13</f>
        <v>67.67124590008082</v>
      </c>
      <c r="BV13" s="4">
        <v>67.64</v>
      </c>
      <c r="BW13" s="4">
        <v>2.125</v>
      </c>
      <c r="BX13" s="4">
        <v>67.15</v>
      </c>
      <c r="BY13" s="4">
        <f>BX$35/BW13</f>
        <v>67.1435294117647</v>
      </c>
      <c r="BZ13" s="4">
        <v>67.62</v>
      </c>
      <c r="CA13" s="36">
        <v>2.1176</v>
      </c>
      <c r="CB13" s="36">
        <v>67.48</v>
      </c>
      <c r="CC13" s="36">
        <f>CB$35/CA13</f>
        <v>67.48205515678127</v>
      </c>
      <c r="CD13" s="4">
        <v>67.44</v>
      </c>
      <c r="CE13" s="4">
        <v>2.1019</v>
      </c>
      <c r="CF13" s="16">
        <v>67.76</v>
      </c>
      <c r="CG13" s="16">
        <f>CF$35/CE13</f>
        <v>67.76250059470003</v>
      </c>
      <c r="CH13" s="16">
        <v>67.88</v>
      </c>
      <c r="CI13" s="4">
        <f aca="true" t="shared" si="0" ref="CI13:CI29">(C13+G13+K13+O13+S13+W13+AA13+AE13+AI13+AM13+AQ13+AU13+AY13+BC13+BG13+BK13+BO13+BS13+BW13+CA13+CE13)/21</f>
        <v>2.0843619047619053</v>
      </c>
      <c r="CJ13" s="16">
        <f aca="true" t="shared" si="1" ref="CJ13:CL28">(D13+H13+L13+P13+T13+X13+AB13+AF13+AJ13+AN13+AR13+AV13+AZ13+BD13+BH13+BL13+BP13+BT13+BX13+CB13+CF13)/21</f>
        <v>68.0061904761905</v>
      </c>
      <c r="CK13" s="16">
        <f t="shared" si="1"/>
        <v>68.00722641360956</v>
      </c>
      <c r="CL13" s="16">
        <f t="shared" si="1"/>
        <v>67.96047619047621</v>
      </c>
    </row>
    <row r="14" spans="1:90" ht="15.75" customHeight="1">
      <c r="A14" s="26">
        <v>2</v>
      </c>
      <c r="B14" s="27" t="s">
        <v>39</v>
      </c>
      <c r="C14" s="4">
        <v>114.32</v>
      </c>
      <c r="D14" s="4">
        <v>123.38</v>
      </c>
      <c r="E14" s="4">
        <f>D$35/C14*100</f>
        <v>123.38173547935621</v>
      </c>
      <c r="F14" s="4"/>
      <c r="G14" s="4">
        <v>114.32</v>
      </c>
      <c r="H14" s="4">
        <v>123.26</v>
      </c>
      <c r="I14" s="4">
        <f>H$35/G14*100</f>
        <v>123.2592722183345</v>
      </c>
      <c r="J14" s="4"/>
      <c r="K14" s="4">
        <v>116.27</v>
      </c>
      <c r="L14" s="4">
        <v>120.9</v>
      </c>
      <c r="M14" s="4">
        <f>L$35/K14*100</f>
        <v>120.89963017115335</v>
      </c>
      <c r="N14" s="4"/>
      <c r="O14" s="4">
        <v>116.33</v>
      </c>
      <c r="P14" s="4">
        <v>120.82</v>
      </c>
      <c r="Q14" s="4">
        <f>P$35/O14*100</f>
        <v>120.8200808046076</v>
      </c>
      <c r="R14" s="4"/>
      <c r="S14" s="4">
        <v>115.78</v>
      </c>
      <c r="T14" s="4">
        <v>121.93</v>
      </c>
      <c r="U14" s="4">
        <f>T$35/S14*100</f>
        <v>121.92088443599931</v>
      </c>
      <c r="V14" s="4"/>
      <c r="W14" s="4">
        <v>116.33</v>
      </c>
      <c r="X14" s="4">
        <v>121.29</v>
      </c>
      <c r="Y14" s="4">
        <f>X$35/W14*100</f>
        <v>121.29287372131006</v>
      </c>
      <c r="Z14" s="4"/>
      <c r="AA14" s="4">
        <v>117.05</v>
      </c>
      <c r="AB14" s="4">
        <v>120.71</v>
      </c>
      <c r="AC14" s="4">
        <f>AB$35/AA14*100</f>
        <v>120.70909867577957</v>
      </c>
      <c r="AD14" s="4"/>
      <c r="AE14" s="4">
        <v>117.97</v>
      </c>
      <c r="AF14" s="4">
        <v>119.7</v>
      </c>
      <c r="AG14" s="4">
        <f>AF$35/AE14*100</f>
        <v>119.69992370941766</v>
      </c>
      <c r="AH14" s="4"/>
      <c r="AI14" s="4">
        <v>118.82</v>
      </c>
      <c r="AJ14" s="4">
        <v>119.61</v>
      </c>
      <c r="AK14" s="4">
        <f>AJ$35/AI14*100</f>
        <v>119.60949335128768</v>
      </c>
      <c r="AL14" s="4"/>
      <c r="AM14" s="4">
        <v>117.78</v>
      </c>
      <c r="AN14" s="4">
        <v>120.61</v>
      </c>
      <c r="AO14" s="4">
        <f>AN$35/AM14*100</f>
        <v>120.60621497707591</v>
      </c>
      <c r="AP14" s="4"/>
      <c r="AQ14" s="4">
        <v>117.47</v>
      </c>
      <c r="AR14" s="4">
        <v>121.03</v>
      </c>
      <c r="AS14" s="4">
        <f>AR$35/AQ14*100</f>
        <v>121.02664510087682</v>
      </c>
      <c r="AT14" s="4"/>
      <c r="AU14" s="4">
        <v>118.81</v>
      </c>
      <c r="AV14" s="4">
        <v>119.49</v>
      </c>
      <c r="AW14" s="4">
        <f>AV$35/AU14*100</f>
        <v>119.48489184412088</v>
      </c>
      <c r="AX14" s="4"/>
      <c r="AY14" s="4">
        <v>117.33</v>
      </c>
      <c r="AZ14" s="4">
        <v>120.83</v>
      </c>
      <c r="BA14" s="4">
        <f>AZ$35/AY14*100</f>
        <v>120.8301372198074</v>
      </c>
      <c r="BB14" s="4"/>
      <c r="BC14" s="4">
        <v>116.74</v>
      </c>
      <c r="BD14" s="4">
        <v>121.66</v>
      </c>
      <c r="BE14" s="4">
        <f>BD$35/BC14*100</f>
        <v>121.65495973959226</v>
      </c>
      <c r="BF14" s="4"/>
      <c r="BG14" s="4">
        <v>116.96</v>
      </c>
      <c r="BH14" s="4">
        <v>121.31</v>
      </c>
      <c r="BI14" s="4">
        <f>BH$35/BG14*100</f>
        <v>121.31497948016417</v>
      </c>
      <c r="BJ14" s="4"/>
      <c r="BK14" s="4">
        <v>118</v>
      </c>
      <c r="BL14" s="4">
        <v>120.18</v>
      </c>
      <c r="BM14" s="4">
        <f>BL$35/BK14*100</f>
        <v>120.1779661016949</v>
      </c>
      <c r="BN14" s="4"/>
      <c r="BO14" s="4">
        <v>117.77</v>
      </c>
      <c r="BP14" s="4">
        <v>121.08</v>
      </c>
      <c r="BQ14" s="4">
        <f>BP$35/BO14*100</f>
        <v>121.08346777617389</v>
      </c>
      <c r="BR14" s="4"/>
      <c r="BS14" s="4">
        <v>116.61</v>
      </c>
      <c r="BT14" s="4">
        <v>122.08</v>
      </c>
      <c r="BU14" s="4">
        <f>BT$35/BS14*100</f>
        <v>122.0821541891776</v>
      </c>
      <c r="BV14" s="4"/>
      <c r="BW14" s="4">
        <v>116.4</v>
      </c>
      <c r="BX14" s="4">
        <v>122.58</v>
      </c>
      <c r="BY14" s="4">
        <f>BX$35/BW14*100</f>
        <v>122.57731958762888</v>
      </c>
      <c r="BZ14" s="4"/>
      <c r="CA14" s="36">
        <v>116.72</v>
      </c>
      <c r="CB14" s="36">
        <v>122.43</v>
      </c>
      <c r="CC14" s="36">
        <f>CB$35/CA14*100</f>
        <v>122.42974640164496</v>
      </c>
      <c r="CD14" s="4"/>
      <c r="CE14" s="4">
        <v>116.21</v>
      </c>
      <c r="CF14" s="16">
        <v>122.56</v>
      </c>
      <c r="CG14" s="16">
        <f>CF$35/CE14*100</f>
        <v>122.56260218569832</v>
      </c>
      <c r="CH14" s="4"/>
      <c r="CI14" s="4">
        <f t="shared" si="0"/>
        <v>116.85666666666665</v>
      </c>
      <c r="CJ14" s="16">
        <f t="shared" si="1"/>
        <v>121.30666666666664</v>
      </c>
      <c r="CK14" s="16">
        <f t="shared" si="1"/>
        <v>121.30590843670964</v>
      </c>
      <c r="CL14" s="4"/>
    </row>
    <row r="15" spans="1:90" ht="15.75" customHeight="1">
      <c r="A15" s="26">
        <v>3</v>
      </c>
      <c r="B15" s="27" t="s">
        <v>40</v>
      </c>
      <c r="C15" s="4">
        <f>1/1.504</f>
        <v>0.6648936170212766</v>
      </c>
      <c r="D15" s="4">
        <v>212.14</v>
      </c>
      <c r="E15" s="4">
        <f>D$35/C15</f>
        <v>212.13920000000002</v>
      </c>
      <c r="F15" s="4"/>
      <c r="G15" s="4">
        <f>1/1.5013</f>
        <v>0.6660893891960301</v>
      </c>
      <c r="H15" s="4">
        <v>211.56</v>
      </c>
      <c r="I15" s="4">
        <f>H$35/G15</f>
        <v>211.548183</v>
      </c>
      <c r="J15" s="4"/>
      <c r="K15" s="4">
        <f>1/1.5002</f>
        <v>0.6665777896280496</v>
      </c>
      <c r="L15" s="4">
        <v>210.88</v>
      </c>
      <c r="M15" s="4">
        <f>L$35/K15</f>
        <v>210.88311399999998</v>
      </c>
      <c r="N15" s="4"/>
      <c r="O15" s="4">
        <f>1/1.5006</f>
        <v>0.666400106624017</v>
      </c>
      <c r="P15" s="4">
        <v>210.91</v>
      </c>
      <c r="Q15" s="4">
        <f>P$35/O15</f>
        <v>210.90933</v>
      </c>
      <c r="R15" s="4"/>
      <c r="S15" s="4">
        <f>1/1.4888</f>
        <v>0.6716818914562064</v>
      </c>
      <c r="T15" s="4">
        <v>210.17</v>
      </c>
      <c r="U15" s="4">
        <f>T$35/S15</f>
        <v>210.15900799999997</v>
      </c>
      <c r="V15" s="4"/>
      <c r="W15" s="4">
        <f>1/1.4906</f>
        <v>0.670870790285791</v>
      </c>
      <c r="X15" s="4">
        <v>210.32</v>
      </c>
      <c r="Y15" s="4">
        <f>X$35/W15</f>
        <v>210.32366</v>
      </c>
      <c r="Z15" s="4"/>
      <c r="AA15" s="4">
        <f>1/1.4931</f>
        <v>0.6697475051905432</v>
      </c>
      <c r="AB15" s="4">
        <v>210.96</v>
      </c>
      <c r="AC15" s="4">
        <f>AB$35/AA15</f>
        <v>210.96009899999999</v>
      </c>
      <c r="AD15" s="4"/>
      <c r="AE15" s="4">
        <f>1/1.4971</f>
        <v>0.6679580522343196</v>
      </c>
      <c r="AF15" s="4">
        <v>211.4</v>
      </c>
      <c r="AG15" s="4">
        <f>AF$35/AE15</f>
        <v>211.40549100000004</v>
      </c>
      <c r="AH15" s="4"/>
      <c r="AI15" s="4">
        <f>1/1.4789</f>
        <v>0.6761782405842179</v>
      </c>
      <c r="AJ15" s="4">
        <v>210.18</v>
      </c>
      <c r="AK15" s="4">
        <f>AJ$35/AI15</f>
        <v>210.18126800000002</v>
      </c>
      <c r="AL15" s="4"/>
      <c r="AM15" s="4">
        <f>1/1.4699</f>
        <v>0.6803183890060548</v>
      </c>
      <c r="AN15" s="4">
        <v>208.8</v>
      </c>
      <c r="AO15" s="4">
        <f>AN$35/AM15</f>
        <v>208.79929500000003</v>
      </c>
      <c r="AP15" s="4"/>
      <c r="AQ15" s="4">
        <f>1/1.4708</f>
        <v>0.6799020940984498</v>
      </c>
      <c r="AR15" s="4">
        <v>209.11</v>
      </c>
      <c r="AS15" s="4">
        <f>AR$35/AQ15</f>
        <v>209.103636</v>
      </c>
      <c r="AT15" s="4"/>
      <c r="AU15" s="4">
        <f>1/1.4724</f>
        <v>0.6791632708503125</v>
      </c>
      <c r="AV15" s="4">
        <v>209.03</v>
      </c>
      <c r="AW15" s="4">
        <f>AV$35/AU15</f>
        <v>209.021904</v>
      </c>
      <c r="AX15" s="4"/>
      <c r="AY15" s="4">
        <f>1/1.4733</f>
        <v>0.6787483879725785</v>
      </c>
      <c r="AZ15" s="4">
        <v>208.86</v>
      </c>
      <c r="BA15" s="4">
        <f>AZ$35/AY15</f>
        <v>208.86974100000003</v>
      </c>
      <c r="BB15" s="4"/>
      <c r="BC15" s="4">
        <f>1/1.46</f>
        <v>0.684931506849315</v>
      </c>
      <c r="BD15" s="4">
        <v>207.35</v>
      </c>
      <c r="BE15" s="4">
        <f>BD$35/BC15</f>
        <v>207.34920000000002</v>
      </c>
      <c r="BF15" s="4"/>
      <c r="BG15" s="4">
        <f>1/1.4682</f>
        <v>0.6811061163329247</v>
      </c>
      <c r="BH15" s="4">
        <v>208.32</v>
      </c>
      <c r="BI15" s="4">
        <f>BH$35/BG15</f>
        <v>208.32289799999995</v>
      </c>
      <c r="BJ15" s="4"/>
      <c r="BK15" s="4">
        <f>1/1.465</f>
        <v>0.68259385665529</v>
      </c>
      <c r="BL15" s="4">
        <v>207.75</v>
      </c>
      <c r="BM15" s="4">
        <f>BL$35/BK15</f>
        <v>207.75165</v>
      </c>
      <c r="BN15" s="4"/>
      <c r="BO15" s="4">
        <f>1/1.4532</f>
        <v>0.6881365262868153</v>
      </c>
      <c r="BP15" s="4">
        <v>207.22</v>
      </c>
      <c r="BQ15" s="4">
        <f>BP$35/BO15</f>
        <v>207.22632</v>
      </c>
      <c r="BR15" s="4"/>
      <c r="BS15" s="4">
        <f>1/1.467</f>
        <v>0.6816632583503749</v>
      </c>
      <c r="BT15" s="4">
        <v>208.85</v>
      </c>
      <c r="BU15" s="4">
        <f>BT$35/BS15</f>
        <v>208.84212000000002</v>
      </c>
      <c r="BV15" s="4"/>
      <c r="BW15" s="4">
        <f>1/1.4591</f>
        <v>0.6853539853334247</v>
      </c>
      <c r="BX15" s="4">
        <v>208.19</v>
      </c>
      <c r="BY15" s="4">
        <f>BX$35/BW15</f>
        <v>208.184388</v>
      </c>
      <c r="BZ15" s="4"/>
      <c r="CA15" s="36">
        <f>1/1.4617</f>
        <v>0.684134911404529</v>
      </c>
      <c r="CB15" s="36">
        <v>208.88</v>
      </c>
      <c r="CC15" s="36">
        <f>CB$35/CA15</f>
        <v>208.87693000000002</v>
      </c>
      <c r="CD15" s="4"/>
      <c r="CE15" s="4">
        <f>1/1.4617</f>
        <v>0.684134911404529</v>
      </c>
      <c r="CF15" s="16">
        <v>208.19</v>
      </c>
      <c r="CG15" s="16">
        <f>CF$35/CE15</f>
        <v>208.189931</v>
      </c>
      <c r="CH15" s="4"/>
      <c r="CI15" s="4">
        <f t="shared" si="0"/>
        <v>0.6766945046078595</v>
      </c>
      <c r="CJ15" s="16">
        <f t="shared" si="1"/>
        <v>209.47952380952378</v>
      </c>
      <c r="CK15" s="16">
        <f t="shared" si="1"/>
        <v>209.478446</v>
      </c>
      <c r="CL15" s="4"/>
    </row>
    <row r="16" spans="1:90" ht="15.75" customHeight="1">
      <c r="A16" s="26">
        <v>4</v>
      </c>
      <c r="B16" s="27" t="s">
        <v>41</v>
      </c>
      <c r="C16" s="4">
        <v>1.6066</v>
      </c>
      <c r="D16" s="4">
        <v>87.79</v>
      </c>
      <c r="E16" s="4">
        <f>D$35/C16</f>
        <v>87.79409934022159</v>
      </c>
      <c r="F16" s="4"/>
      <c r="G16" s="4">
        <v>1.608</v>
      </c>
      <c r="H16" s="4">
        <v>87.63</v>
      </c>
      <c r="I16" s="4">
        <f>H$35/G16</f>
        <v>87.63059701492537</v>
      </c>
      <c r="J16" s="4"/>
      <c r="K16" s="4">
        <v>1.6062</v>
      </c>
      <c r="L16" s="4">
        <v>87.52</v>
      </c>
      <c r="M16" s="4">
        <f>L$35/K16</f>
        <v>87.51712115552235</v>
      </c>
      <c r="N16" s="4"/>
      <c r="O16" s="4">
        <v>1.6044</v>
      </c>
      <c r="P16" s="4">
        <v>87.6</v>
      </c>
      <c r="Q16" s="4">
        <f>P$35/O16</f>
        <v>87.60284218399403</v>
      </c>
      <c r="R16" s="4"/>
      <c r="S16" s="4">
        <v>1.6072</v>
      </c>
      <c r="T16" s="4">
        <v>87.83</v>
      </c>
      <c r="U16" s="4">
        <f>T$35/S16</f>
        <v>87.82976605276257</v>
      </c>
      <c r="V16" s="4"/>
      <c r="W16" s="4">
        <v>1.6228</v>
      </c>
      <c r="X16" s="4">
        <v>86.95</v>
      </c>
      <c r="Y16" s="4">
        <f>X$35/W16</f>
        <v>86.94848410155286</v>
      </c>
      <c r="Z16" s="4"/>
      <c r="AA16" s="4">
        <v>1.6158</v>
      </c>
      <c r="AB16" s="4">
        <v>87.44</v>
      </c>
      <c r="AC16" s="4">
        <f>AB$35/AA16</f>
        <v>87.44275281594257</v>
      </c>
      <c r="AD16" s="4"/>
      <c r="AE16" s="4">
        <v>1.6118</v>
      </c>
      <c r="AF16" s="4">
        <v>87.61</v>
      </c>
      <c r="AG16" s="4">
        <f>AF$35/AE16</f>
        <v>87.6101253257228</v>
      </c>
      <c r="AH16" s="4"/>
      <c r="AI16" s="4">
        <v>1.635</v>
      </c>
      <c r="AJ16" s="4">
        <v>86.92</v>
      </c>
      <c r="AK16" s="4">
        <f>AJ$35/AI16</f>
        <v>86.92354740061162</v>
      </c>
      <c r="AL16" s="4"/>
      <c r="AM16" s="4">
        <v>1.6342</v>
      </c>
      <c r="AN16" s="4">
        <v>86.92</v>
      </c>
      <c r="AO16" s="4">
        <f>AN$35/AM16</f>
        <v>86.92326520621711</v>
      </c>
      <c r="AP16" s="4"/>
      <c r="AQ16" s="4">
        <v>1.6394</v>
      </c>
      <c r="AR16" s="4">
        <v>86.72</v>
      </c>
      <c r="AS16" s="4">
        <f>AR$35/AQ16</f>
        <v>86.72075149444919</v>
      </c>
      <c r="AT16" s="4"/>
      <c r="AU16" s="4">
        <v>1.6222</v>
      </c>
      <c r="AV16" s="4">
        <v>87.51</v>
      </c>
      <c r="AW16" s="4">
        <f>AV$35/AU16</f>
        <v>87.51078781901121</v>
      </c>
      <c r="AX16" s="4"/>
      <c r="AY16" s="4">
        <v>1.6248</v>
      </c>
      <c r="AZ16" s="4">
        <v>87.25</v>
      </c>
      <c r="BA16" s="4">
        <f>AZ$35/AY16</f>
        <v>87.25381585425899</v>
      </c>
      <c r="BB16" s="4"/>
      <c r="BC16" s="4">
        <v>1.6418</v>
      </c>
      <c r="BD16" s="4">
        <v>86.5</v>
      </c>
      <c r="BE16" s="4">
        <f>BD$35/BC16</f>
        <v>86.50261907662323</v>
      </c>
      <c r="BF16" s="4"/>
      <c r="BG16" s="4">
        <v>1.6296</v>
      </c>
      <c r="BH16" s="4">
        <v>87.07</v>
      </c>
      <c r="BI16" s="4">
        <f>BH$35/BG16</f>
        <v>87.07044673539518</v>
      </c>
      <c r="BJ16" s="4"/>
      <c r="BK16" s="4">
        <v>1.645</v>
      </c>
      <c r="BL16" s="4">
        <v>86.21</v>
      </c>
      <c r="BM16" s="4">
        <f>BL$35/BK16</f>
        <v>86.20668693009118</v>
      </c>
      <c r="BN16" s="4"/>
      <c r="BO16" s="4">
        <v>1.662</v>
      </c>
      <c r="BP16" s="4">
        <v>85.8</v>
      </c>
      <c r="BQ16" s="4">
        <f>BP$35/BO16</f>
        <v>85.80024067388689</v>
      </c>
      <c r="BR16" s="4"/>
      <c r="BS16" s="4">
        <v>1.6418</v>
      </c>
      <c r="BT16" s="4">
        <v>86.71</v>
      </c>
      <c r="BU16" s="4">
        <f>BT$35/BS16</f>
        <v>86.70970885613353</v>
      </c>
      <c r="BV16" s="4"/>
      <c r="BW16" s="4">
        <v>1.6549</v>
      </c>
      <c r="BX16" s="4">
        <v>86.22</v>
      </c>
      <c r="BY16" s="4">
        <f>BX$35/BW16</f>
        <v>86.21668983020122</v>
      </c>
      <c r="BZ16" s="4"/>
      <c r="CA16" s="36">
        <v>1.648</v>
      </c>
      <c r="CB16" s="36">
        <v>86.71</v>
      </c>
      <c r="CC16" s="36">
        <f>CB$35/CA16</f>
        <v>86.71116504854369</v>
      </c>
      <c r="CD16" s="4"/>
      <c r="CE16" s="4">
        <v>1.6407</v>
      </c>
      <c r="CF16" s="16">
        <v>86.81</v>
      </c>
      <c r="CG16" s="16">
        <f>CF$35/CE16</f>
        <v>86.81050771012373</v>
      </c>
      <c r="CH16" s="4"/>
      <c r="CI16" s="4">
        <f t="shared" si="0"/>
        <v>1.6286761904761906</v>
      </c>
      <c r="CJ16" s="16">
        <f t="shared" si="1"/>
        <v>87.03428571428572</v>
      </c>
      <c r="CK16" s="16">
        <f t="shared" si="1"/>
        <v>87.0350486012472</v>
      </c>
      <c r="CL16" s="4"/>
    </row>
    <row r="17" spans="1:90" ht="15.75" customHeight="1">
      <c r="A17" s="26">
        <v>5</v>
      </c>
      <c r="B17" s="27" t="s">
        <v>42</v>
      </c>
      <c r="C17" s="4">
        <v>6.9391</v>
      </c>
      <c r="D17" s="4">
        <v>20.33</v>
      </c>
      <c r="E17" s="4">
        <f>D$35/C17</f>
        <v>20.326843538787454</v>
      </c>
      <c r="F17" s="4"/>
      <c r="G17" s="4">
        <v>6.9509</v>
      </c>
      <c r="H17" s="4">
        <v>20.27</v>
      </c>
      <c r="I17" s="4">
        <f>H$35/G17</f>
        <v>20.272194967558157</v>
      </c>
      <c r="J17" s="4"/>
      <c r="K17" s="4">
        <v>6.9005</v>
      </c>
      <c r="L17" s="4">
        <v>20.37</v>
      </c>
      <c r="M17" s="4">
        <f>L$35/K17</f>
        <v>20.370987609593506</v>
      </c>
      <c r="N17" s="4"/>
      <c r="O17" s="4">
        <v>6.8932</v>
      </c>
      <c r="P17" s="4">
        <v>20.39</v>
      </c>
      <c r="Q17" s="4">
        <f>P$35/O17</f>
        <v>20.389659374455988</v>
      </c>
      <c r="R17" s="4"/>
      <c r="S17" s="4">
        <v>6.9694</v>
      </c>
      <c r="T17" s="4">
        <v>20.26</v>
      </c>
      <c r="U17" s="4">
        <f>T$35/S17</f>
        <v>20.254254311705456</v>
      </c>
      <c r="V17" s="4"/>
      <c r="W17" s="4">
        <v>6.9753</v>
      </c>
      <c r="X17" s="4">
        <v>20.23</v>
      </c>
      <c r="Y17" s="4">
        <f>X$35/W17</f>
        <v>20.228520637105213</v>
      </c>
      <c r="Z17" s="4"/>
      <c r="AA17" s="4">
        <v>6.934</v>
      </c>
      <c r="AB17" s="4">
        <v>20.38</v>
      </c>
      <c r="AC17" s="4">
        <f>AB$35/AA17</f>
        <v>20.37640611479665</v>
      </c>
      <c r="AD17" s="4"/>
      <c r="AE17" s="4">
        <v>6.8773</v>
      </c>
      <c r="AF17" s="4">
        <v>20.53</v>
      </c>
      <c r="AG17" s="4">
        <f>AF$35/AE17</f>
        <v>20.532767219693778</v>
      </c>
      <c r="AH17" s="4"/>
      <c r="AI17" s="4">
        <v>6.9627</v>
      </c>
      <c r="AJ17" s="4">
        <v>20.41</v>
      </c>
      <c r="AK17" s="4">
        <f>AJ$35/AI17</f>
        <v>20.41162192827495</v>
      </c>
      <c r="AL17" s="4"/>
      <c r="AM17" s="4">
        <v>6.9716</v>
      </c>
      <c r="AN17" s="4">
        <v>20.38</v>
      </c>
      <c r="AO17" s="4">
        <f>AN$35/AM17</f>
        <v>20.375523552699526</v>
      </c>
      <c r="AP17" s="4"/>
      <c r="AQ17" s="4">
        <v>6.9917</v>
      </c>
      <c r="AR17" s="4">
        <v>20.33</v>
      </c>
      <c r="AS17" s="4">
        <f>AR$35/AQ17</f>
        <v>20.334110445242214</v>
      </c>
      <c r="AT17" s="4"/>
      <c r="AU17" s="4">
        <v>6.962</v>
      </c>
      <c r="AV17" s="4">
        <v>20.39</v>
      </c>
      <c r="AW17" s="4">
        <f>AV$35/AU17</f>
        <v>20.39069232979029</v>
      </c>
      <c r="AX17" s="4"/>
      <c r="AY17" s="4">
        <v>6.9694</v>
      </c>
      <c r="AZ17" s="4">
        <v>20.34</v>
      </c>
      <c r="BA17" s="4">
        <f>AZ$35/AY17</f>
        <v>20.341779780181938</v>
      </c>
      <c r="BB17" s="4"/>
      <c r="BC17" s="4">
        <v>7.0238</v>
      </c>
      <c r="BD17" s="4">
        <v>20.22</v>
      </c>
      <c r="BE17" s="4">
        <f>BD$35/BC17</f>
        <v>20.21982402688004</v>
      </c>
      <c r="BF17" s="4"/>
      <c r="BG17" s="4">
        <v>6.9649</v>
      </c>
      <c r="BH17" s="4">
        <v>20.37</v>
      </c>
      <c r="BI17" s="4">
        <f>BH$35/BG17</f>
        <v>20.372151789688292</v>
      </c>
      <c r="BJ17" s="4"/>
      <c r="BK17" s="4">
        <v>7.0457</v>
      </c>
      <c r="BL17" s="4">
        <v>20.13</v>
      </c>
      <c r="BM17" s="4">
        <f>BL$35/BK17</f>
        <v>20.12716976311793</v>
      </c>
      <c r="BN17" s="4"/>
      <c r="BO17" s="4">
        <v>7.1377</v>
      </c>
      <c r="BP17" s="4">
        <v>19.98</v>
      </c>
      <c r="BQ17" s="4">
        <f>BP$35/BO17</f>
        <v>19.978424422432997</v>
      </c>
      <c r="BR17" s="4"/>
      <c r="BS17" s="4">
        <v>7.0556</v>
      </c>
      <c r="BT17" s="4">
        <v>20.18</v>
      </c>
      <c r="BU17" s="4">
        <f>BT$35/BS17</f>
        <v>20.17688077555417</v>
      </c>
      <c r="BV17" s="4"/>
      <c r="BW17" s="4">
        <v>7.1269</v>
      </c>
      <c r="BX17" s="4">
        <v>20.02</v>
      </c>
      <c r="BY17" s="4">
        <f>BX$35/BW17</f>
        <v>20.019924511358376</v>
      </c>
      <c r="BZ17" s="4"/>
      <c r="CA17" s="36">
        <v>7.1022</v>
      </c>
      <c r="CB17" s="36">
        <v>20.12</v>
      </c>
      <c r="CC17" s="36">
        <f>CB$35/CA17</f>
        <v>20.120526034186593</v>
      </c>
      <c r="CD17" s="4"/>
      <c r="CE17" s="4">
        <v>7.0495</v>
      </c>
      <c r="CF17" s="16">
        <v>20.2</v>
      </c>
      <c r="CG17" s="16">
        <f>CF$35/CE17</f>
        <v>20.204269806369247</v>
      </c>
      <c r="CH17" s="4"/>
      <c r="CI17" s="4">
        <f t="shared" si="0"/>
        <v>6.990638095238094</v>
      </c>
      <c r="CJ17" s="16">
        <f t="shared" si="1"/>
        <v>20.277619047619044</v>
      </c>
      <c r="CK17" s="16">
        <f t="shared" si="1"/>
        <v>20.277358711403465</v>
      </c>
      <c r="CL17" s="4"/>
    </row>
    <row r="18" spans="1:90" ht="15.75" customHeight="1">
      <c r="A18" s="26">
        <v>6</v>
      </c>
      <c r="B18" s="27" t="s">
        <v>43</v>
      </c>
      <c r="C18" s="4">
        <v>2.3312</v>
      </c>
      <c r="D18" s="4">
        <v>60.5</v>
      </c>
      <c r="E18" s="4">
        <f>D$35/C18</f>
        <v>60.505319148936174</v>
      </c>
      <c r="F18" s="4"/>
      <c r="G18" s="4">
        <v>2.3352</v>
      </c>
      <c r="H18" s="4">
        <v>60.34</v>
      </c>
      <c r="I18" s="4">
        <f>H$35/G18</f>
        <v>60.34172661870504</v>
      </c>
      <c r="J18" s="4"/>
      <c r="K18" s="4">
        <v>2.3182</v>
      </c>
      <c r="L18" s="4">
        <v>60.64</v>
      </c>
      <c r="M18" s="4">
        <f>L$35/K18</f>
        <v>60.637563626951945</v>
      </c>
      <c r="N18" s="4"/>
      <c r="O18" s="4">
        <v>2.3158</v>
      </c>
      <c r="P18" s="4">
        <v>60.69</v>
      </c>
      <c r="Q18" s="4">
        <f>P$35/O18</f>
        <v>60.69176958286554</v>
      </c>
      <c r="R18" s="4"/>
      <c r="S18" s="4">
        <v>2.3414</v>
      </c>
      <c r="T18" s="4">
        <v>60.29</v>
      </c>
      <c r="U18" s="4">
        <f>T$35/S18</f>
        <v>60.28871615272913</v>
      </c>
      <c r="V18" s="4"/>
      <c r="W18" s="4">
        <v>2.3434</v>
      </c>
      <c r="X18" s="4">
        <v>60.21</v>
      </c>
      <c r="Y18" s="4">
        <f>X$35/W18</f>
        <v>60.211658274302295</v>
      </c>
      <c r="Z18" s="4"/>
      <c r="AA18" s="4">
        <v>2.3295</v>
      </c>
      <c r="AB18" s="4">
        <v>60.65</v>
      </c>
      <c r="AC18" s="4">
        <f>AB$35/AA18</f>
        <v>60.65250053659584</v>
      </c>
      <c r="AD18" s="4"/>
      <c r="AE18" s="4">
        <v>2.3105</v>
      </c>
      <c r="AF18" s="4">
        <v>61.12</v>
      </c>
      <c r="AG18" s="4">
        <f>AF$35/AE18</f>
        <v>61.11664141960615</v>
      </c>
      <c r="AH18" s="4"/>
      <c r="AI18" s="4">
        <v>2.3391</v>
      </c>
      <c r="AJ18" s="4">
        <v>60.76</v>
      </c>
      <c r="AK18" s="4">
        <f>AJ$35/AI18</f>
        <v>60.758411354794575</v>
      </c>
      <c r="AL18" s="4"/>
      <c r="AM18" s="4">
        <v>2.3421</v>
      </c>
      <c r="AN18" s="4">
        <v>60.65</v>
      </c>
      <c r="AO18" s="4">
        <f>AN$35/AM18</f>
        <v>60.65069809145639</v>
      </c>
      <c r="AP18" s="4"/>
      <c r="AQ18" s="4">
        <v>2.3489</v>
      </c>
      <c r="AR18" s="4">
        <v>60.53</v>
      </c>
      <c r="AS18" s="4">
        <f>AR$35/AQ18</f>
        <v>60.52620375494912</v>
      </c>
      <c r="AT18" s="4"/>
      <c r="AU18" s="4">
        <v>2.3389</v>
      </c>
      <c r="AV18" s="4">
        <v>60.7</v>
      </c>
      <c r="AW18" s="4">
        <f>AV$35/AU18</f>
        <v>60.69519859763136</v>
      </c>
      <c r="AX18" s="4"/>
      <c r="AY18" s="4">
        <v>2.3414</v>
      </c>
      <c r="AZ18" s="4">
        <v>60.55</v>
      </c>
      <c r="BA18" s="4">
        <f>AZ$35/AY18</f>
        <v>60.54924404202614</v>
      </c>
      <c r="BB18" s="4"/>
      <c r="BC18" s="4">
        <v>2.3597</v>
      </c>
      <c r="BD18" s="4">
        <v>60.19</v>
      </c>
      <c r="BE18" s="4">
        <f>BD$35/BC18</f>
        <v>60.18561681569691</v>
      </c>
      <c r="BF18" s="4"/>
      <c r="BG18" s="4">
        <v>2.3399</v>
      </c>
      <c r="BH18" s="4">
        <v>60.64</v>
      </c>
      <c r="BI18" s="4">
        <f>BH$35/BG18</f>
        <v>60.639343561690666</v>
      </c>
      <c r="BJ18" s="4"/>
      <c r="BK18" s="4">
        <v>2.367</v>
      </c>
      <c r="BL18" s="4">
        <v>59.91</v>
      </c>
      <c r="BM18" s="4">
        <f>BL$35/BK18</f>
        <v>59.91128010139417</v>
      </c>
      <c r="BN18" s="4"/>
      <c r="BO18" s="4">
        <v>2.3979</v>
      </c>
      <c r="BP18" s="4">
        <v>59.47</v>
      </c>
      <c r="BQ18" s="4">
        <f>BP$35/BO18</f>
        <v>59.4687017807248</v>
      </c>
      <c r="BR18" s="4"/>
      <c r="BS18" s="4">
        <v>2.3703</v>
      </c>
      <c r="BT18" s="4">
        <v>60.06</v>
      </c>
      <c r="BU18" s="4">
        <f>BT$35/BS18</f>
        <v>60.05990802851961</v>
      </c>
      <c r="BV18" s="4"/>
      <c r="BW18" s="4">
        <v>2.3943</v>
      </c>
      <c r="BX18" s="4">
        <v>59.59</v>
      </c>
      <c r="BY18" s="4">
        <f>BX$35/BW18</f>
        <v>59.59152988347326</v>
      </c>
      <c r="BZ18" s="4"/>
      <c r="CA18" s="36">
        <v>2.386</v>
      </c>
      <c r="CB18" s="36">
        <v>59.89</v>
      </c>
      <c r="CC18" s="36">
        <f>CB$35/CA18</f>
        <v>59.89103101424979</v>
      </c>
      <c r="CD18" s="4"/>
      <c r="CE18" s="4">
        <v>2.3683</v>
      </c>
      <c r="CF18" s="16">
        <v>60.14</v>
      </c>
      <c r="CG18" s="16">
        <f>CF$35/CE18</f>
        <v>60.140184942785964</v>
      </c>
      <c r="CH18" s="4"/>
      <c r="CI18" s="4">
        <f t="shared" si="0"/>
        <v>2.3485238095238095</v>
      </c>
      <c r="CJ18" s="16">
        <f t="shared" si="1"/>
        <v>60.35809523809524</v>
      </c>
      <c r="CK18" s="16">
        <f t="shared" si="1"/>
        <v>60.357773682384995</v>
      </c>
      <c r="CL18" s="4"/>
    </row>
    <row r="19" spans="1:90" ht="15.75" customHeight="1">
      <c r="A19" s="26">
        <v>7</v>
      </c>
      <c r="B19" s="27" t="s">
        <v>44</v>
      </c>
      <c r="C19" s="4">
        <v>2048.3127</v>
      </c>
      <c r="D19" s="4">
        <v>68.86</v>
      </c>
      <c r="E19" s="4">
        <f>D$35/C19*1000</f>
        <v>68.86155614814086</v>
      </c>
      <c r="F19" s="4">
        <v>67.57</v>
      </c>
      <c r="G19" s="4">
        <v>2051.7855</v>
      </c>
      <c r="H19" s="4">
        <v>68.68</v>
      </c>
      <c r="I19" s="4">
        <f>H$35/G19*1000</f>
        <v>68.67676957459734</v>
      </c>
      <c r="J19" s="4">
        <v>67.42</v>
      </c>
      <c r="K19" s="4">
        <v>2036.8925</v>
      </c>
      <c r="L19" s="4">
        <v>69.01</v>
      </c>
      <c r="M19" s="4">
        <f>L$35/K19*1000</f>
        <v>69.01198762330363</v>
      </c>
      <c r="N19" s="4">
        <v>67.6</v>
      </c>
      <c r="O19" s="4">
        <v>2034.752</v>
      </c>
      <c r="P19" s="4">
        <v>69.07</v>
      </c>
      <c r="Q19" s="4">
        <f>P$35/O19*1000</f>
        <v>69.07475702198599</v>
      </c>
      <c r="R19" s="4">
        <v>68.26</v>
      </c>
      <c r="S19" s="4">
        <v>2057.2354</v>
      </c>
      <c r="T19" s="4">
        <v>68.62</v>
      </c>
      <c r="U19" s="4">
        <f>T$35/S19*1000</f>
        <v>68.61635766135466</v>
      </c>
      <c r="V19" s="4">
        <v>68.05</v>
      </c>
      <c r="W19" s="4">
        <v>2058.9855</v>
      </c>
      <c r="X19" s="4">
        <v>68.53</v>
      </c>
      <c r="Y19" s="4">
        <f>X$35/W19*1000</f>
        <v>68.52889444826106</v>
      </c>
      <c r="Z19" s="4">
        <v>68.14</v>
      </c>
      <c r="AA19" s="4">
        <v>2046.797</v>
      </c>
      <c r="AB19" s="4">
        <v>69.03</v>
      </c>
      <c r="AC19" s="4">
        <f>AB$35/AA19*1000</f>
        <v>69.0298060823814</v>
      </c>
      <c r="AD19" s="4">
        <v>68.5</v>
      </c>
      <c r="AE19" s="4">
        <v>2030.0587</v>
      </c>
      <c r="AF19" s="4">
        <v>69.56</v>
      </c>
      <c r="AG19" s="4">
        <f>AF$35/AE19*1000</f>
        <v>69.55956495248144</v>
      </c>
      <c r="AH19" s="4">
        <v>69.17</v>
      </c>
      <c r="AI19" s="4">
        <v>2055.2701</v>
      </c>
      <c r="AJ19" s="4">
        <v>69.15</v>
      </c>
      <c r="AK19" s="4">
        <f>AJ$35/AI19*1000</f>
        <v>69.14906220841728</v>
      </c>
      <c r="AL19" s="4">
        <v>68.9</v>
      </c>
      <c r="AM19" s="4">
        <v>2057.8914</v>
      </c>
      <c r="AN19" s="4">
        <v>69.03</v>
      </c>
      <c r="AO19" s="4">
        <f>AN$35/AM19*1000</f>
        <v>69.02696614602695</v>
      </c>
      <c r="AP19" s="4">
        <v>68.83</v>
      </c>
      <c r="AQ19" s="4">
        <v>2063.8137</v>
      </c>
      <c r="AR19" s="4">
        <v>68.89</v>
      </c>
      <c r="AS19" s="4">
        <f>AR$35/AQ19*1000</f>
        <v>68.88703180912113</v>
      </c>
      <c r="AT19" s="4">
        <v>68.81</v>
      </c>
      <c r="AU19" s="4">
        <v>2055.052</v>
      </c>
      <c r="AV19" s="4">
        <v>69.08</v>
      </c>
      <c r="AW19" s="4">
        <f>AV$35/AU19*1000</f>
        <v>69.07854399791344</v>
      </c>
      <c r="AX19" s="4">
        <v>68.74</v>
      </c>
      <c r="AY19" s="4">
        <v>2057.2354</v>
      </c>
      <c r="AZ19" s="4">
        <v>68.91</v>
      </c>
      <c r="BA19" s="4">
        <f>AZ$35/AY19*1000</f>
        <v>68.91287210010094</v>
      </c>
      <c r="BB19" s="4">
        <v>68.88</v>
      </c>
      <c r="BC19" s="4">
        <v>2073.3162</v>
      </c>
      <c r="BD19" s="4">
        <v>68.5</v>
      </c>
      <c r="BE19" s="4">
        <f>BD$35/BC19*1000</f>
        <v>68.49895833544348</v>
      </c>
      <c r="BF19" s="4">
        <v>68.29</v>
      </c>
      <c r="BG19" s="4">
        <v>2055.9248</v>
      </c>
      <c r="BH19" s="4">
        <v>69.01</v>
      </c>
      <c r="BI19" s="4">
        <f>BH$35/BG19*1000</f>
        <v>69.01517020466896</v>
      </c>
      <c r="BJ19" s="4">
        <v>68.55</v>
      </c>
      <c r="BK19" s="4">
        <v>2079.7744</v>
      </c>
      <c r="BL19" s="4">
        <v>68.18</v>
      </c>
      <c r="BM19" s="4">
        <f>BL$35/BK19*1000</f>
        <v>68.18528009576424</v>
      </c>
      <c r="BN19" s="4">
        <v>68.41</v>
      </c>
      <c r="BO19" s="4">
        <v>2106.9314</v>
      </c>
      <c r="BP19" s="4">
        <v>67.68</v>
      </c>
      <c r="BQ19" s="4">
        <f>BP$35/BO19*1000</f>
        <v>67.68136826856347</v>
      </c>
      <c r="BR19" s="4">
        <v>67.86</v>
      </c>
      <c r="BS19" s="4">
        <v>2082.6826</v>
      </c>
      <c r="BT19" s="4">
        <v>68.36</v>
      </c>
      <c r="BU19" s="4">
        <f>BT$35/BS19*1000</f>
        <v>68.35415055563436</v>
      </c>
      <c r="BV19" s="4">
        <v>68.07</v>
      </c>
      <c r="BW19" s="4">
        <v>2103.7266</v>
      </c>
      <c r="BX19" s="4">
        <v>67.82</v>
      </c>
      <c r="BY19" s="4">
        <f>BX$35/BW19*1000</f>
        <v>67.82250126988936</v>
      </c>
      <c r="BZ19" s="4">
        <v>68.05</v>
      </c>
      <c r="CA19" s="36">
        <v>2096.4379</v>
      </c>
      <c r="CB19" s="36">
        <v>68.16</v>
      </c>
      <c r="CC19" s="36">
        <f>CB$35/CA19*1000</f>
        <v>68.1632401322262</v>
      </c>
      <c r="CD19" s="4">
        <v>67.86</v>
      </c>
      <c r="CE19" s="4">
        <v>2080.892</v>
      </c>
      <c r="CF19" s="16">
        <v>68.45</v>
      </c>
      <c r="CG19" s="16">
        <f>CF$35/CE19*1000</f>
        <v>68.4466084736738</v>
      </c>
      <c r="CH19" s="16">
        <v>68.32</v>
      </c>
      <c r="CI19" s="4">
        <f t="shared" si="0"/>
        <v>2063.5127523809524</v>
      </c>
      <c r="CJ19" s="16">
        <f t="shared" si="1"/>
        <v>68.69428571428571</v>
      </c>
      <c r="CK19" s="16">
        <f t="shared" si="1"/>
        <v>68.69435462428335</v>
      </c>
      <c r="CL19" s="16">
        <f t="shared" si="1"/>
        <v>68.29904761904761</v>
      </c>
    </row>
    <row r="20" spans="1:90" ht="15.75" customHeight="1">
      <c r="A20" s="26">
        <v>8</v>
      </c>
      <c r="B20" s="27" t="s">
        <v>45</v>
      </c>
      <c r="C20" s="4">
        <v>42.6742</v>
      </c>
      <c r="D20" s="4">
        <v>3.31</v>
      </c>
      <c r="E20" s="4">
        <f>D$35/C20</f>
        <v>3.305275787243815</v>
      </c>
      <c r="F20" s="4"/>
      <c r="G20" s="4">
        <v>42.7465</v>
      </c>
      <c r="H20" s="4">
        <v>3.3</v>
      </c>
      <c r="I20" s="4">
        <f>H$35/G20</f>
        <v>3.2964102324166893</v>
      </c>
      <c r="J20" s="4"/>
      <c r="K20" s="4">
        <v>42.4363</v>
      </c>
      <c r="L20" s="4">
        <v>3.31</v>
      </c>
      <c r="M20" s="4">
        <f>L$35/K20</f>
        <v>3.3124942560967847</v>
      </c>
      <c r="N20" s="4"/>
      <c r="O20" s="4">
        <v>42.3917</v>
      </c>
      <c r="P20" s="4">
        <v>3.32</v>
      </c>
      <c r="Q20" s="4">
        <f>P$35/O20</f>
        <v>3.315507516801638</v>
      </c>
      <c r="R20" s="4"/>
      <c r="S20" s="4">
        <v>42.8601</v>
      </c>
      <c r="T20" s="4">
        <v>3.29</v>
      </c>
      <c r="U20" s="4">
        <f>T$35/S20</f>
        <v>3.2935060814137156</v>
      </c>
      <c r="V20" s="4"/>
      <c r="W20" s="4">
        <v>42.8965</v>
      </c>
      <c r="X20" s="4">
        <v>3.29</v>
      </c>
      <c r="Y20" s="4">
        <f>X$35/W20</f>
        <v>3.2893126478850254</v>
      </c>
      <c r="Z20" s="4"/>
      <c r="AA20" s="4">
        <v>42.6426</v>
      </c>
      <c r="AB20" s="4">
        <v>3.31</v>
      </c>
      <c r="AC20" s="4">
        <f>AB$35/AA20</f>
        <v>3.313353313353313</v>
      </c>
      <c r="AD20" s="4"/>
      <c r="AE20" s="4">
        <v>42.2939</v>
      </c>
      <c r="AF20" s="4">
        <v>3.34</v>
      </c>
      <c r="AG20" s="4">
        <f>AF$35/AE20</f>
        <v>3.338779351159387</v>
      </c>
      <c r="AH20" s="4"/>
      <c r="AI20" s="4">
        <v>42.8191</v>
      </c>
      <c r="AJ20" s="4">
        <v>3.32</v>
      </c>
      <c r="AK20" s="4">
        <f>AJ$35/AI20</f>
        <v>3.3190795696313096</v>
      </c>
      <c r="AL20" s="4"/>
      <c r="AM20" s="4">
        <v>42.8737</v>
      </c>
      <c r="AN20" s="4">
        <v>3.31</v>
      </c>
      <c r="AO20" s="4">
        <f>AN$35/AM20</f>
        <v>3.313219992676163</v>
      </c>
      <c r="AP20" s="4"/>
      <c r="AQ20" s="4">
        <v>42.9971</v>
      </c>
      <c r="AR20" s="4">
        <v>3.31</v>
      </c>
      <c r="AS20" s="4">
        <f>AR$35/AQ20</f>
        <v>3.306502066418432</v>
      </c>
      <c r="AT20" s="4"/>
      <c r="AU20" s="4">
        <v>42.8146</v>
      </c>
      <c r="AV20" s="4">
        <v>3.32</v>
      </c>
      <c r="AW20" s="4">
        <f>AV$35/AU20</f>
        <v>3.3156913763062135</v>
      </c>
      <c r="AX20" s="4"/>
      <c r="AY20" s="4">
        <v>42.8601</v>
      </c>
      <c r="AZ20" s="4">
        <v>3.31</v>
      </c>
      <c r="BA20" s="4">
        <f>AZ$35/AY20</f>
        <v>3.3077384327148094</v>
      </c>
      <c r="BB20" s="4"/>
      <c r="BC20" s="4">
        <v>43.1951</v>
      </c>
      <c r="BD20" s="4">
        <v>3.29</v>
      </c>
      <c r="BE20" s="4">
        <f>BD$35/BC20</f>
        <v>3.287872930031416</v>
      </c>
      <c r="BF20" s="4"/>
      <c r="BG20" s="4">
        <v>42.8328</v>
      </c>
      <c r="BH20" s="4">
        <v>3.31</v>
      </c>
      <c r="BI20" s="4">
        <f>BH$35/BG20</f>
        <v>3.3126482508731625</v>
      </c>
      <c r="BJ20" s="4"/>
      <c r="BK20" s="4">
        <v>43.3296</v>
      </c>
      <c r="BL20" s="4">
        <v>3.27</v>
      </c>
      <c r="BM20" s="4">
        <f>BL$35/BK20</f>
        <v>3.272820427606071</v>
      </c>
      <c r="BN20" s="4"/>
      <c r="BO20" s="4">
        <v>43.8954</v>
      </c>
      <c r="BP20" s="4">
        <v>3.25</v>
      </c>
      <c r="BQ20" s="4">
        <f>BP$35/BO20</f>
        <v>3.248631975104453</v>
      </c>
      <c r="BR20" s="4"/>
      <c r="BS20" s="4">
        <v>43.3902</v>
      </c>
      <c r="BT20" s="4">
        <v>3.28</v>
      </c>
      <c r="BU20" s="4">
        <f>BT$35/BS20</f>
        <v>3.2809251858714643</v>
      </c>
      <c r="BV20" s="4"/>
      <c r="BW20" s="4">
        <v>43.8287</v>
      </c>
      <c r="BX20" s="4">
        <v>3.26</v>
      </c>
      <c r="BY20" s="4">
        <f>BX$35/BW20</f>
        <v>3.25540114126132</v>
      </c>
      <c r="BZ20" s="4"/>
      <c r="CA20" s="36">
        <v>43.6768</v>
      </c>
      <c r="CB20" s="36">
        <v>3.27</v>
      </c>
      <c r="CC20" s="36">
        <f>CB$35/CA20</f>
        <v>3.271759835885413</v>
      </c>
      <c r="CD20" s="4"/>
      <c r="CE20" s="4">
        <v>43.3529</v>
      </c>
      <c r="CF20" s="16">
        <v>3.29</v>
      </c>
      <c r="CG20" s="16">
        <f>CF$35/CE20</f>
        <v>3.2853626862332166</v>
      </c>
      <c r="CH20" s="4"/>
      <c r="CI20" s="4">
        <f t="shared" si="0"/>
        <v>42.99085238095238</v>
      </c>
      <c r="CJ20" s="16">
        <f t="shared" si="1"/>
        <v>3.298095238095239</v>
      </c>
      <c r="CK20" s="16">
        <f t="shared" si="1"/>
        <v>3.2972520503325624</v>
      </c>
      <c r="CL20" s="4"/>
    </row>
    <row r="21" spans="1:90" ht="15.75" customHeight="1">
      <c r="A21" s="26">
        <v>9</v>
      </c>
      <c r="B21" s="27" t="s">
        <v>46</v>
      </c>
      <c r="C21" s="4">
        <f>1/0.9453</f>
        <v>1.0578652279699565</v>
      </c>
      <c r="D21" s="4">
        <v>133.33</v>
      </c>
      <c r="E21" s="4">
        <f>D$35/C21</f>
        <v>133.33456500000003</v>
      </c>
      <c r="F21" s="4"/>
      <c r="G21" s="4">
        <f>1/0.9437</f>
        <v>1.0596587898696619</v>
      </c>
      <c r="H21" s="4">
        <v>132.98</v>
      </c>
      <c r="I21" s="4">
        <f>H$35/G21</f>
        <v>132.976767</v>
      </c>
      <c r="J21" s="4"/>
      <c r="K21" s="4">
        <f>1/0.9506</f>
        <v>1.051967178624027</v>
      </c>
      <c r="L21" s="4">
        <v>133.63</v>
      </c>
      <c r="M21" s="4">
        <f>L$35/K21</f>
        <v>133.62584199999998</v>
      </c>
      <c r="N21" s="4"/>
      <c r="O21" s="4">
        <f>1/0.9516</f>
        <v>1.0508617065994115</v>
      </c>
      <c r="P21" s="4">
        <v>133.75</v>
      </c>
      <c r="Q21" s="4">
        <f>P$35/O21</f>
        <v>133.74738000000002</v>
      </c>
      <c r="R21" s="4"/>
      <c r="S21" s="4">
        <f>1/0.9412</f>
        <v>1.062473438164046</v>
      </c>
      <c r="T21" s="4">
        <v>132.86</v>
      </c>
      <c r="U21" s="4">
        <f>T$35/S21</f>
        <v>132.859792</v>
      </c>
      <c r="V21" s="4"/>
      <c r="W21" s="4">
        <f>1/0.9404</f>
        <v>1.0633772862611655</v>
      </c>
      <c r="X21" s="4">
        <v>132.69</v>
      </c>
      <c r="Y21" s="4">
        <f>X$35/W21</f>
        <v>132.69044</v>
      </c>
      <c r="Z21" s="4"/>
      <c r="AA21" s="4">
        <f>1/0.946</f>
        <v>1.0570824524312896</v>
      </c>
      <c r="AB21" s="4">
        <v>133.66</v>
      </c>
      <c r="AC21" s="4">
        <f>AB$35/AA21</f>
        <v>133.66034</v>
      </c>
      <c r="AD21" s="4"/>
      <c r="AE21" s="4">
        <f>1/0.9538</f>
        <v>1.0484378276368211</v>
      </c>
      <c r="AF21" s="4">
        <v>134.68</v>
      </c>
      <c r="AG21" s="4">
        <f>AF$35/AE21</f>
        <v>134.68609800000002</v>
      </c>
      <c r="AH21" s="4"/>
      <c r="AI21" s="4">
        <f>1/0.9421</f>
        <v>1.0614584439019212</v>
      </c>
      <c r="AJ21" s="4">
        <v>133.89</v>
      </c>
      <c r="AK21" s="4">
        <f>AJ$35/AI21</f>
        <v>133.891252</v>
      </c>
      <c r="AL21" s="4"/>
      <c r="AM21" s="4">
        <f>1/0.9409</f>
        <v>1.0628122010840686</v>
      </c>
      <c r="AN21" s="4">
        <v>133.65</v>
      </c>
      <c r="AO21" s="4">
        <f>AN$35/AM21</f>
        <v>133.654845</v>
      </c>
      <c r="AP21" s="4"/>
      <c r="AQ21" s="4">
        <f>1/0.9382</f>
        <v>1.0658708164570454</v>
      </c>
      <c r="AR21" s="4">
        <v>133.39</v>
      </c>
      <c r="AS21" s="4">
        <f>AR$35/AQ21</f>
        <v>133.383894</v>
      </c>
      <c r="AT21" s="4"/>
      <c r="AU21" s="4">
        <f>1/0.9422</f>
        <v>1.0613457864572278</v>
      </c>
      <c r="AV21" s="4">
        <v>133.76</v>
      </c>
      <c r="AW21" s="4">
        <f>AV$35/AU21</f>
        <v>133.754712</v>
      </c>
      <c r="AX21" s="4"/>
      <c r="AY21" s="25">
        <f>1/0.9412</f>
        <v>1.062473438164046</v>
      </c>
      <c r="AZ21" s="4">
        <v>133.43</v>
      </c>
      <c r="BA21" s="4">
        <f>AZ$35/AY21</f>
        <v>133.43392400000002</v>
      </c>
      <c r="BB21" s="4"/>
      <c r="BC21" s="25">
        <f>1/0.9339</f>
        <v>1.0707784559374667</v>
      </c>
      <c r="BD21" s="4">
        <v>132.63</v>
      </c>
      <c r="BE21" s="4">
        <f>BD$35/BC21</f>
        <v>132.632478</v>
      </c>
      <c r="BF21" s="4"/>
      <c r="BG21" s="4">
        <f>1/0.9418</f>
        <v>1.0617965597791463</v>
      </c>
      <c r="BH21" s="4">
        <v>133.63</v>
      </c>
      <c r="BI21" s="4">
        <f>BH$35/BG21</f>
        <v>133.63200199999997</v>
      </c>
      <c r="BJ21" s="4"/>
      <c r="BK21" s="4">
        <f>1/0.931</f>
        <v>1.0741138560687433</v>
      </c>
      <c r="BL21" s="4">
        <v>132.02</v>
      </c>
      <c r="BM21" s="4">
        <f>BL$35/BK21</f>
        <v>132.02510999999998</v>
      </c>
      <c r="BN21" s="4"/>
      <c r="BO21" s="4">
        <f>1/0.919</f>
        <v>1.088139281828074</v>
      </c>
      <c r="BP21" s="4">
        <v>131.05</v>
      </c>
      <c r="BQ21" s="4">
        <f>BP$35/BO21</f>
        <v>131.0494</v>
      </c>
      <c r="BR21" s="4"/>
      <c r="BS21" s="4">
        <f>1/0.9297</f>
        <v>1.0756157900397978</v>
      </c>
      <c r="BT21" s="4">
        <v>132.35</v>
      </c>
      <c r="BU21" s="4">
        <f>BT$35/BS21</f>
        <v>132.352092</v>
      </c>
      <c r="BV21" s="4"/>
      <c r="BW21" s="4">
        <f>1/0.9204</f>
        <v>1.086484137331595</v>
      </c>
      <c r="BX21" s="4">
        <v>131.33</v>
      </c>
      <c r="BY21" s="4">
        <f>BX$35/BW21</f>
        <v>131.322672</v>
      </c>
      <c r="BZ21" s="4"/>
      <c r="CA21" s="36">
        <f>1/1.9236</f>
        <v>0.5198585984612185</v>
      </c>
      <c r="CB21" s="36">
        <v>131.98</v>
      </c>
      <c r="CC21" s="36">
        <f>CB$35/CA21</f>
        <v>274.88244000000003</v>
      </c>
      <c r="CD21" s="4"/>
      <c r="CE21" s="4">
        <f>1/0.9305</f>
        <v>1.07469102632993</v>
      </c>
      <c r="CF21" s="16">
        <v>132.53</v>
      </c>
      <c r="CG21" s="16">
        <f>CF$35/CE21</f>
        <v>132.53111500000003</v>
      </c>
      <c r="CH21" s="4"/>
      <c r="CI21" s="4">
        <f t="shared" si="0"/>
        <v>1.03891249044746</v>
      </c>
      <c r="CJ21" s="16">
        <f t="shared" si="1"/>
        <v>133.0104761904762</v>
      </c>
      <c r="CK21" s="16">
        <f t="shared" si="1"/>
        <v>139.81557904761905</v>
      </c>
      <c r="CL21" s="4"/>
    </row>
    <row r="22" spans="1:90" ht="15.75" customHeight="1">
      <c r="A22" s="26">
        <v>10</v>
      </c>
      <c r="B22" s="27" t="s">
        <v>47</v>
      </c>
      <c r="C22" s="4">
        <v>266.8</v>
      </c>
      <c r="D22" s="4">
        <v>37632.21</v>
      </c>
      <c r="E22" s="4">
        <f>D$35*C22</f>
        <v>37632.14000000001</v>
      </c>
      <c r="F22" s="4"/>
      <c r="G22" s="4">
        <v>268.15</v>
      </c>
      <c r="H22" s="4">
        <v>37786.27</v>
      </c>
      <c r="I22" s="4">
        <f>H$35*G22</f>
        <v>37785.0165</v>
      </c>
      <c r="J22" s="4"/>
      <c r="K22" s="4">
        <v>267.7</v>
      </c>
      <c r="L22" s="4">
        <v>37630.57</v>
      </c>
      <c r="M22" s="4">
        <f>L$35*K22</f>
        <v>37630.589</v>
      </c>
      <c r="N22" s="4"/>
      <c r="O22" s="4">
        <v>267.5</v>
      </c>
      <c r="P22" s="4">
        <v>37596.59</v>
      </c>
      <c r="Q22" s="4">
        <f>P$35*O22</f>
        <v>37597.125</v>
      </c>
      <c r="R22" s="4"/>
      <c r="S22" s="4">
        <v>267.5</v>
      </c>
      <c r="T22" s="4">
        <v>37761.59</v>
      </c>
      <c r="U22" s="4">
        <f>T$35*S22</f>
        <v>37760.299999999996</v>
      </c>
      <c r="V22" s="4"/>
      <c r="W22" s="4">
        <v>266.15</v>
      </c>
      <c r="X22" s="4">
        <v>37553.72</v>
      </c>
      <c r="Y22" s="4">
        <f>X$35*W22</f>
        <v>37553.76499999999</v>
      </c>
      <c r="Z22" s="4"/>
      <c r="AA22" s="4">
        <v>264.7</v>
      </c>
      <c r="AB22" s="4">
        <v>37399.37</v>
      </c>
      <c r="AC22" s="4">
        <f>AB$35*AA22</f>
        <v>37399.462999999996</v>
      </c>
      <c r="AD22" s="4"/>
      <c r="AE22" s="4">
        <v>264.2</v>
      </c>
      <c r="AF22" s="4">
        <v>37306.92</v>
      </c>
      <c r="AG22" s="4">
        <f>AF$35*AE22</f>
        <v>37307.682</v>
      </c>
      <c r="AH22" s="4"/>
      <c r="AI22" s="4">
        <v>263.4</v>
      </c>
      <c r="AJ22" s="4">
        <v>37434.08</v>
      </c>
      <c r="AK22" s="4">
        <f>AJ$35*AI22</f>
        <v>37434.407999999996</v>
      </c>
      <c r="AL22" s="4"/>
      <c r="AM22" s="4">
        <v>264.3</v>
      </c>
      <c r="AN22" s="4">
        <v>37543.55</v>
      </c>
      <c r="AO22" s="4">
        <f>AN$35*AM22</f>
        <v>37543.815</v>
      </c>
      <c r="AP22" s="4"/>
      <c r="AQ22" s="4">
        <v>263.2</v>
      </c>
      <c r="AR22" s="4">
        <v>37420.08</v>
      </c>
      <c r="AS22" s="4">
        <f>AR$35*AQ22</f>
        <v>37419.14399999999</v>
      </c>
      <c r="AT22" s="4"/>
      <c r="AU22" s="4">
        <v>263.9</v>
      </c>
      <c r="AV22" s="4">
        <v>37463.96</v>
      </c>
      <c r="AW22" s="4">
        <f>AV$35*AU22</f>
        <v>37463.244</v>
      </c>
      <c r="AX22" s="4"/>
      <c r="AY22" s="4">
        <v>265.1</v>
      </c>
      <c r="AZ22" s="4">
        <v>37582.17</v>
      </c>
      <c r="BA22" s="4">
        <f>AZ$35*AY22</f>
        <v>37583.227000000006</v>
      </c>
      <c r="BB22" s="4"/>
      <c r="BC22" s="4">
        <v>266</v>
      </c>
      <c r="BD22" s="4">
        <v>37777.47</v>
      </c>
      <c r="BE22" s="4">
        <f>BD$35*BC22</f>
        <v>37777.32</v>
      </c>
      <c r="BF22" s="4"/>
      <c r="BG22" s="4">
        <v>267.15</v>
      </c>
      <c r="BH22" s="4">
        <v>37905.09</v>
      </c>
      <c r="BI22" s="4">
        <f>BH$35*BG22</f>
        <v>37905.913499999995</v>
      </c>
      <c r="BJ22" s="4"/>
      <c r="BK22" s="4">
        <v>266.65</v>
      </c>
      <c r="BL22" s="4">
        <v>37813.03</v>
      </c>
      <c r="BM22" s="4">
        <f>BL$35*BK22</f>
        <v>37813.6365</v>
      </c>
      <c r="BN22" s="4"/>
      <c r="BO22" s="4">
        <v>263.1</v>
      </c>
      <c r="BP22" s="4">
        <v>37517.53</v>
      </c>
      <c r="BQ22" s="4">
        <f>BP$35*BO22</f>
        <v>37518.060000000005</v>
      </c>
      <c r="BR22" s="4"/>
      <c r="BS22" s="4">
        <v>264.45</v>
      </c>
      <c r="BT22" s="4">
        <v>37647.78</v>
      </c>
      <c r="BU22" s="4">
        <f>BT$35*BS22</f>
        <v>37647.102</v>
      </c>
      <c r="BV22" s="4"/>
      <c r="BW22" s="4">
        <v>263.1</v>
      </c>
      <c r="BX22" s="4">
        <v>37540.34</v>
      </c>
      <c r="BY22" s="4">
        <f>BX$35*BW22</f>
        <v>37539.10800000001</v>
      </c>
      <c r="BZ22" s="4"/>
      <c r="CA22" s="36">
        <v>265.25</v>
      </c>
      <c r="CB22" s="36">
        <v>37904.66</v>
      </c>
      <c r="CC22" s="36">
        <f>CB$35*CA22</f>
        <v>37904.225</v>
      </c>
      <c r="CD22" s="4"/>
      <c r="CE22" s="4">
        <v>266.25</v>
      </c>
      <c r="CF22" s="16">
        <v>37921.87</v>
      </c>
      <c r="CG22" s="16">
        <f>CF$35*CE22</f>
        <v>37921.9875</v>
      </c>
      <c r="CH22" s="4"/>
      <c r="CI22" s="4">
        <f t="shared" si="0"/>
        <v>265.45476190476194</v>
      </c>
      <c r="CJ22" s="16">
        <f t="shared" si="1"/>
        <v>37625.659523809525</v>
      </c>
      <c r="CK22" s="16">
        <f t="shared" si="1"/>
        <v>37625.58433333334</v>
      </c>
      <c r="CL22" s="4"/>
    </row>
    <row r="23" spans="1:90" ht="15.75" customHeight="1">
      <c r="A23" s="26">
        <v>11</v>
      </c>
      <c r="B23" s="28" t="s">
        <v>48</v>
      </c>
      <c r="C23" s="4">
        <v>4.5</v>
      </c>
      <c r="D23" s="4">
        <v>634.73</v>
      </c>
      <c r="E23" s="4">
        <f>D$35*C23</f>
        <v>634.725</v>
      </c>
      <c r="F23" s="4"/>
      <c r="G23" s="4">
        <v>4.5</v>
      </c>
      <c r="H23" s="4">
        <v>634.12</v>
      </c>
      <c r="I23" s="4">
        <f>H$35*G23</f>
        <v>634.095</v>
      </c>
      <c r="J23" s="4"/>
      <c r="K23" s="4">
        <v>4.53</v>
      </c>
      <c r="L23" s="4">
        <v>636.78</v>
      </c>
      <c r="M23" s="4">
        <f>L$35*K23</f>
        <v>636.7821</v>
      </c>
      <c r="N23" s="4"/>
      <c r="O23" s="4">
        <v>4.52</v>
      </c>
      <c r="P23" s="4">
        <v>635.28</v>
      </c>
      <c r="Q23" s="4">
        <f>P$35*O23</f>
        <v>635.286</v>
      </c>
      <c r="R23" s="4"/>
      <c r="S23" s="4">
        <v>4.54</v>
      </c>
      <c r="T23" s="4">
        <v>640.89</v>
      </c>
      <c r="U23" s="4">
        <f>T$35*S23</f>
        <v>640.8664</v>
      </c>
      <c r="V23" s="4"/>
      <c r="W23" s="4">
        <v>4.53</v>
      </c>
      <c r="X23" s="4">
        <v>639.18</v>
      </c>
      <c r="Y23" s="4">
        <f>X$35*W23</f>
        <v>639.183</v>
      </c>
      <c r="Z23" s="4"/>
      <c r="AA23" s="4">
        <v>4.53</v>
      </c>
      <c r="AB23" s="4">
        <v>640.04</v>
      </c>
      <c r="AC23" s="4">
        <f>AB$35*AA23</f>
        <v>640.0437</v>
      </c>
      <c r="AD23" s="4"/>
      <c r="AE23" s="4">
        <v>4.56</v>
      </c>
      <c r="AF23" s="4">
        <v>643.9</v>
      </c>
      <c r="AG23" s="4">
        <f>AF$35*AE23</f>
        <v>643.9176</v>
      </c>
      <c r="AH23" s="4"/>
      <c r="AI23" s="4">
        <v>4.6</v>
      </c>
      <c r="AJ23" s="4">
        <v>653.75</v>
      </c>
      <c r="AK23" s="4">
        <f>AJ$35*AI23</f>
        <v>653.752</v>
      </c>
      <c r="AL23" s="4"/>
      <c r="AM23" s="4">
        <v>4.66</v>
      </c>
      <c r="AN23" s="4">
        <v>661.95</v>
      </c>
      <c r="AO23" s="4">
        <f>AN$35*AM23</f>
        <v>661.9530000000001</v>
      </c>
      <c r="AP23" s="4"/>
      <c r="AQ23" s="4">
        <v>4.65</v>
      </c>
      <c r="AR23" s="4">
        <v>661.11</v>
      </c>
      <c r="AS23" s="4">
        <f>AR$35*AQ23</f>
        <v>661.0905</v>
      </c>
      <c r="AT23" s="4"/>
      <c r="AU23" s="4">
        <v>4.7</v>
      </c>
      <c r="AV23" s="4">
        <v>667.22</v>
      </c>
      <c r="AW23" s="4">
        <f>AV$35*AU23</f>
        <v>667.2120000000001</v>
      </c>
      <c r="AX23" s="4"/>
      <c r="AY23" s="4">
        <v>4.79</v>
      </c>
      <c r="AZ23" s="4">
        <v>679.06</v>
      </c>
      <c r="BA23" s="4">
        <f>AZ$35*AY23</f>
        <v>679.0783</v>
      </c>
      <c r="BB23" s="4"/>
      <c r="BC23" s="4">
        <v>4.76</v>
      </c>
      <c r="BD23" s="4">
        <v>676.02</v>
      </c>
      <c r="BE23" s="4">
        <f>BD$35*BC23</f>
        <v>676.0152</v>
      </c>
      <c r="BF23" s="4"/>
      <c r="BG23" s="4">
        <v>4.78</v>
      </c>
      <c r="BH23" s="4">
        <v>678.22</v>
      </c>
      <c r="BI23" s="4">
        <f>BH$35*BG23</f>
        <v>678.2342</v>
      </c>
      <c r="BJ23" s="4"/>
      <c r="BK23" s="4">
        <v>4.78</v>
      </c>
      <c r="BL23" s="4">
        <v>677.84</v>
      </c>
      <c r="BM23" s="4">
        <f>BL$35*BK23</f>
        <v>677.8518</v>
      </c>
      <c r="BN23" s="4"/>
      <c r="BO23" s="4">
        <v>4.73</v>
      </c>
      <c r="BP23" s="4">
        <v>674.49</v>
      </c>
      <c r="BQ23" s="4">
        <f>BP$35*BO23</f>
        <v>674.498</v>
      </c>
      <c r="BR23" s="4"/>
      <c r="BS23" s="4">
        <v>4.81</v>
      </c>
      <c r="BT23" s="4">
        <v>684.76</v>
      </c>
      <c r="BU23" s="4">
        <f>BT$35*BS23</f>
        <v>684.7516</v>
      </c>
      <c r="BV23" s="4"/>
      <c r="BW23" s="4">
        <v>4.8</v>
      </c>
      <c r="BX23" s="4">
        <v>684.89</v>
      </c>
      <c r="BY23" s="4">
        <f>BX$35*BW23</f>
        <v>684.864</v>
      </c>
      <c r="BZ23" s="4"/>
      <c r="CA23" s="36">
        <v>4.82</v>
      </c>
      <c r="CB23" s="36">
        <v>688.79</v>
      </c>
      <c r="CC23" s="36">
        <f>CB$35*CA23</f>
        <v>688.778</v>
      </c>
      <c r="CD23" s="4"/>
      <c r="CE23" s="4">
        <v>4.79</v>
      </c>
      <c r="CF23" s="16">
        <v>682.24</v>
      </c>
      <c r="CG23" s="16">
        <f>CF$35*CE23</f>
        <v>682.2397000000001</v>
      </c>
      <c r="CH23" s="4"/>
      <c r="CI23" s="4">
        <f t="shared" si="0"/>
        <v>4.660952380952382</v>
      </c>
      <c r="CJ23" s="16">
        <f t="shared" si="1"/>
        <v>660.7266666666665</v>
      </c>
      <c r="CK23" s="16">
        <f t="shared" si="1"/>
        <v>660.7246238095238</v>
      </c>
      <c r="CL23" s="4"/>
    </row>
    <row r="24" spans="1:90" ht="15.75" customHeight="1">
      <c r="A24" s="26">
        <v>12</v>
      </c>
      <c r="B24" s="27" t="s">
        <v>49</v>
      </c>
      <c r="C24" s="4">
        <f>1/0.5621</f>
        <v>1.7790428749332858</v>
      </c>
      <c r="D24" s="4">
        <v>79.28</v>
      </c>
      <c r="E24" s="4">
        <f>D$35/C24</f>
        <v>79.28420500000001</v>
      </c>
      <c r="F24" s="4"/>
      <c r="G24" s="4">
        <f>1/0.5626</f>
        <v>1.7774617845716318</v>
      </c>
      <c r="H24" s="4">
        <v>79.28</v>
      </c>
      <c r="I24" s="4">
        <f>H$35/G24</f>
        <v>79.275966</v>
      </c>
      <c r="J24" s="4"/>
      <c r="K24" s="4">
        <f>1/0.5694</f>
        <v>1.7562346329469616</v>
      </c>
      <c r="L24" s="4">
        <v>80.04</v>
      </c>
      <c r="M24" s="4">
        <f>L$35/K24</f>
        <v>80.040558</v>
      </c>
      <c r="N24" s="4"/>
      <c r="O24" s="4">
        <f>1/0.5691</f>
        <v>1.7571604287471445</v>
      </c>
      <c r="P24" s="4">
        <v>79.99</v>
      </c>
      <c r="Q24" s="4">
        <f>P$35/O24</f>
        <v>79.98700500000001</v>
      </c>
      <c r="R24" s="4"/>
      <c r="S24" s="4">
        <f>1/0.5622</f>
        <v>1.7787264318747775</v>
      </c>
      <c r="T24" s="4">
        <v>79.36</v>
      </c>
      <c r="U24" s="4">
        <f>T$35/S24</f>
        <v>79.360152</v>
      </c>
      <c r="V24" s="4"/>
      <c r="W24" s="4">
        <f>1/0.5584</f>
        <v>1.7908309455587392</v>
      </c>
      <c r="X24" s="4">
        <v>78.79</v>
      </c>
      <c r="Y24" s="4">
        <f>X$35/W24</f>
        <v>78.79024</v>
      </c>
      <c r="Z24" s="4"/>
      <c r="AA24" s="4">
        <f>1/0.5566</f>
        <v>1.7966223499820337</v>
      </c>
      <c r="AB24" s="4">
        <v>78.64</v>
      </c>
      <c r="AC24" s="4">
        <f>AB$35/AA24</f>
        <v>78.642014</v>
      </c>
      <c r="AD24" s="4"/>
      <c r="AE24" s="4">
        <f>1/0.5611</f>
        <v>1.7822135091783995</v>
      </c>
      <c r="AF24" s="4">
        <v>79.23</v>
      </c>
      <c r="AG24" s="4">
        <f>AF$35/AE24</f>
        <v>79.23293100000001</v>
      </c>
      <c r="AH24" s="4"/>
      <c r="AI24" s="4">
        <f>1/0.5525</f>
        <v>1.8099547511312217</v>
      </c>
      <c r="AJ24" s="4">
        <v>78.52</v>
      </c>
      <c r="AK24" s="4">
        <f>AJ$35/AI24</f>
        <v>78.5213</v>
      </c>
      <c r="AL24" s="4"/>
      <c r="AM24" s="4">
        <f>1/0.5548</f>
        <v>1.8024513338139871</v>
      </c>
      <c r="AN24" s="4">
        <v>78.81</v>
      </c>
      <c r="AO24" s="4">
        <f>AN$35/AM24</f>
        <v>78.80934</v>
      </c>
      <c r="AP24" s="4"/>
      <c r="AQ24" s="4">
        <f>1/0.5537</f>
        <v>1.8060321473722234</v>
      </c>
      <c r="AR24" s="4">
        <v>78.72</v>
      </c>
      <c r="AS24" s="4">
        <f>AR$35/AQ24</f>
        <v>78.71952899999998</v>
      </c>
      <c r="AT24" s="4"/>
      <c r="AU24" s="4">
        <f>1/0.5557</f>
        <v>1.7995321216483715</v>
      </c>
      <c r="AV24" s="4">
        <v>78.89</v>
      </c>
      <c r="AW24" s="4">
        <f>AV$35/AU24</f>
        <v>78.887172</v>
      </c>
      <c r="AX24" s="4"/>
      <c r="AY24" s="4">
        <f>1/0.5583</f>
        <v>1.7911517105498835</v>
      </c>
      <c r="AZ24" s="4">
        <v>79.15</v>
      </c>
      <c r="BA24" s="4">
        <f>AZ$35/AY24</f>
        <v>79.150191</v>
      </c>
      <c r="BB24" s="4"/>
      <c r="BC24" s="4">
        <f>1/0.554</f>
        <v>1.8050541516245486</v>
      </c>
      <c r="BD24" s="4">
        <v>78.68</v>
      </c>
      <c r="BE24" s="4">
        <f>BD$35/BC24</f>
        <v>78.67908000000001</v>
      </c>
      <c r="BF24" s="4"/>
      <c r="BG24" s="4">
        <f>1/0.5551</f>
        <v>1.8014772113132769</v>
      </c>
      <c r="BH24" s="4">
        <v>78.76</v>
      </c>
      <c r="BI24" s="4">
        <f>BH$35/BG24</f>
        <v>78.763139</v>
      </c>
      <c r="BJ24" s="4"/>
      <c r="BK24" s="4">
        <f>1/0.55</f>
        <v>1.8181818181818181</v>
      </c>
      <c r="BL24" s="4">
        <v>77.99</v>
      </c>
      <c r="BM24" s="4">
        <f>BL$35/BK24</f>
        <v>77.9955</v>
      </c>
      <c r="BN24" s="4"/>
      <c r="BO24" s="4">
        <f>1/0.5438</f>
        <v>1.8389113644722326</v>
      </c>
      <c r="BP24" s="4">
        <v>77.54</v>
      </c>
      <c r="BQ24" s="4">
        <f>BP$35/BO24</f>
        <v>77.54588</v>
      </c>
      <c r="BR24" s="4"/>
      <c r="BS24" s="4">
        <f>1/0.5426</f>
        <v>1.8429782528566163</v>
      </c>
      <c r="BT24" s="4">
        <v>77.25</v>
      </c>
      <c r="BU24" s="4">
        <f>BT$35/BS24</f>
        <v>77.24453600000001</v>
      </c>
      <c r="BV24" s="4"/>
      <c r="BW24" s="4">
        <f>1/0.5426</f>
        <v>1.8429782528566163</v>
      </c>
      <c r="BX24" s="4">
        <v>77.42</v>
      </c>
      <c r="BY24" s="4">
        <f>BX$35/BW24</f>
        <v>77.41816800000001</v>
      </c>
      <c r="BZ24" s="4"/>
      <c r="CA24" s="36">
        <f>1/0.5465</f>
        <v>1.8298261665141813</v>
      </c>
      <c r="CB24" s="36">
        <v>78.1</v>
      </c>
      <c r="CC24" s="36">
        <f>CB$35/CA24</f>
        <v>78.09485</v>
      </c>
      <c r="CD24" s="4"/>
      <c r="CE24" s="4">
        <f>1/0.5471</f>
        <v>1.8278194114421493</v>
      </c>
      <c r="CF24" s="16">
        <v>77.92</v>
      </c>
      <c r="CG24" s="16">
        <f>CF$35/CE24</f>
        <v>77.92345300000001</v>
      </c>
      <c r="CH24" s="4"/>
      <c r="CI24" s="4">
        <f t="shared" si="0"/>
        <v>1.8016496024557191</v>
      </c>
      <c r="CJ24" s="16">
        <f t="shared" si="1"/>
        <v>78.68380952380953</v>
      </c>
      <c r="CK24" s="16">
        <f t="shared" si="1"/>
        <v>78.68405757142857</v>
      </c>
      <c r="CL24" s="4"/>
    </row>
    <row r="25" spans="1:90" ht="15.75" customHeight="1">
      <c r="A25" s="26">
        <v>13</v>
      </c>
      <c r="B25" s="27" t="s">
        <v>50</v>
      </c>
      <c r="C25" s="4">
        <v>1.496</v>
      </c>
      <c r="D25" s="4">
        <v>94.28</v>
      </c>
      <c r="E25" s="4">
        <f>D$35/C25</f>
        <v>94.28475935828878</v>
      </c>
      <c r="F25" s="4"/>
      <c r="G25" s="4">
        <v>1.4962</v>
      </c>
      <c r="H25" s="4">
        <v>94.18</v>
      </c>
      <c r="I25" s="4">
        <f>H$35/G25</f>
        <v>94.1785857505681</v>
      </c>
      <c r="J25" s="4"/>
      <c r="K25" s="4">
        <v>1.4988</v>
      </c>
      <c r="L25" s="4">
        <v>93.79</v>
      </c>
      <c r="M25" s="4">
        <f>L$35/K25</f>
        <v>93.78836402455298</v>
      </c>
      <c r="N25" s="4"/>
      <c r="O25" s="4">
        <v>1.5032</v>
      </c>
      <c r="P25" s="4">
        <v>93.5</v>
      </c>
      <c r="Q25" s="4">
        <f>P$35/O25</f>
        <v>93.50053219797765</v>
      </c>
      <c r="R25" s="4"/>
      <c r="S25" s="4">
        <v>1.4946</v>
      </c>
      <c r="T25" s="4">
        <v>94.45</v>
      </c>
      <c r="U25" s="4">
        <f>T$35/S25</f>
        <v>94.44667469557072</v>
      </c>
      <c r="V25" s="4"/>
      <c r="W25" s="4">
        <v>1.4961</v>
      </c>
      <c r="X25" s="4">
        <v>94.31</v>
      </c>
      <c r="Y25" s="4">
        <f>X$35/W25</f>
        <v>94.31187754829223</v>
      </c>
      <c r="Z25" s="4"/>
      <c r="AA25" s="4">
        <v>1.5014</v>
      </c>
      <c r="AB25" s="4">
        <v>94.11</v>
      </c>
      <c r="AC25" s="4">
        <f>AB$35/AA25</f>
        <v>94.10550153190354</v>
      </c>
      <c r="AD25" s="4"/>
      <c r="AE25" s="4">
        <v>1.4937</v>
      </c>
      <c r="AF25" s="4">
        <v>94.54</v>
      </c>
      <c r="AG25" s="4">
        <f>AF$35/AE25</f>
        <v>94.53705563366138</v>
      </c>
      <c r="AH25" s="4"/>
      <c r="AI25" s="4">
        <v>1.5047</v>
      </c>
      <c r="AJ25" s="4">
        <v>94.45</v>
      </c>
      <c r="AK25" s="4">
        <f>AJ$35/AI25</f>
        <v>94.45072107396824</v>
      </c>
      <c r="AL25" s="4"/>
      <c r="AM25" s="4">
        <v>1.501</v>
      </c>
      <c r="AN25" s="4">
        <v>94.64</v>
      </c>
      <c r="AO25" s="4">
        <f>AN$35/AM25</f>
        <v>94.636908727515</v>
      </c>
      <c r="AP25" s="4"/>
      <c r="AQ25" s="4">
        <v>1.5072</v>
      </c>
      <c r="AR25" s="4">
        <v>94.33</v>
      </c>
      <c r="AS25" s="4">
        <f>AR$35/AQ25</f>
        <v>94.32722929936304</v>
      </c>
      <c r="AT25" s="4"/>
      <c r="AU25" s="4">
        <v>1.5109</v>
      </c>
      <c r="AV25" s="4">
        <v>93.96</v>
      </c>
      <c r="AW25" s="4">
        <f>AV$35/AU25</f>
        <v>93.95724402673905</v>
      </c>
      <c r="AX25" s="4"/>
      <c r="AY25" s="4">
        <v>1.51</v>
      </c>
      <c r="AZ25" s="4">
        <v>93.88</v>
      </c>
      <c r="BA25" s="4">
        <f>AZ$35/AY25</f>
        <v>93.88741721854305</v>
      </c>
      <c r="BB25" s="4"/>
      <c r="BC25" s="4">
        <v>1.5075</v>
      </c>
      <c r="BD25" s="4">
        <v>94.21</v>
      </c>
      <c r="BE25" s="4">
        <f>BD$35/BC25</f>
        <v>94.2089552238806</v>
      </c>
      <c r="BF25" s="4"/>
      <c r="BG25" s="4">
        <v>1.5032</v>
      </c>
      <c r="BH25" s="4">
        <v>94.39</v>
      </c>
      <c r="BI25" s="4">
        <f>BH$35/BG25</f>
        <v>94.3919638105375</v>
      </c>
      <c r="BJ25" s="4"/>
      <c r="BK25" s="4">
        <v>1.51</v>
      </c>
      <c r="BL25" s="4">
        <v>93.91</v>
      </c>
      <c r="BM25" s="4">
        <f>BL$35/BK25</f>
        <v>93.91390728476821</v>
      </c>
      <c r="BN25" s="4"/>
      <c r="BO25" s="4">
        <v>1.5134</v>
      </c>
      <c r="BP25" s="4">
        <v>94.22</v>
      </c>
      <c r="BQ25" s="4">
        <f>BP$35/BO25</f>
        <v>94.22492401215804</v>
      </c>
      <c r="BR25" s="4"/>
      <c r="BS25" s="4">
        <v>1.503</v>
      </c>
      <c r="BT25" s="4">
        <v>94.72</v>
      </c>
      <c r="BU25" s="4">
        <f>BT$35/BS25</f>
        <v>94.71723220226215</v>
      </c>
      <c r="BV25" s="4"/>
      <c r="BW25" s="4">
        <v>1.5035</v>
      </c>
      <c r="BX25" s="4">
        <v>94.9</v>
      </c>
      <c r="BY25" s="4">
        <f>BX$35/BW25</f>
        <v>94.89857000332557</v>
      </c>
      <c r="BZ25" s="4"/>
      <c r="CA25" s="36">
        <v>1.5007</v>
      </c>
      <c r="CB25" s="36">
        <v>95.22</v>
      </c>
      <c r="CC25" s="36">
        <f>CB$35/CA25</f>
        <v>95.22222962617447</v>
      </c>
      <c r="CD25" s="4"/>
      <c r="CE25" s="4">
        <v>1.5027</v>
      </c>
      <c r="CF25" s="16">
        <v>94.78</v>
      </c>
      <c r="CG25" s="16">
        <f>CF$35/CE25</f>
        <v>94.7827244293605</v>
      </c>
      <c r="CH25" s="4"/>
      <c r="CI25" s="4">
        <f t="shared" si="0"/>
        <v>1.502752380952381</v>
      </c>
      <c r="CJ25" s="16">
        <f t="shared" si="1"/>
        <v>94.32238095238097</v>
      </c>
      <c r="CK25" s="16">
        <f t="shared" si="1"/>
        <v>94.32254179425766</v>
      </c>
      <c r="CL25" s="4"/>
    </row>
    <row r="26" spans="1:90" ht="15.75" customHeight="1">
      <c r="A26" s="26">
        <v>14</v>
      </c>
      <c r="B26" s="27" t="s">
        <v>51</v>
      </c>
      <c r="C26" s="4">
        <v>14.5565</v>
      </c>
      <c r="D26" s="4">
        <v>9.69</v>
      </c>
      <c r="E26" s="4">
        <f>D$35/C26</f>
        <v>9.68982928588603</v>
      </c>
      <c r="F26" s="4"/>
      <c r="G26" s="4">
        <v>14.5812</v>
      </c>
      <c r="H26" s="4">
        <v>9.66</v>
      </c>
      <c r="I26" s="4">
        <f>H$35/G26</f>
        <v>9.663813677886592</v>
      </c>
      <c r="J26" s="4"/>
      <c r="K26" s="4">
        <v>14.4754</v>
      </c>
      <c r="L26" s="4">
        <v>9.71</v>
      </c>
      <c r="M26" s="4">
        <f>L$35/K26</f>
        <v>9.710957900990646</v>
      </c>
      <c r="N26" s="4"/>
      <c r="O26" s="4">
        <v>14.4602</v>
      </c>
      <c r="P26" s="4">
        <v>9.72</v>
      </c>
      <c r="Q26" s="4">
        <f>P$35/O26</f>
        <v>9.71978257562136</v>
      </c>
      <c r="R26" s="4"/>
      <c r="S26" s="4">
        <v>14.62</v>
      </c>
      <c r="T26" s="4">
        <v>9.66</v>
      </c>
      <c r="U26" s="4">
        <f>T$35/S26</f>
        <v>9.655266757865938</v>
      </c>
      <c r="V26" s="4"/>
      <c r="W26" s="4">
        <v>14.6324</v>
      </c>
      <c r="X26" s="4">
        <v>9.64</v>
      </c>
      <c r="Y26" s="4">
        <f>X$35/W26</f>
        <v>9.642984062764823</v>
      </c>
      <c r="Z26" s="4"/>
      <c r="AA26" s="4">
        <v>14.5458</v>
      </c>
      <c r="AB26" s="4">
        <v>9.71</v>
      </c>
      <c r="AC26" s="4">
        <f>AB$35/AA26</f>
        <v>9.713456805400872</v>
      </c>
      <c r="AD26" s="4"/>
      <c r="AE26" s="4">
        <v>14.4268</v>
      </c>
      <c r="AF26" s="4">
        <v>9.79</v>
      </c>
      <c r="AG26" s="4">
        <f>AF$35/AE26</f>
        <v>9.788033382316245</v>
      </c>
      <c r="AH26" s="4"/>
      <c r="AI26" s="4">
        <v>14.606</v>
      </c>
      <c r="AJ26" s="4">
        <v>9.73</v>
      </c>
      <c r="AK26" s="4">
        <f>AJ$35/AI26</f>
        <v>9.730247843352048</v>
      </c>
      <c r="AL26" s="4"/>
      <c r="AM26" s="4">
        <v>14.6246</v>
      </c>
      <c r="AN26" s="4">
        <v>9.71</v>
      </c>
      <c r="AO26" s="4">
        <f>AN$35/AM26</f>
        <v>9.713086169878151</v>
      </c>
      <c r="AP26" s="4"/>
      <c r="AQ26" s="4">
        <v>14.6667</v>
      </c>
      <c r="AR26" s="4">
        <v>9.69</v>
      </c>
      <c r="AS26" s="4">
        <f>AR$35/AQ26</f>
        <v>9.693387060483952</v>
      </c>
      <c r="AT26" s="4"/>
      <c r="AU26" s="4">
        <v>14.6044</v>
      </c>
      <c r="AV26" s="4">
        <v>9.72</v>
      </c>
      <c r="AW26" s="4">
        <f>AV$35/AU26</f>
        <v>9.720358248199174</v>
      </c>
      <c r="AX26" s="4"/>
      <c r="AY26" s="4">
        <v>14.62</v>
      </c>
      <c r="AZ26" s="4">
        <v>9.7</v>
      </c>
      <c r="BA26" s="4">
        <f>AZ$35/AY26</f>
        <v>9.696990424076608</v>
      </c>
      <c r="BB26" s="4"/>
      <c r="BC26" s="4">
        <v>14.7342</v>
      </c>
      <c r="BD26" s="4">
        <v>9.64</v>
      </c>
      <c r="BE26" s="4">
        <f>BD$35/BC26</f>
        <v>9.638799527629597</v>
      </c>
      <c r="BF26" s="4"/>
      <c r="BG26" s="4">
        <v>14.6106</v>
      </c>
      <c r="BH26" s="4">
        <v>9.71</v>
      </c>
      <c r="BI26" s="4">
        <f>BH$35/BG26</f>
        <v>9.711442377451986</v>
      </c>
      <c r="BJ26" s="4"/>
      <c r="BK26" s="4">
        <v>14.7801</v>
      </c>
      <c r="BL26" s="4">
        <v>9.59</v>
      </c>
      <c r="BM26" s="4">
        <f>BL$35/BK26</f>
        <v>9.59465768161244</v>
      </c>
      <c r="BN26" s="4"/>
      <c r="BO26" s="4">
        <v>14.9731</v>
      </c>
      <c r="BP26" s="4">
        <v>9.52</v>
      </c>
      <c r="BQ26" s="4">
        <f>BP$35/BO26</f>
        <v>9.523745917679037</v>
      </c>
      <c r="BR26" s="4"/>
      <c r="BS26" s="4">
        <v>14.8008</v>
      </c>
      <c r="BT26" s="4">
        <v>9.62</v>
      </c>
      <c r="BU26" s="4">
        <f>BT$35/BS26</f>
        <v>9.618399005459166</v>
      </c>
      <c r="BV26" s="4"/>
      <c r="BW26" s="4">
        <v>14.9503</v>
      </c>
      <c r="BX26" s="4">
        <v>9.54</v>
      </c>
      <c r="BY26" s="4">
        <f>BX$35/BW26</f>
        <v>9.543621198236824</v>
      </c>
      <c r="BZ26" s="4"/>
      <c r="CA26" s="36">
        <v>14.8985</v>
      </c>
      <c r="CB26" s="36">
        <v>9.59</v>
      </c>
      <c r="CC26" s="36">
        <f>CB$35/CA26</f>
        <v>9.591569621102796</v>
      </c>
      <c r="CD26" s="4"/>
      <c r="CE26" s="4">
        <v>14.7881</v>
      </c>
      <c r="CF26" s="16">
        <v>9.63</v>
      </c>
      <c r="CG26" s="16">
        <f>CF$35/CE26</f>
        <v>9.63139280908298</v>
      </c>
      <c r="CH26" s="4"/>
      <c r="CI26" s="4">
        <f t="shared" si="0"/>
        <v>14.664557142857142</v>
      </c>
      <c r="CJ26" s="16">
        <f t="shared" si="1"/>
        <v>9.665238095238095</v>
      </c>
      <c r="CK26" s="16">
        <f t="shared" si="1"/>
        <v>9.666277253951298</v>
      </c>
      <c r="CL26" s="4"/>
    </row>
    <row r="27" spans="1:90" ht="15.75" customHeight="1">
      <c r="A27" s="26">
        <v>15</v>
      </c>
      <c r="B27" s="27" t="s">
        <v>52</v>
      </c>
      <c r="C27" s="4">
        <v>176.014</v>
      </c>
      <c r="D27" s="4">
        <v>80.14</v>
      </c>
      <c r="E27" s="4">
        <f>D$35/C27*100</f>
        <v>80.13567102616838</v>
      </c>
      <c r="F27" s="4"/>
      <c r="G27" s="4">
        <v>176.3124</v>
      </c>
      <c r="H27" s="4">
        <v>79.92</v>
      </c>
      <c r="I27" s="4">
        <f>H$35/G27*100</f>
        <v>79.92064086246911</v>
      </c>
      <c r="J27" s="4"/>
      <c r="K27" s="4">
        <v>175.0326</v>
      </c>
      <c r="L27" s="4">
        <v>80.31</v>
      </c>
      <c r="M27" s="4">
        <f>L$35/K27*100</f>
        <v>80.31075353962632</v>
      </c>
      <c r="N27" s="4"/>
      <c r="O27" s="4">
        <v>174.8487</v>
      </c>
      <c r="P27" s="4">
        <v>80.38</v>
      </c>
      <c r="Q27" s="4">
        <f>P$35/O27*100</f>
        <v>80.38378323659255</v>
      </c>
      <c r="R27" s="4"/>
      <c r="S27" s="4">
        <v>176.7807</v>
      </c>
      <c r="T27" s="4">
        <v>79.85</v>
      </c>
      <c r="U27" s="4">
        <f>T$35/S27*100</f>
        <v>79.85034565424846</v>
      </c>
      <c r="V27" s="4"/>
      <c r="W27" s="4">
        <v>176.9311</v>
      </c>
      <c r="X27" s="4">
        <v>79.75</v>
      </c>
      <c r="Y27" s="4">
        <f>X$35/W27*100</f>
        <v>79.74855748932777</v>
      </c>
      <c r="Z27" s="4"/>
      <c r="AA27" s="4">
        <v>175.8837</v>
      </c>
      <c r="AB27" s="4">
        <v>80.33</v>
      </c>
      <c r="AC27" s="4">
        <f>AB$35/AA27*100</f>
        <v>80.33149177553122</v>
      </c>
      <c r="AD27" s="4"/>
      <c r="AE27" s="4">
        <v>174.4454</v>
      </c>
      <c r="AF27" s="11">
        <v>80.95</v>
      </c>
      <c r="AG27" s="4">
        <f>AF$35/AE27*100</f>
        <v>80.94796423408127</v>
      </c>
      <c r="AH27" s="4"/>
      <c r="AI27" s="4">
        <v>176.6118</v>
      </c>
      <c r="AJ27" s="4">
        <v>80.47</v>
      </c>
      <c r="AK27" s="4">
        <f>AJ$35/AI27*100</f>
        <v>80.4702743531293</v>
      </c>
      <c r="AL27" s="4"/>
      <c r="AM27" s="4">
        <v>176.8371</v>
      </c>
      <c r="AN27" s="4">
        <v>80.33</v>
      </c>
      <c r="AO27" s="4">
        <f>AN$35/AM27*100</f>
        <v>80.32816643113918</v>
      </c>
      <c r="AP27" s="4"/>
      <c r="AQ27" s="4">
        <v>177.346</v>
      </c>
      <c r="AR27" s="4">
        <v>80.17</v>
      </c>
      <c r="AS27" s="4">
        <f>AR$35/AQ27*100</f>
        <v>80.16532653682631</v>
      </c>
      <c r="AT27" s="4"/>
      <c r="AU27" s="4">
        <v>176.5931</v>
      </c>
      <c r="AV27" s="4">
        <v>80.39</v>
      </c>
      <c r="AW27" s="4">
        <f>AV$35/AU27*100</f>
        <v>80.38819183761994</v>
      </c>
      <c r="AX27" s="4"/>
      <c r="AY27" s="4">
        <v>176.7807</v>
      </c>
      <c r="AZ27" s="4">
        <v>80.19</v>
      </c>
      <c r="BA27" s="4">
        <f>AZ$35/AY27*100</f>
        <v>80.19540594646361</v>
      </c>
      <c r="BB27" s="4"/>
      <c r="BC27" s="4">
        <v>178.1625</v>
      </c>
      <c r="BD27" s="4">
        <v>79.71</v>
      </c>
      <c r="BE27" s="4">
        <f>BD$35/BC27*100</f>
        <v>79.7137444748474</v>
      </c>
      <c r="BF27" s="4"/>
      <c r="BG27" s="4">
        <v>176.6681</v>
      </c>
      <c r="BH27" s="4">
        <v>80.31</v>
      </c>
      <c r="BI27" s="4">
        <f>BH$35/BG27*100</f>
        <v>80.31444273187971</v>
      </c>
      <c r="BJ27" s="4"/>
      <c r="BK27" s="4">
        <v>178.7175</v>
      </c>
      <c r="BL27" s="4">
        <v>79.35</v>
      </c>
      <c r="BM27" s="4">
        <f>BL$35/BK27*100</f>
        <v>79.3486927693147</v>
      </c>
      <c r="BN27" s="4"/>
      <c r="BO27" s="4">
        <v>181.0511</v>
      </c>
      <c r="BP27" s="4">
        <v>78.76</v>
      </c>
      <c r="BQ27" s="4">
        <f>BP$35/BO27*100</f>
        <v>78.76229418103507</v>
      </c>
      <c r="BR27" s="4"/>
      <c r="BS27" s="4">
        <v>178.9674</v>
      </c>
      <c r="BT27" s="4">
        <v>79.55</v>
      </c>
      <c r="BU27" s="4">
        <f>BT$35/BS27*100</f>
        <v>79.54521326230365</v>
      </c>
      <c r="BV27" s="4"/>
      <c r="BW27" s="4">
        <v>180.7757</v>
      </c>
      <c r="BX27" s="4">
        <v>78.93</v>
      </c>
      <c r="BY27" s="4">
        <f>BX$35/BW27*100</f>
        <v>78.92653713967088</v>
      </c>
      <c r="BZ27" s="4"/>
      <c r="CA27" s="36">
        <v>180.1494</v>
      </c>
      <c r="CB27" s="36">
        <v>79.32</v>
      </c>
      <c r="CC27" s="36">
        <f>CB$35/CA27*100</f>
        <v>79.32305075676076</v>
      </c>
      <c r="CD27" s="4"/>
      <c r="CE27" s="4">
        <v>178.8135</v>
      </c>
      <c r="CF27" s="16">
        <v>79.65</v>
      </c>
      <c r="CG27" s="16">
        <f>CF$35/CE27*100</f>
        <v>79.65282263363784</v>
      </c>
      <c r="CH27" s="4"/>
      <c r="CI27" s="4">
        <f t="shared" si="0"/>
        <v>177.32011904761904</v>
      </c>
      <c r="CJ27" s="16">
        <f t="shared" si="1"/>
        <v>79.94095238095238</v>
      </c>
      <c r="CK27" s="16">
        <f t="shared" si="1"/>
        <v>79.94111289869873</v>
      </c>
      <c r="CL27" s="4"/>
    </row>
    <row r="28" spans="1:90" ht="15.75" customHeight="1">
      <c r="A28" s="26">
        <v>16</v>
      </c>
      <c r="B28" s="27" t="s">
        <v>53</v>
      </c>
      <c r="C28" s="4">
        <v>9.45</v>
      </c>
      <c r="D28" s="4">
        <v>14.93</v>
      </c>
      <c r="E28" s="4">
        <f>D$35/C28</f>
        <v>14.925925925925927</v>
      </c>
      <c r="F28" s="4"/>
      <c r="G28" s="4">
        <v>9.4405</v>
      </c>
      <c r="H28" s="4">
        <v>14.93</v>
      </c>
      <c r="I28" s="4">
        <f>H$35/G28</f>
        <v>14.926116201472379</v>
      </c>
      <c r="J28" s="4"/>
      <c r="K28" s="4">
        <v>9.3585</v>
      </c>
      <c r="L28" s="4">
        <v>15.02</v>
      </c>
      <c r="M28" s="4">
        <f>L$35/K28</f>
        <v>15.020569535716193</v>
      </c>
      <c r="N28" s="4"/>
      <c r="O28" s="4">
        <v>9.364</v>
      </c>
      <c r="P28" s="4">
        <v>15.01</v>
      </c>
      <c r="Q28" s="4">
        <f>P$35/O28</f>
        <v>15.009611277231953</v>
      </c>
      <c r="R28" s="4"/>
      <c r="S28" s="4">
        <v>9.498</v>
      </c>
      <c r="T28" s="4">
        <v>14.86</v>
      </c>
      <c r="U28" s="4">
        <f>T$35/S28</f>
        <v>14.862076226574017</v>
      </c>
      <c r="V28" s="4"/>
      <c r="W28" s="4">
        <v>9.4736</v>
      </c>
      <c r="X28" s="4">
        <v>14.89</v>
      </c>
      <c r="Y28" s="4">
        <f>X$35/W28</f>
        <v>14.894021280189158</v>
      </c>
      <c r="Z28" s="4"/>
      <c r="AA28" s="4">
        <v>9.365</v>
      </c>
      <c r="AB28" s="4">
        <v>15.09</v>
      </c>
      <c r="AC28" s="4">
        <f>AB$35/AA28</f>
        <v>15.087026161238654</v>
      </c>
      <c r="AD28" s="4"/>
      <c r="AE28" s="4">
        <v>9.2531</v>
      </c>
      <c r="AF28" s="4">
        <v>15.26</v>
      </c>
      <c r="AG28" s="4">
        <f>AF$35/AE28</f>
        <v>15.260831505117205</v>
      </c>
      <c r="AH28" s="4"/>
      <c r="AI28" s="4">
        <v>9.438</v>
      </c>
      <c r="AJ28" s="4">
        <v>15.06</v>
      </c>
      <c r="AK28" s="4">
        <f>AJ$35/AI28</f>
        <v>15.058275058275058</v>
      </c>
      <c r="AL28" s="4"/>
      <c r="AM28" s="4">
        <v>9.484</v>
      </c>
      <c r="AN28" s="4">
        <v>14.98</v>
      </c>
      <c r="AO28" s="4">
        <f>AN$35/AM28</f>
        <v>14.977857444116408</v>
      </c>
      <c r="AP28" s="4"/>
      <c r="AQ28" s="4">
        <v>9.51</v>
      </c>
      <c r="AR28" s="4">
        <v>14.95</v>
      </c>
      <c r="AS28" s="4">
        <f>AR$35/AQ28</f>
        <v>14.949526813880125</v>
      </c>
      <c r="AT28" s="4"/>
      <c r="AU28" s="4">
        <v>9.46</v>
      </c>
      <c r="AV28" s="4">
        <v>15.01</v>
      </c>
      <c r="AW28" s="4">
        <f>AV$35/AU28</f>
        <v>15.006342494714588</v>
      </c>
      <c r="AX28" s="4"/>
      <c r="AY28" s="4">
        <v>9.436</v>
      </c>
      <c r="AZ28" s="4">
        <v>15.02</v>
      </c>
      <c r="BA28" s="4">
        <f>AZ$35/AY28</f>
        <v>15.02437473505723</v>
      </c>
      <c r="BB28" s="4"/>
      <c r="BC28" s="4">
        <v>9.548</v>
      </c>
      <c r="BD28" s="4">
        <v>14.87</v>
      </c>
      <c r="BE28" s="4">
        <f>BD$35/BC28</f>
        <v>14.87431922915794</v>
      </c>
      <c r="BF28" s="4"/>
      <c r="BG28" s="4">
        <v>9.5268</v>
      </c>
      <c r="BH28" s="4">
        <v>14.89</v>
      </c>
      <c r="BI28" s="4">
        <f>BH$35/BG28</f>
        <v>14.893773355166477</v>
      </c>
      <c r="BJ28" s="4"/>
      <c r="BK28" s="4">
        <v>9.6</v>
      </c>
      <c r="BL28" s="4">
        <v>14.77</v>
      </c>
      <c r="BM28" s="4">
        <f>BL$35/BK28</f>
        <v>14.771875000000001</v>
      </c>
      <c r="BN28" s="4"/>
      <c r="BO28" s="4">
        <v>9.708</v>
      </c>
      <c r="BP28" s="4">
        <v>14.69</v>
      </c>
      <c r="BQ28" s="4">
        <f>BP$35/BO28</f>
        <v>14.68891635764318</v>
      </c>
      <c r="BR28" s="4"/>
      <c r="BS28" s="4">
        <v>9.5654</v>
      </c>
      <c r="BT28" s="4">
        <v>14.88</v>
      </c>
      <c r="BU28" s="4">
        <f>BT$35/BS28</f>
        <v>14.882806782779602</v>
      </c>
      <c r="BV28" s="4"/>
      <c r="BW28" s="4">
        <v>9.624</v>
      </c>
      <c r="BX28" s="4">
        <v>14.83</v>
      </c>
      <c r="BY28" s="4">
        <f>BX$35/BW28</f>
        <v>14.825436408977556</v>
      </c>
      <c r="BZ28" s="4"/>
      <c r="CA28" s="36">
        <v>9.566</v>
      </c>
      <c r="CB28" s="36">
        <v>14.94</v>
      </c>
      <c r="CC28" s="36">
        <f>CB$35/CA28</f>
        <v>14.938323228099518</v>
      </c>
      <c r="CD28" s="4"/>
      <c r="CE28" s="4">
        <v>9.498</v>
      </c>
      <c r="CF28" s="16">
        <v>15</v>
      </c>
      <c r="CG28" s="16">
        <f>CF$35/CE28</f>
        <v>14.995788587070964</v>
      </c>
      <c r="CH28" s="4"/>
      <c r="CI28" s="4">
        <f t="shared" si="0"/>
        <v>9.484138095238094</v>
      </c>
      <c r="CJ28" s="16">
        <f t="shared" si="1"/>
        <v>14.946666666666667</v>
      </c>
      <c r="CK28" s="16">
        <f t="shared" si="1"/>
        <v>14.94637112420972</v>
      </c>
      <c r="CL28" s="4"/>
    </row>
    <row r="29" spans="1:90" ht="15.75" customHeight="1">
      <c r="A29" s="26">
        <v>17</v>
      </c>
      <c r="B29" s="27" t="s">
        <v>54</v>
      </c>
      <c r="C29" s="4">
        <v>8.772</v>
      </c>
      <c r="D29" s="4">
        <v>16.08</v>
      </c>
      <c r="E29" s="4">
        <f>D$35/C29</f>
        <v>16.079571363429093</v>
      </c>
      <c r="F29" s="4"/>
      <c r="G29" s="4">
        <v>8.7634</v>
      </c>
      <c r="H29" s="4">
        <v>16.08</v>
      </c>
      <c r="I29" s="4">
        <f>H$35/G29</f>
        <v>16.079375584818678</v>
      </c>
      <c r="J29" s="4"/>
      <c r="K29" s="4">
        <v>8.7041</v>
      </c>
      <c r="L29" s="4">
        <v>16.15</v>
      </c>
      <c r="M29" s="4">
        <f>L$35/K29</f>
        <v>16.14986041061109</v>
      </c>
      <c r="N29" s="4"/>
      <c r="O29" s="4">
        <v>8.6972</v>
      </c>
      <c r="P29" s="4">
        <v>16.16</v>
      </c>
      <c r="Q29" s="4">
        <f>P$35/O29</f>
        <v>16.160373453525274</v>
      </c>
      <c r="R29" s="4"/>
      <c r="S29" s="4">
        <v>8.7781</v>
      </c>
      <c r="T29" s="4">
        <v>16.08</v>
      </c>
      <c r="U29" s="4">
        <f>T$35/S29</f>
        <v>16.080928674770167</v>
      </c>
      <c r="V29" s="4"/>
      <c r="W29" s="4">
        <v>8.7116</v>
      </c>
      <c r="X29" s="4">
        <v>16.2</v>
      </c>
      <c r="Y29" s="4">
        <f>X$35/W29</f>
        <v>16.196795077827264</v>
      </c>
      <c r="Z29" s="4"/>
      <c r="AA29" s="4">
        <v>8.6709</v>
      </c>
      <c r="AB29" s="4">
        <v>16.29</v>
      </c>
      <c r="AC29" s="4">
        <f>AB$35/AA29</f>
        <v>16.294732957363134</v>
      </c>
      <c r="AD29" s="4"/>
      <c r="AE29" s="4">
        <v>8.562</v>
      </c>
      <c r="AF29" s="4">
        <v>16.49</v>
      </c>
      <c r="AG29" s="4">
        <f>AF$35/AE29</f>
        <v>16.492641906096708</v>
      </c>
      <c r="AH29" s="4"/>
      <c r="AI29" s="4">
        <v>8.7204</v>
      </c>
      <c r="AJ29" s="4">
        <v>16.3</v>
      </c>
      <c r="AK29" s="4">
        <f>AJ$35/AI29</f>
        <v>16.297417549653687</v>
      </c>
      <c r="AL29" s="4"/>
      <c r="AM29" s="4">
        <v>8.7256</v>
      </c>
      <c r="AN29" s="4">
        <v>16.28</v>
      </c>
      <c r="AO29" s="4">
        <f>AN$35/AM29</f>
        <v>16.2796827725314</v>
      </c>
      <c r="AP29" s="4"/>
      <c r="AQ29" s="4">
        <v>8.7644</v>
      </c>
      <c r="AR29" s="4">
        <v>16.22</v>
      </c>
      <c r="AS29" s="4">
        <f>AR$35/AQ29</f>
        <v>16.221304367669205</v>
      </c>
      <c r="AT29" s="4"/>
      <c r="AU29" s="4">
        <v>8.72</v>
      </c>
      <c r="AV29" s="4">
        <v>16.28</v>
      </c>
      <c r="AW29" s="4">
        <f>AV$35/AU29</f>
        <v>16.279816513761467</v>
      </c>
      <c r="AX29" s="4"/>
      <c r="AY29" s="4">
        <v>8.7354</v>
      </c>
      <c r="AZ29" s="4">
        <v>16.23</v>
      </c>
      <c r="BA29" s="4">
        <f>AZ$35/AY29</f>
        <v>16.229365569979624</v>
      </c>
      <c r="BB29" s="4"/>
      <c r="BC29" s="4">
        <v>8.7994</v>
      </c>
      <c r="BD29" s="4">
        <v>16.14</v>
      </c>
      <c r="BE29" s="4">
        <f>BD$35/BC29</f>
        <v>16.13973680023638</v>
      </c>
      <c r="BF29" s="4"/>
      <c r="BG29" s="4">
        <v>8.7708</v>
      </c>
      <c r="BH29" s="4">
        <v>16.18</v>
      </c>
      <c r="BI29" s="4">
        <f>BH$35/BG29</f>
        <v>16.177543667624388</v>
      </c>
      <c r="BJ29" s="4"/>
      <c r="BK29" s="4">
        <v>8.88</v>
      </c>
      <c r="BL29" s="4">
        <v>15.97</v>
      </c>
      <c r="BM29" s="4">
        <f>BL$35/BK29</f>
        <v>15.969594594594593</v>
      </c>
      <c r="BN29" s="4"/>
      <c r="BO29" s="4">
        <v>8.942</v>
      </c>
      <c r="BP29" s="4">
        <v>15.95</v>
      </c>
      <c r="BQ29" s="4">
        <f>BP$35/BO29</f>
        <v>15.947215388056362</v>
      </c>
      <c r="BR29" s="4"/>
      <c r="BS29" s="4">
        <v>8.8364</v>
      </c>
      <c r="BT29" s="4">
        <v>16.11</v>
      </c>
      <c r="BU29" s="4">
        <f>BT$35/BS29</f>
        <v>16.110633289574942</v>
      </c>
      <c r="BV29" s="4"/>
      <c r="BW29" s="4">
        <v>8.895</v>
      </c>
      <c r="BX29" s="4">
        <v>16.04</v>
      </c>
      <c r="BY29" s="4">
        <f>BX$35/BW29</f>
        <v>16.040472175379428</v>
      </c>
      <c r="BZ29" s="4"/>
      <c r="CA29" s="36">
        <v>8.854</v>
      </c>
      <c r="CB29" s="36">
        <v>16.14</v>
      </c>
      <c r="CC29" s="36">
        <f>CB$35/CA29</f>
        <v>16.139597921843237</v>
      </c>
      <c r="CD29" s="4"/>
      <c r="CE29" s="4">
        <v>8.7949</v>
      </c>
      <c r="CF29" s="16">
        <v>16.19</v>
      </c>
      <c r="CG29" s="16">
        <f>CF$35/CE29</f>
        <v>16.19461278695608</v>
      </c>
      <c r="CH29" s="4"/>
      <c r="CI29" s="4">
        <f t="shared" si="0"/>
        <v>8.766552380952382</v>
      </c>
      <c r="CJ29" s="16">
        <f>(D29+H29+L29+P29+T29+X29+AB29+AF29+AJ29+AN29+AR29+AV29+AZ29+BD29+BH29+BL29+BP29+BT29+BX29+CB29+CF29)/21</f>
        <v>16.169523809523813</v>
      </c>
      <c r="CK29" s="16">
        <f>(E29+I29+M29+Q29+U29+Y29+AC29+AG29+AK29+AO29+AS29+AW29+BA29+BE29+BI29+BM29+BQ29+BU29+BY29+CC29+CG29)/21</f>
        <v>16.169584420300104</v>
      </c>
      <c r="CL29" s="4"/>
    </row>
    <row r="30" spans="1:90" ht="15.75" customHeight="1">
      <c r="A30" s="26">
        <v>18</v>
      </c>
      <c r="B30" s="27" t="s">
        <v>55</v>
      </c>
      <c r="C30" s="4">
        <v>7.8885</v>
      </c>
      <c r="D30" s="4">
        <v>17.88</v>
      </c>
      <c r="E30" s="4">
        <f>D$35/C30</f>
        <v>17.880458895861064</v>
      </c>
      <c r="F30" s="4"/>
      <c r="G30" s="4">
        <v>7.9083</v>
      </c>
      <c r="H30" s="4">
        <v>17.82</v>
      </c>
      <c r="I30" s="4">
        <f>H$35/G30</f>
        <v>17.817988695421267</v>
      </c>
      <c r="J30" s="4"/>
      <c r="K30" s="4">
        <v>7.8471</v>
      </c>
      <c r="L30" s="4">
        <v>17.91</v>
      </c>
      <c r="M30" s="4">
        <f>L$35/K30</f>
        <v>17.913624141402554</v>
      </c>
      <c r="N30" s="4"/>
      <c r="O30" s="4">
        <v>7.838</v>
      </c>
      <c r="P30" s="4">
        <v>17.93</v>
      </c>
      <c r="Q30" s="4">
        <f>P$35/O30</f>
        <v>17.931870375095688</v>
      </c>
      <c r="R30" s="4"/>
      <c r="S30" s="4">
        <v>7.9279</v>
      </c>
      <c r="T30" s="4">
        <v>17.81</v>
      </c>
      <c r="U30" s="4">
        <f>T$35/S30</f>
        <v>17.805471814730257</v>
      </c>
      <c r="V30" s="4"/>
      <c r="W30" s="4">
        <v>7.9326</v>
      </c>
      <c r="X30" s="4">
        <v>17.79</v>
      </c>
      <c r="Y30" s="4">
        <f>X$35/W30</f>
        <v>17.787358495323097</v>
      </c>
      <c r="Z30" s="4"/>
      <c r="AA30" s="4">
        <v>7.8895</v>
      </c>
      <c r="AB30" s="4">
        <v>17.91</v>
      </c>
      <c r="AC30" s="4">
        <f>AB$35/AA30</f>
        <v>17.90861271309969</v>
      </c>
      <c r="AD30" s="4"/>
      <c r="AE30" s="4">
        <v>7.8161</v>
      </c>
      <c r="AF30" s="4">
        <v>18.07</v>
      </c>
      <c r="AG30" s="4">
        <f>AF$35/AE30</f>
        <v>18.066554931487573</v>
      </c>
      <c r="AH30" s="4"/>
      <c r="AI30" s="4">
        <v>7.9265</v>
      </c>
      <c r="AJ30" s="4">
        <v>17.93</v>
      </c>
      <c r="AK30" s="4">
        <f>AJ$35/AI30</f>
        <v>17.929729388759228</v>
      </c>
      <c r="AL30" s="4"/>
      <c r="AM30" s="4">
        <v>7.934</v>
      </c>
      <c r="AN30" s="4">
        <v>17.9</v>
      </c>
      <c r="AO30" s="4">
        <f>AN$35/AM30</f>
        <v>17.903957650617595</v>
      </c>
      <c r="AP30" s="4"/>
      <c r="AQ30" s="4">
        <v>7.9543</v>
      </c>
      <c r="AR30" s="4">
        <v>17.87</v>
      </c>
      <c r="AS30" s="4">
        <f>AR$35/AQ30</f>
        <v>17.873351520561204</v>
      </c>
      <c r="AT30" s="4"/>
      <c r="AU30" s="4">
        <v>7.92</v>
      </c>
      <c r="AV30" s="4">
        <v>17.92</v>
      </c>
      <c r="AW30" s="4">
        <f>AV$35/AU30</f>
        <v>17.924242424242426</v>
      </c>
      <c r="AX30" s="4"/>
      <c r="AY30" s="4">
        <v>7.9302</v>
      </c>
      <c r="AZ30" s="4">
        <v>17.88</v>
      </c>
      <c r="BA30" s="4">
        <f>AZ$35/AY30</f>
        <v>17.877228821467302</v>
      </c>
      <c r="BB30" s="4"/>
      <c r="BC30" s="4">
        <v>7.992</v>
      </c>
      <c r="BD30" s="4">
        <v>17.77</v>
      </c>
      <c r="BE30" s="4">
        <f>BD$35/BC30</f>
        <v>17.77027027027027</v>
      </c>
      <c r="BF30" s="4"/>
      <c r="BG30" s="4">
        <v>7.9275</v>
      </c>
      <c r="BH30" s="4">
        <v>17.9</v>
      </c>
      <c r="BI30" s="4">
        <f>BH$35/BG30</f>
        <v>17.898454746136863</v>
      </c>
      <c r="BJ30" s="4"/>
      <c r="BK30" s="4">
        <v>8.06</v>
      </c>
      <c r="BL30" s="4">
        <v>17.59</v>
      </c>
      <c r="BM30" s="4">
        <f>BL$35/BK30</f>
        <v>17.594292803970223</v>
      </c>
      <c r="BN30" s="4"/>
      <c r="BO30" s="4">
        <v>8.1204</v>
      </c>
      <c r="BP30" s="4">
        <v>17.56</v>
      </c>
      <c r="BQ30" s="4">
        <f>BP$35/BO30</f>
        <v>17.560711295010098</v>
      </c>
      <c r="BR30" s="4"/>
      <c r="BS30" s="4">
        <v>8.0278</v>
      </c>
      <c r="BT30" s="4">
        <v>17.73</v>
      </c>
      <c r="BU30" s="4">
        <f>BT$35/BS30</f>
        <v>17.733376516604803</v>
      </c>
      <c r="BV30" s="4"/>
      <c r="BW30" s="4">
        <v>8.1005</v>
      </c>
      <c r="BX30" s="4">
        <v>17.61</v>
      </c>
      <c r="BY30" s="4">
        <f>BX$35/BW30</f>
        <v>17.61372754768224</v>
      </c>
      <c r="BZ30" s="4"/>
      <c r="CA30" s="36">
        <v>8.0738</v>
      </c>
      <c r="CB30" s="36">
        <v>17.7</v>
      </c>
      <c r="CC30" s="36">
        <f>CB$35/CA30</f>
        <v>17.69922465257995</v>
      </c>
      <c r="CD30" s="4"/>
      <c r="CE30" s="4">
        <v>8.014</v>
      </c>
      <c r="CF30" s="16">
        <v>17.77</v>
      </c>
      <c r="CG30" s="16">
        <f>CF$35/CE30</f>
        <v>17.77264786623409</v>
      </c>
      <c r="CH30" s="4"/>
      <c r="CI30" s="4">
        <f aca="true" t="shared" si="2" ref="CI30:CL35">(C30+G30+K30+O30+S30+W30+AA30+AE30+AI30+AM30+AQ30+AU30+AY30+BC30+BG30+BK30+BO30+BS30+BW30+CA30+CE30)/21</f>
        <v>7.953761904761905</v>
      </c>
      <c r="CJ30" s="16">
        <f t="shared" si="2"/>
        <v>17.821428571428573</v>
      </c>
      <c r="CK30" s="16">
        <f t="shared" si="2"/>
        <v>17.822055026978926</v>
      </c>
      <c r="CL30" s="4"/>
    </row>
    <row r="31" spans="1:90" ht="15.75" customHeight="1">
      <c r="A31" s="26">
        <v>19</v>
      </c>
      <c r="B31" s="27" t="s">
        <v>56</v>
      </c>
      <c r="C31" s="4">
        <v>6.2898</v>
      </c>
      <c r="D31" s="4">
        <v>22.43</v>
      </c>
      <c r="E31" s="4">
        <f>D$35/C31</f>
        <v>22.42519634964546</v>
      </c>
      <c r="F31" s="4"/>
      <c r="G31" s="4">
        <v>6.3004</v>
      </c>
      <c r="H31" s="4">
        <v>22.37</v>
      </c>
      <c r="I31" s="4">
        <f>H$35/G31</f>
        <v>22.365246651006284</v>
      </c>
      <c r="J31" s="4"/>
      <c r="K31" s="4">
        <v>6.2547</v>
      </c>
      <c r="L31" s="4">
        <v>22.47</v>
      </c>
      <c r="M31" s="4">
        <f>L$35/K31</f>
        <v>22.474299326906166</v>
      </c>
      <c r="N31" s="4"/>
      <c r="O31" s="4">
        <v>6.2481</v>
      </c>
      <c r="P31" s="4">
        <v>22.49</v>
      </c>
      <c r="Q31" s="4">
        <f>P$35/O31</f>
        <v>22.49483843088299</v>
      </c>
      <c r="R31" s="4"/>
      <c r="S31" s="4">
        <v>6.3172</v>
      </c>
      <c r="T31" s="4">
        <v>22.35</v>
      </c>
      <c r="U31" s="4">
        <f>T$35/S31</f>
        <v>22.345342873424936</v>
      </c>
      <c r="V31" s="4"/>
      <c r="W31" s="4">
        <v>6.3226</v>
      </c>
      <c r="X31" s="4">
        <v>22.32</v>
      </c>
      <c r="Y31" s="4">
        <f>X$35/W31</f>
        <v>22.31676841805586</v>
      </c>
      <c r="Z31" s="4"/>
      <c r="AA31" s="4">
        <v>6.2851</v>
      </c>
      <c r="AB31" s="4">
        <v>22.48</v>
      </c>
      <c r="AC31" s="4">
        <f>AB$35/AA31</f>
        <v>22.48015146934814</v>
      </c>
      <c r="AD31" s="4"/>
      <c r="AE31" s="4">
        <v>6.2337</v>
      </c>
      <c r="AF31" s="4">
        <v>22.65</v>
      </c>
      <c r="AG31" s="4">
        <f>AF$35/AE31</f>
        <v>22.652678184705714</v>
      </c>
      <c r="AH31" s="4"/>
      <c r="AI31" s="4">
        <v>6.3111</v>
      </c>
      <c r="AJ31" s="4">
        <v>22.52</v>
      </c>
      <c r="AK31" s="4">
        <f>AJ$35/AI31</f>
        <v>22.5190537307284</v>
      </c>
      <c r="AL31" s="4"/>
      <c r="AM31" s="4">
        <v>6.3192</v>
      </c>
      <c r="AN31" s="4">
        <v>22.48</v>
      </c>
      <c r="AO31" s="4">
        <f>AN$35/AM31</f>
        <v>22.47911127990885</v>
      </c>
      <c r="AP31" s="4"/>
      <c r="AQ31" s="4">
        <v>6.3374</v>
      </c>
      <c r="AR31" s="4">
        <v>22.43</v>
      </c>
      <c r="AS31" s="4">
        <f>AR$35/AQ31</f>
        <v>22.43349007479408</v>
      </c>
      <c r="AT31" s="4"/>
      <c r="AU31" s="4">
        <v>6.3105</v>
      </c>
      <c r="AV31" s="4">
        <v>22.5</v>
      </c>
      <c r="AW31" s="4">
        <f>AV$35/AU31</f>
        <v>22.495840266222963</v>
      </c>
      <c r="AX31" s="4"/>
      <c r="AY31" s="4">
        <v>6.3172</v>
      </c>
      <c r="AZ31" s="4">
        <v>22.44</v>
      </c>
      <c r="BA31" s="4">
        <f>AZ$35/AY31</f>
        <v>22.44190464129678</v>
      </c>
      <c r="BB31" s="4"/>
      <c r="BC31" s="4">
        <v>6.3666</v>
      </c>
      <c r="BD31" s="4">
        <v>22.31</v>
      </c>
      <c r="BE31" s="4">
        <f>BD$35/BC31</f>
        <v>22.307039864291774</v>
      </c>
      <c r="BF31" s="4"/>
      <c r="BG31" s="4">
        <v>6.3132</v>
      </c>
      <c r="BH31" s="4">
        <v>22.47</v>
      </c>
      <c r="BI31" s="4">
        <f>BH$35/BG31</f>
        <v>22.475131470569597</v>
      </c>
      <c r="BJ31" s="4"/>
      <c r="BK31" s="4">
        <v>6.3864</v>
      </c>
      <c r="BL31" s="4">
        <v>22.2</v>
      </c>
      <c r="BM31" s="4">
        <f>BL$35/BK31</f>
        <v>22.20499812100714</v>
      </c>
      <c r="BN31" s="4"/>
      <c r="BO31" s="4">
        <v>6.4698</v>
      </c>
      <c r="BP31" s="4">
        <v>22.04</v>
      </c>
      <c r="BQ31" s="4">
        <f>BP$35/BO31</f>
        <v>22.040866796500662</v>
      </c>
      <c r="BR31" s="4"/>
      <c r="BS31" s="4">
        <v>6.3953</v>
      </c>
      <c r="BT31" s="4">
        <v>22.26</v>
      </c>
      <c r="BU31" s="4">
        <f>BT$35/BS31</f>
        <v>22.260097258924525</v>
      </c>
      <c r="BV31" s="4"/>
      <c r="BW31" s="4">
        <v>6.4599</v>
      </c>
      <c r="BX31" s="4">
        <v>22.09</v>
      </c>
      <c r="BY31" s="4">
        <f>BX$35/BW31</f>
        <v>22.0870292109785</v>
      </c>
      <c r="BZ31" s="4"/>
      <c r="CA31" s="36">
        <v>6.4376</v>
      </c>
      <c r="CB31" s="36">
        <v>22.2</v>
      </c>
      <c r="CC31" s="36">
        <f>CB$35/CA31</f>
        <v>22.197713433577732</v>
      </c>
      <c r="CD31" s="4"/>
      <c r="CE31" s="4">
        <v>6.3898</v>
      </c>
      <c r="CF31" s="16">
        <v>22.29</v>
      </c>
      <c r="CG31" s="16">
        <f>CF$35/CE31</f>
        <v>22.290212526213654</v>
      </c>
      <c r="CH31" s="4"/>
      <c r="CI31" s="4">
        <f t="shared" si="2"/>
        <v>6.336457142857144</v>
      </c>
      <c r="CJ31" s="16">
        <f t="shared" si="2"/>
        <v>22.37095238095238</v>
      </c>
      <c r="CK31" s="16">
        <f t="shared" si="2"/>
        <v>22.370810018047155</v>
      </c>
      <c r="CL31" s="4"/>
    </row>
    <row r="32" spans="1:90" ht="15.75" customHeight="1">
      <c r="A32" s="26">
        <v>20</v>
      </c>
      <c r="B32" s="27" t="s">
        <v>57</v>
      </c>
      <c r="C32" s="4">
        <v>212.0829</v>
      </c>
      <c r="D32" s="4">
        <v>66.51</v>
      </c>
      <c r="E32" s="4">
        <f>D$35/C32*100</f>
        <v>66.50701211648841</v>
      </c>
      <c r="F32" s="4"/>
      <c r="G32" s="4">
        <v>212.4425</v>
      </c>
      <c r="H32" s="4">
        <v>66.33</v>
      </c>
      <c r="I32" s="4">
        <f>H$35/G32*100</f>
        <v>66.3285359567883</v>
      </c>
      <c r="J32" s="4"/>
      <c r="K32" s="4">
        <v>210.9005</v>
      </c>
      <c r="L32" s="4">
        <v>66.65</v>
      </c>
      <c r="M32" s="4">
        <f>L$35/K32*100</f>
        <v>66.65228389690873</v>
      </c>
      <c r="N32" s="4"/>
      <c r="O32" s="4">
        <v>210.6789</v>
      </c>
      <c r="P32" s="4">
        <v>66.71</v>
      </c>
      <c r="Q32" s="4">
        <f>P$35/O32*100</f>
        <v>66.71289815923664</v>
      </c>
      <c r="R32" s="4"/>
      <c r="S32" s="4">
        <v>213.0068</v>
      </c>
      <c r="T32" s="4">
        <v>66.27</v>
      </c>
      <c r="U32" s="4">
        <f>T$35/S32*100</f>
        <v>66.27018480161196</v>
      </c>
      <c r="V32" s="4"/>
      <c r="W32" s="4">
        <v>213.188</v>
      </c>
      <c r="X32" s="4">
        <v>66.19</v>
      </c>
      <c r="Y32" s="4">
        <f>X$35/W32*100</f>
        <v>66.18571401767454</v>
      </c>
      <c r="Z32" s="4"/>
      <c r="AA32" s="4">
        <v>211.926</v>
      </c>
      <c r="AB32" s="4">
        <v>66.67</v>
      </c>
      <c r="AC32" s="4">
        <f>AB$35/AA32*100</f>
        <v>66.66949784358691</v>
      </c>
      <c r="AD32" s="4"/>
      <c r="AE32" s="4">
        <v>210.1929</v>
      </c>
      <c r="AF32" s="4">
        <v>67.18</v>
      </c>
      <c r="AG32" s="4">
        <f>AF$35/AE32*100</f>
        <v>67.18114646117922</v>
      </c>
      <c r="AH32" s="4"/>
      <c r="AI32" s="4">
        <v>212.8033</v>
      </c>
      <c r="AJ32" s="4">
        <v>66.78</v>
      </c>
      <c r="AK32" s="4">
        <f>AJ$35/AI32*100</f>
        <v>66.78467862105522</v>
      </c>
      <c r="AL32" s="4"/>
      <c r="AM32" s="4">
        <v>213.0747</v>
      </c>
      <c r="AN32" s="4">
        <v>66.67</v>
      </c>
      <c r="AO32" s="4">
        <f>AN$35/AM32*100</f>
        <v>66.66676053046186</v>
      </c>
      <c r="AP32" s="4"/>
      <c r="AQ32" s="4">
        <v>213.6879</v>
      </c>
      <c r="AR32" s="4">
        <v>66.53</v>
      </c>
      <c r="AS32" s="4">
        <f>AR$35/AQ32*100</f>
        <v>66.53160988525788</v>
      </c>
      <c r="AT32" s="4"/>
      <c r="AU32" s="4">
        <v>212.7807</v>
      </c>
      <c r="AV32" s="4">
        <v>66.72</v>
      </c>
      <c r="AW32" s="4">
        <f>AV$35/AU32*100</f>
        <v>66.71657720836524</v>
      </c>
      <c r="AX32" s="4"/>
      <c r="AY32" s="4">
        <v>213.0068</v>
      </c>
      <c r="AZ32" s="4">
        <v>66.55</v>
      </c>
      <c r="BA32" s="4">
        <f>AZ$35/AY32*100</f>
        <v>66.5565606356229</v>
      </c>
      <c r="BB32" s="4"/>
      <c r="BC32" s="4">
        <v>214.6718</v>
      </c>
      <c r="BD32" s="4">
        <v>66.16</v>
      </c>
      <c r="BE32" s="4">
        <f>BD$35/BC32*100</f>
        <v>66.15680308265921</v>
      </c>
      <c r="BF32" s="4"/>
      <c r="BG32" s="4">
        <v>212.8711</v>
      </c>
      <c r="BH32" s="4">
        <v>66.65</v>
      </c>
      <c r="BI32" s="4">
        <f>BH$35/BG32*100</f>
        <v>66.655360920294</v>
      </c>
      <c r="BJ32" s="4"/>
      <c r="BK32" s="4">
        <v>215.3405</v>
      </c>
      <c r="BL32" s="4">
        <v>65.85</v>
      </c>
      <c r="BM32" s="4">
        <f>BL$35/BK32*100</f>
        <v>65.85384542155332</v>
      </c>
      <c r="BN32" s="4"/>
      <c r="BO32" s="4">
        <v>218.1523</v>
      </c>
      <c r="BP32" s="4">
        <v>65.37</v>
      </c>
      <c r="BQ32" s="4">
        <f>BP$35/BO32*100</f>
        <v>65.36717696765058</v>
      </c>
      <c r="BR32" s="4"/>
      <c r="BS32" s="4">
        <v>215.6416</v>
      </c>
      <c r="BT32" s="4">
        <v>66.02</v>
      </c>
      <c r="BU32" s="4">
        <f>BT$35/BS32*100</f>
        <v>66.01694663738351</v>
      </c>
      <c r="BV32" s="4"/>
      <c r="BW32" s="4">
        <v>217.8205</v>
      </c>
      <c r="BX32" s="4">
        <v>65.51</v>
      </c>
      <c r="BY32" s="4">
        <f>BX$35/BW32*100</f>
        <v>65.50347648637296</v>
      </c>
      <c r="BZ32" s="4"/>
      <c r="CA32" s="36">
        <v>217.0658</v>
      </c>
      <c r="CB32" s="36">
        <v>65.83</v>
      </c>
      <c r="CC32" s="36">
        <f>CB$35/CA32*100</f>
        <v>65.83257242734692</v>
      </c>
      <c r="CD32" s="4"/>
      <c r="CE32" s="4">
        <v>215.4562</v>
      </c>
      <c r="CF32" s="16">
        <v>66.11</v>
      </c>
      <c r="CG32" s="16">
        <f>CF$35/CE32*100</f>
        <v>66.10624340353168</v>
      </c>
      <c r="CH32" s="16"/>
      <c r="CI32" s="4">
        <f t="shared" si="2"/>
        <v>213.65674761904756</v>
      </c>
      <c r="CJ32" s="16">
        <f t="shared" si="2"/>
        <v>66.34571428571428</v>
      </c>
      <c r="CK32" s="16">
        <f t="shared" si="2"/>
        <v>66.34551835623952</v>
      </c>
      <c r="CL32" s="4"/>
    </row>
    <row r="33" spans="1:90" ht="15.75" customHeight="1">
      <c r="A33" s="26">
        <v>21</v>
      </c>
      <c r="B33" s="27" t="s">
        <v>58</v>
      </c>
      <c r="C33" s="4">
        <f>1/1.31533</f>
        <v>0.7602654847072597</v>
      </c>
      <c r="D33" s="4">
        <v>185.53</v>
      </c>
      <c r="E33" s="4">
        <f>D$35/C33</f>
        <v>185.52729650000003</v>
      </c>
      <c r="F33" s="4"/>
      <c r="G33" s="4">
        <f>1/1.3113</f>
        <v>0.7626019980172348</v>
      </c>
      <c r="H33" s="4">
        <v>184.78</v>
      </c>
      <c r="I33" s="4">
        <f>H$35/G33</f>
        <v>184.775283</v>
      </c>
      <c r="J33" s="4"/>
      <c r="K33" s="4">
        <f>1/1.31146</f>
        <v>0.7625089594802739</v>
      </c>
      <c r="L33" s="4">
        <v>184.35</v>
      </c>
      <c r="M33" s="4">
        <f>L$35/K33</f>
        <v>184.3519322</v>
      </c>
      <c r="N33" s="4"/>
      <c r="O33" s="4">
        <f>1/1.31014</f>
        <v>0.7632772070160441</v>
      </c>
      <c r="P33" s="4">
        <v>184.14</v>
      </c>
      <c r="Q33" s="4">
        <f>P$35/O33</f>
        <v>184.14017700000002</v>
      </c>
      <c r="R33" s="4"/>
      <c r="S33" s="4">
        <f>1/1.30538</f>
        <v>0.7660604574913052</v>
      </c>
      <c r="T33" s="4">
        <v>184.27</v>
      </c>
      <c r="U33" s="4">
        <f>T$35/S33</f>
        <v>184.26744079999997</v>
      </c>
      <c r="V33" s="4"/>
      <c r="W33" s="4">
        <f>1/1.30466</f>
        <v>0.7664832216822774</v>
      </c>
      <c r="X33" s="4">
        <v>184.09</v>
      </c>
      <c r="Y33" s="4">
        <f>X$35/W33</f>
        <v>184.08752599999997</v>
      </c>
      <c r="Z33" s="4"/>
      <c r="AA33" s="4">
        <f>1/1.30875</f>
        <v>0.7640878701050621</v>
      </c>
      <c r="AB33" s="4">
        <v>184.91</v>
      </c>
      <c r="AC33" s="4">
        <f>AB$35/AA33</f>
        <v>184.9132875</v>
      </c>
      <c r="AD33" s="4"/>
      <c r="AE33" s="4">
        <f>1/1.30793</f>
        <v>0.7645669110732225</v>
      </c>
      <c r="AF33" s="4">
        <v>184.69</v>
      </c>
      <c r="AG33" s="4">
        <f>AF$35/AE33</f>
        <v>184.69279530000003</v>
      </c>
      <c r="AH33" s="4"/>
      <c r="AI33" s="4">
        <f>1/1.30793</f>
        <v>0.7645669110732225</v>
      </c>
      <c r="AJ33" s="4">
        <v>185.88</v>
      </c>
      <c r="AK33" s="4">
        <f>AJ$35/AI33</f>
        <v>185.88301160000003</v>
      </c>
      <c r="AL33" s="4"/>
      <c r="AM33" s="4">
        <f>1/1.30043</f>
        <v>0.7689764154933368</v>
      </c>
      <c r="AN33" s="4">
        <v>184.72</v>
      </c>
      <c r="AO33" s="4">
        <f>AN$35/AM33</f>
        <v>184.72608150000002</v>
      </c>
      <c r="AP33" s="4"/>
      <c r="AQ33" s="4">
        <f>1/1.29973</f>
        <v>0.769390565732883</v>
      </c>
      <c r="AR33" s="4">
        <v>184.79</v>
      </c>
      <c r="AS33" s="4">
        <f>AR$35/AQ33</f>
        <v>184.7826141</v>
      </c>
      <c r="AT33" s="4"/>
      <c r="AU33" s="4">
        <f>1/1.2998</f>
        <v>0.7693491306354824</v>
      </c>
      <c r="AV33" s="4">
        <v>184.52</v>
      </c>
      <c r="AW33" s="4">
        <f>AV$35/AU33</f>
        <v>184.519608</v>
      </c>
      <c r="AX33" s="4"/>
      <c r="AY33" s="4">
        <f>1/1.30122</f>
        <v>0.7685095525737384</v>
      </c>
      <c r="AZ33" s="4">
        <v>184.47</v>
      </c>
      <c r="BA33" s="4">
        <f>AZ$35/AY33</f>
        <v>184.47395940000004</v>
      </c>
      <c r="BB33" s="4"/>
      <c r="BC33" s="4">
        <f>1/1.29703</f>
        <v>0.7709921898491169</v>
      </c>
      <c r="BD33" s="4">
        <v>184.2</v>
      </c>
      <c r="BE33" s="4">
        <f>BD$35/BC33</f>
        <v>184.2042006</v>
      </c>
      <c r="BF33" s="4"/>
      <c r="BG33" s="4">
        <f>1/1.30196</f>
        <v>0.7680727518510553</v>
      </c>
      <c r="BH33" s="4">
        <v>184.73</v>
      </c>
      <c r="BI33" s="4">
        <f>BH$35/BG33</f>
        <v>184.73510439999998</v>
      </c>
      <c r="BJ33" s="4"/>
      <c r="BK33" s="4">
        <f>1/1.29552</f>
        <v>0.7718908237618871</v>
      </c>
      <c r="BL33" s="4">
        <v>183.71</v>
      </c>
      <c r="BM33" s="4">
        <f>BL$35/BK33</f>
        <v>183.7176912</v>
      </c>
      <c r="BN33" s="4"/>
      <c r="BO33" s="4">
        <f>1/1.28805</f>
        <v>0.7763673770428167</v>
      </c>
      <c r="BP33" s="4">
        <v>183.67</v>
      </c>
      <c r="BQ33" s="4">
        <f>BP$35/BO33</f>
        <v>183.67593</v>
      </c>
      <c r="BR33" s="4"/>
      <c r="BS33" s="4">
        <f>1/1.29577</f>
        <v>0.771741898639419</v>
      </c>
      <c r="BT33" s="4">
        <v>184.47</v>
      </c>
      <c r="BU33" s="4">
        <f>BT$35/BS33</f>
        <v>184.46581720000003</v>
      </c>
      <c r="BV33" s="4"/>
      <c r="BW33" s="4">
        <f>1/1.29181</f>
        <v>0.7741076474094488</v>
      </c>
      <c r="BX33" s="4">
        <v>184.32</v>
      </c>
      <c r="BY33" s="4">
        <f>BX$35/BW33</f>
        <v>184.3154508</v>
      </c>
      <c r="BZ33" s="4"/>
      <c r="CA33" s="36">
        <f>1/1.2913</f>
        <v>0.7744133818632387</v>
      </c>
      <c r="CB33" s="36">
        <v>184.53</v>
      </c>
      <c r="CC33" s="4">
        <f>CB$35/CA33</f>
        <v>184.52676999999997</v>
      </c>
      <c r="CD33" s="4"/>
      <c r="CE33" s="4">
        <f>1/1.29779</f>
        <v>0.770540688401051</v>
      </c>
      <c r="CF33" s="16">
        <v>184.84</v>
      </c>
      <c r="CG33" s="49">
        <f>CF$35/CE33</f>
        <v>184.8442297</v>
      </c>
      <c r="CH33" s="4"/>
      <c r="CI33" s="4">
        <f t="shared" si="2"/>
        <v>0.7680367354237799</v>
      </c>
      <c r="CJ33" s="16">
        <f t="shared" si="2"/>
        <v>184.55285714285714</v>
      </c>
      <c r="CK33" s="16">
        <f t="shared" si="2"/>
        <v>184.55362889523815</v>
      </c>
      <c r="CL33" s="4"/>
    </row>
    <row r="34" spans="1:90" ht="15.75" customHeight="1">
      <c r="A34" s="26">
        <v>22</v>
      </c>
      <c r="B34" s="27" t="s">
        <v>59</v>
      </c>
      <c r="C34" s="4">
        <v>360.4676</v>
      </c>
      <c r="D34" s="4">
        <v>39.13</v>
      </c>
      <c r="E34" s="4">
        <f>D$35/C34*100</f>
        <v>39.12973038353517</v>
      </c>
      <c r="F34" s="4">
        <v>38.3</v>
      </c>
      <c r="G34" s="4">
        <v>361.0787</v>
      </c>
      <c r="H34" s="4">
        <v>39.03</v>
      </c>
      <c r="I34" s="4">
        <f>H$35/G34*100</f>
        <v>39.02473338914757</v>
      </c>
      <c r="J34" s="4">
        <v>38.22</v>
      </c>
      <c r="K34" s="4">
        <v>358.4578</v>
      </c>
      <c r="L34" s="4">
        <v>39.22</v>
      </c>
      <c r="M34" s="4">
        <f>L$35/K34*100</f>
        <v>39.21521584967603</v>
      </c>
      <c r="N34" s="4">
        <v>38.37</v>
      </c>
      <c r="O34" s="4">
        <v>358.0811</v>
      </c>
      <c r="P34" s="4">
        <v>39.25</v>
      </c>
      <c r="Q34" s="4">
        <f>P$35/O34*100</f>
        <v>39.25088478559746</v>
      </c>
      <c r="R34" s="4">
        <v>38.52</v>
      </c>
      <c r="S34" s="4">
        <v>362.0378</v>
      </c>
      <c r="T34" s="4">
        <v>38.99</v>
      </c>
      <c r="U34" s="4">
        <f>T$35/S34*100</f>
        <v>38.99040376446879</v>
      </c>
      <c r="V34" s="4">
        <v>38.45</v>
      </c>
      <c r="W34" s="4">
        <v>362.3458</v>
      </c>
      <c r="X34" s="4">
        <v>38.94</v>
      </c>
      <c r="Y34" s="4">
        <f>X$35/W34*100</f>
        <v>38.94070250020836</v>
      </c>
      <c r="Z34" s="4">
        <v>38.64</v>
      </c>
      <c r="AA34" s="4">
        <v>360.2008</v>
      </c>
      <c r="AB34" s="4">
        <v>39.23</v>
      </c>
      <c r="AC34" s="4">
        <f>AB$35/AA34*100</f>
        <v>39.225343197460965</v>
      </c>
      <c r="AD34" s="4">
        <v>38.88</v>
      </c>
      <c r="AE34" s="4">
        <v>357.2552</v>
      </c>
      <c r="AF34" s="4">
        <v>39.53</v>
      </c>
      <c r="AG34" s="4">
        <f>AF$35/AE34*100</f>
        <v>39.52636658612667</v>
      </c>
      <c r="AH34" s="4">
        <v>39.22</v>
      </c>
      <c r="AI34" s="4">
        <v>361.692</v>
      </c>
      <c r="AJ34" s="4">
        <v>39.29</v>
      </c>
      <c r="AK34" s="4">
        <f>AJ$35/AI34*100</f>
        <v>39.29310020680579</v>
      </c>
      <c r="AL34" s="4">
        <v>39.03</v>
      </c>
      <c r="AM34" s="4">
        <v>362.1533</v>
      </c>
      <c r="AN34" s="4">
        <v>39.22</v>
      </c>
      <c r="AO34" s="4">
        <f>AN$35/AM34*100</f>
        <v>39.223721004337115</v>
      </c>
      <c r="AP34" s="4">
        <v>38.95</v>
      </c>
      <c r="AQ34" s="4">
        <v>363.1955</v>
      </c>
      <c r="AR34" s="4">
        <v>39.15</v>
      </c>
      <c r="AS34" s="4">
        <f>AR$35/AQ34*100</f>
        <v>39.14420745851752</v>
      </c>
      <c r="AT34" s="4">
        <v>38.98</v>
      </c>
      <c r="AU34" s="4">
        <v>361.6536</v>
      </c>
      <c r="AV34" s="4">
        <v>39.25</v>
      </c>
      <c r="AW34" s="4">
        <f>AV$35/AU34*100</f>
        <v>39.253031077251826</v>
      </c>
      <c r="AX34" s="4">
        <v>39.01</v>
      </c>
      <c r="AY34" s="4">
        <v>362.0378</v>
      </c>
      <c r="AZ34" s="4">
        <v>39.16</v>
      </c>
      <c r="BA34" s="4">
        <f>AZ$35/AY34*100</f>
        <v>39.158894457982015</v>
      </c>
      <c r="BB34" s="4">
        <v>39.06</v>
      </c>
      <c r="BC34" s="4">
        <v>364.8678</v>
      </c>
      <c r="BD34" s="4">
        <v>38.92</v>
      </c>
      <c r="BE34" s="4">
        <f>BD$35/BC34*100</f>
        <v>38.92368688056332</v>
      </c>
      <c r="BF34" s="4">
        <v>38.8</v>
      </c>
      <c r="BG34" s="4">
        <v>361.8072</v>
      </c>
      <c r="BH34" s="4">
        <v>39.22</v>
      </c>
      <c r="BI34" s="4">
        <f>BH$35/BG34*100</f>
        <v>39.21701945124364</v>
      </c>
      <c r="BJ34" s="4">
        <v>38.91</v>
      </c>
      <c r="BK34" s="4">
        <v>366.0043</v>
      </c>
      <c r="BL34" s="4">
        <v>38.74</v>
      </c>
      <c r="BM34" s="4">
        <f>BL$35/BK34*100</f>
        <v>38.74544643327961</v>
      </c>
      <c r="BN34" s="4">
        <v>38.76</v>
      </c>
      <c r="BO34" s="4">
        <v>370.7835</v>
      </c>
      <c r="BP34" s="4">
        <v>38.46</v>
      </c>
      <c r="BQ34" s="4">
        <f>BP$35/BO34*100</f>
        <v>38.45910079601708</v>
      </c>
      <c r="BR34" s="4">
        <v>38.52</v>
      </c>
      <c r="BS34" s="4">
        <v>366.5161</v>
      </c>
      <c r="BT34" s="4">
        <v>38.84</v>
      </c>
      <c r="BU34" s="4">
        <f>BT$35/BS34*100</f>
        <v>38.841404238449556</v>
      </c>
      <c r="BV34" s="4">
        <v>38.69</v>
      </c>
      <c r="BW34" s="4">
        <v>370.2195</v>
      </c>
      <c r="BX34" s="4">
        <v>38.54</v>
      </c>
      <c r="BY34" s="4">
        <f>BX$35/BW34*100</f>
        <v>38.53929898344091</v>
      </c>
      <c r="BZ34" s="4">
        <v>38.64</v>
      </c>
      <c r="CA34" s="36">
        <v>368.9368</v>
      </c>
      <c r="CB34" s="36">
        <v>38.73</v>
      </c>
      <c r="CC34" s="36">
        <f>CB$35/CA34*100</f>
        <v>38.7329211940907</v>
      </c>
      <c r="CD34" s="4">
        <v>38.6</v>
      </c>
      <c r="CE34" s="4">
        <v>366.201</v>
      </c>
      <c r="CF34" s="16">
        <v>38.89</v>
      </c>
      <c r="CG34" s="16">
        <f>CF$35/CE34*100</f>
        <v>38.89394075930978</v>
      </c>
      <c r="CH34" s="16">
        <v>38.75</v>
      </c>
      <c r="CI34" s="4">
        <f t="shared" si="2"/>
        <v>363.14253333333335</v>
      </c>
      <c r="CJ34" s="16">
        <f t="shared" si="2"/>
        <v>39.03476190476191</v>
      </c>
      <c r="CK34" s="16">
        <f t="shared" si="2"/>
        <v>39.03472159035761</v>
      </c>
      <c r="CL34" s="16">
        <f t="shared" si="2"/>
        <v>38.72857142857143</v>
      </c>
    </row>
    <row r="35" spans="1:90" ht="15.75" customHeight="1" thickBot="1">
      <c r="A35" s="29">
        <v>23</v>
      </c>
      <c r="B35" s="30" t="s">
        <v>60</v>
      </c>
      <c r="C35" s="13">
        <v>1</v>
      </c>
      <c r="D35" s="13">
        <v>141.05</v>
      </c>
      <c r="E35" s="24">
        <f>D$35/C35</f>
        <v>141.05</v>
      </c>
      <c r="F35" s="13">
        <v>141.14</v>
      </c>
      <c r="G35" s="13">
        <v>1</v>
      </c>
      <c r="H35" s="13">
        <v>140.91</v>
      </c>
      <c r="I35" s="24">
        <f>H$35/G35</f>
        <v>140.91</v>
      </c>
      <c r="J35" s="13">
        <v>141.94</v>
      </c>
      <c r="K35" s="13">
        <v>1</v>
      </c>
      <c r="L35" s="13">
        <v>140.57</v>
      </c>
      <c r="M35" s="24">
        <f>L$35/K35</f>
        <v>140.57</v>
      </c>
      <c r="N35" s="13">
        <v>141.14</v>
      </c>
      <c r="O35" s="13">
        <v>1</v>
      </c>
      <c r="P35" s="13">
        <v>140.55</v>
      </c>
      <c r="Q35" s="24">
        <f>P$35/O35</f>
        <v>140.55</v>
      </c>
      <c r="R35" s="13">
        <v>141.02</v>
      </c>
      <c r="S35" s="13">
        <v>1</v>
      </c>
      <c r="T35" s="13">
        <v>141.16</v>
      </c>
      <c r="U35" s="24">
        <f>T$35/S35</f>
        <v>141.16</v>
      </c>
      <c r="V35" s="13">
        <v>141.62</v>
      </c>
      <c r="W35" s="13">
        <v>1</v>
      </c>
      <c r="X35" s="13">
        <v>141.1</v>
      </c>
      <c r="Y35" s="24">
        <f>X$35/W35</f>
        <v>141.1</v>
      </c>
      <c r="Z35" s="13">
        <v>141.56</v>
      </c>
      <c r="AA35" s="13">
        <v>1</v>
      </c>
      <c r="AB35" s="13">
        <v>141.29</v>
      </c>
      <c r="AC35" s="24">
        <f>AB$35/AA35</f>
        <v>141.29</v>
      </c>
      <c r="AD35" s="13">
        <v>141.78</v>
      </c>
      <c r="AE35" s="13">
        <v>1</v>
      </c>
      <c r="AF35" s="13">
        <v>141.21</v>
      </c>
      <c r="AG35" s="24">
        <f>AF$35/AE35</f>
        <v>141.21</v>
      </c>
      <c r="AH35" s="13">
        <v>141.74</v>
      </c>
      <c r="AI35" s="13">
        <v>1</v>
      </c>
      <c r="AJ35" s="13">
        <v>142.12</v>
      </c>
      <c r="AK35" s="24">
        <f>AJ$35/AI35</f>
        <v>142.12</v>
      </c>
      <c r="AL35" s="13">
        <v>142.48</v>
      </c>
      <c r="AM35" s="13">
        <v>1</v>
      </c>
      <c r="AN35" s="13">
        <v>142.05</v>
      </c>
      <c r="AO35" s="24">
        <f>AN$35/AM35</f>
        <v>142.05</v>
      </c>
      <c r="AP35" s="13">
        <v>142.51</v>
      </c>
      <c r="AQ35" s="13">
        <v>1</v>
      </c>
      <c r="AR35" s="13">
        <v>142.17</v>
      </c>
      <c r="AS35" s="24">
        <f>AR$35/AQ35</f>
        <v>142.17</v>
      </c>
      <c r="AT35" s="13">
        <v>142.46</v>
      </c>
      <c r="AU35" s="13">
        <v>1</v>
      </c>
      <c r="AV35" s="13">
        <v>141.96</v>
      </c>
      <c r="AW35" s="24">
        <f>AV$35/AU35</f>
        <v>141.96</v>
      </c>
      <c r="AX35" s="13">
        <v>142.44</v>
      </c>
      <c r="AY35" s="13">
        <v>1</v>
      </c>
      <c r="AZ35" s="13">
        <v>141.77</v>
      </c>
      <c r="BA35" s="24">
        <f>AZ$35/AY35</f>
        <v>141.77</v>
      </c>
      <c r="BB35" s="13">
        <v>142.02</v>
      </c>
      <c r="BC35" s="13">
        <v>1</v>
      </c>
      <c r="BD35" s="13">
        <v>142.02</v>
      </c>
      <c r="BE35" s="24">
        <f>BD$35/BC35</f>
        <v>142.02</v>
      </c>
      <c r="BF35" s="13">
        <v>142.44</v>
      </c>
      <c r="BG35" s="13">
        <v>1</v>
      </c>
      <c r="BH35" s="13">
        <v>141.89</v>
      </c>
      <c r="BI35" s="24">
        <f>BH$35/BG35</f>
        <v>141.89</v>
      </c>
      <c r="BJ35" s="13">
        <v>141.94</v>
      </c>
      <c r="BK35" s="13">
        <v>1</v>
      </c>
      <c r="BL35" s="13">
        <v>141.81</v>
      </c>
      <c r="BM35" s="24">
        <f>BL$35/BK35</f>
        <v>141.81</v>
      </c>
      <c r="BN35" s="13">
        <v>142.27</v>
      </c>
      <c r="BO35" s="13">
        <v>1</v>
      </c>
      <c r="BP35" s="13">
        <v>142.6</v>
      </c>
      <c r="BQ35" s="24">
        <f>BP$35/BO35</f>
        <v>142.6</v>
      </c>
      <c r="BR35" s="13">
        <v>142.98</v>
      </c>
      <c r="BS35" s="13">
        <v>1</v>
      </c>
      <c r="BT35" s="13">
        <v>142.36</v>
      </c>
      <c r="BU35" s="24">
        <f>BT$35/BS35</f>
        <v>142.36</v>
      </c>
      <c r="BV35" s="13">
        <v>142.64</v>
      </c>
      <c r="BW35" s="13">
        <v>1</v>
      </c>
      <c r="BX35" s="13">
        <v>142.68</v>
      </c>
      <c r="BY35" s="24">
        <f>BX$35/BW35</f>
        <v>142.68</v>
      </c>
      <c r="BZ35" s="13">
        <v>142.95</v>
      </c>
      <c r="CA35" s="37">
        <v>1</v>
      </c>
      <c r="CB35" s="37">
        <v>142.9</v>
      </c>
      <c r="CC35" s="38">
        <f>CB$35/CA35</f>
        <v>142.9</v>
      </c>
      <c r="CD35" s="13">
        <v>143.38</v>
      </c>
      <c r="CE35" s="13">
        <v>1</v>
      </c>
      <c r="CF35" s="39">
        <v>142.43</v>
      </c>
      <c r="CG35" s="40">
        <f>CF$35/CE35</f>
        <v>142.43</v>
      </c>
      <c r="CH35" s="39">
        <v>142.76</v>
      </c>
      <c r="CI35" s="24">
        <f t="shared" si="2"/>
        <v>1</v>
      </c>
      <c r="CJ35" s="40">
        <f t="shared" si="2"/>
        <v>141.74285714285713</v>
      </c>
      <c r="CK35" s="40">
        <f t="shared" si="2"/>
        <v>141.74285714285713</v>
      </c>
      <c r="CL35" s="40">
        <f t="shared" si="2"/>
        <v>142.15285714285716</v>
      </c>
    </row>
    <row r="36" spans="1:90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4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34"/>
      <c r="CA36" s="23"/>
      <c r="CB36" s="23"/>
      <c r="CC36" s="23"/>
      <c r="CD36" s="23"/>
      <c r="CE36" s="23"/>
      <c r="CF36" s="23"/>
      <c r="CG36" s="23"/>
      <c r="CH36" s="23"/>
      <c r="CI36" s="1"/>
      <c r="CJ36" s="1"/>
      <c r="CK36" s="1"/>
      <c r="CL36" s="34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10" r:id="rId1"/>
  <headerFooter alignWithMargins="0">
    <oddHeader>&amp;L&amp;"Helv,Bold"&amp;12Sektori i Informacionit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35"/>
  <sheetViews>
    <sheetView zoomScale="75" zoomScaleNormal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3" sqref="B3"/>
    </sheetView>
  </sheetViews>
  <sheetFormatPr defaultColWidth="10.7109375" defaultRowHeight="15" customHeight="1"/>
  <cols>
    <col min="1" max="1" width="5.140625" style="55" customWidth="1"/>
    <col min="2" max="2" width="34.57421875" style="55" customWidth="1"/>
    <col min="3" max="16384" width="10.7109375" style="55" customWidth="1"/>
  </cols>
  <sheetData>
    <row r="1" spans="1:90" ht="15" customHeight="1">
      <c r="A1" s="50"/>
      <c r="B1" s="32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2" t="s">
        <v>1</v>
      </c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3"/>
      <c r="CB1" s="53"/>
      <c r="CC1" s="54"/>
      <c r="CD1" s="53"/>
      <c r="CE1" s="53"/>
      <c r="CF1" s="53"/>
      <c r="CG1" s="53"/>
      <c r="CH1" s="53"/>
      <c r="CI1" s="53"/>
      <c r="CJ1" s="53"/>
      <c r="CK1" s="53"/>
      <c r="CL1" s="53"/>
    </row>
    <row r="2" spans="1:90" ht="15" customHeight="1">
      <c r="A2" s="51"/>
      <c r="B2" s="100" t="s">
        <v>249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6"/>
      <c r="CB2" s="50"/>
      <c r="CC2" s="56"/>
      <c r="CD2" s="56"/>
      <c r="CE2" s="56"/>
      <c r="CF2" s="56"/>
      <c r="CG2" s="56"/>
      <c r="CH2" s="56"/>
      <c r="CI2" s="56"/>
      <c r="CJ2" s="56"/>
      <c r="CK2" s="56"/>
      <c r="CL2" s="56"/>
    </row>
    <row r="3" spans="1:103" ht="15" customHeight="1">
      <c r="A3" s="52" t="s">
        <v>3</v>
      </c>
      <c r="B3" s="51"/>
      <c r="C3" s="57"/>
      <c r="D3" s="50" t="s">
        <v>250</v>
      </c>
      <c r="E3" s="57"/>
      <c r="F3" s="57"/>
      <c r="G3" s="57"/>
      <c r="H3" s="50" t="s">
        <v>251</v>
      </c>
      <c r="I3" s="57"/>
      <c r="J3" s="57"/>
      <c r="K3" s="57"/>
      <c r="L3" s="50" t="s">
        <v>252</v>
      </c>
      <c r="M3" s="57"/>
      <c r="N3" s="57"/>
      <c r="O3" s="57"/>
      <c r="P3" s="50" t="s">
        <v>253</v>
      </c>
      <c r="Q3" s="57"/>
      <c r="R3" s="57"/>
      <c r="S3" s="57"/>
      <c r="T3" s="50" t="s">
        <v>254</v>
      </c>
      <c r="U3" s="57"/>
      <c r="V3" s="57"/>
      <c r="W3" s="57"/>
      <c r="X3" s="50" t="s">
        <v>255</v>
      </c>
      <c r="Y3" s="57"/>
      <c r="Z3" s="57"/>
      <c r="AA3" s="57"/>
      <c r="AB3" s="50" t="s">
        <v>256</v>
      </c>
      <c r="AC3" s="57"/>
      <c r="AD3" s="57"/>
      <c r="AE3" s="57"/>
      <c r="AF3" s="50" t="s">
        <v>257</v>
      </c>
      <c r="AG3" s="57"/>
      <c r="AH3" s="57"/>
      <c r="AI3" s="57"/>
      <c r="AJ3" s="50" t="s">
        <v>258</v>
      </c>
      <c r="AK3" s="57"/>
      <c r="AL3" s="57"/>
      <c r="AM3" s="57"/>
      <c r="AN3" s="50" t="s">
        <v>259</v>
      </c>
      <c r="AO3" s="57"/>
      <c r="AP3" s="57"/>
      <c r="AQ3" s="57"/>
      <c r="AR3" s="50" t="s">
        <v>260</v>
      </c>
      <c r="AS3" s="57"/>
      <c r="AT3" s="57"/>
      <c r="AU3" s="57"/>
      <c r="AV3" s="50" t="s">
        <v>261</v>
      </c>
      <c r="AW3" s="57"/>
      <c r="AX3" s="57"/>
      <c r="AY3" s="57"/>
      <c r="AZ3" s="50" t="s">
        <v>262</v>
      </c>
      <c r="BA3" s="57"/>
      <c r="BB3" s="57"/>
      <c r="BC3" s="57"/>
      <c r="BD3" s="50" t="s">
        <v>263</v>
      </c>
      <c r="BE3" s="57"/>
      <c r="BF3" s="57"/>
      <c r="BG3" s="57"/>
      <c r="BH3" s="50" t="s">
        <v>264</v>
      </c>
      <c r="BI3" s="57"/>
      <c r="BJ3" s="57"/>
      <c r="BK3" s="57"/>
      <c r="BL3" s="50" t="s">
        <v>265</v>
      </c>
      <c r="BM3" s="57"/>
      <c r="BN3" s="57"/>
      <c r="BO3" s="57"/>
      <c r="BP3" s="50" t="s">
        <v>266</v>
      </c>
      <c r="BQ3" s="57"/>
      <c r="BR3" s="57"/>
      <c r="BS3" s="57"/>
      <c r="BT3" s="50" t="s">
        <v>267</v>
      </c>
      <c r="BU3" s="57"/>
      <c r="BV3" s="57"/>
      <c r="BW3" s="57"/>
      <c r="BX3" s="50" t="s">
        <v>268</v>
      </c>
      <c r="BY3" s="57"/>
      <c r="BZ3" s="57"/>
      <c r="CA3" s="94"/>
      <c r="CB3" s="50" t="s">
        <v>269</v>
      </c>
      <c r="CC3" s="57"/>
      <c r="CD3" s="94"/>
      <c r="CE3" s="57"/>
      <c r="CF3" s="50" t="s">
        <v>270</v>
      </c>
      <c r="CG3" s="57"/>
      <c r="CH3" s="57"/>
      <c r="CI3" s="57"/>
      <c r="CJ3" s="50" t="s">
        <v>271</v>
      </c>
      <c r="CK3" s="57"/>
      <c r="CL3" s="57"/>
      <c r="CM3" s="57"/>
      <c r="CN3" s="50" t="s">
        <v>272</v>
      </c>
      <c r="CO3" s="57"/>
      <c r="CP3" s="57"/>
      <c r="CQ3" s="94"/>
      <c r="CR3" s="50" t="s">
        <v>25</v>
      </c>
      <c r="CS3" s="57"/>
      <c r="CT3" s="94"/>
      <c r="CU3" s="85"/>
      <c r="CV3" s="84"/>
      <c r="CW3" s="83"/>
      <c r="CX3" s="85"/>
      <c r="CY3" s="86"/>
    </row>
    <row r="4" spans="1:103" ht="15" customHeight="1" thickBo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94"/>
      <c r="CB4" s="94"/>
      <c r="CC4" s="94"/>
      <c r="CD4" s="94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94"/>
      <c r="CR4" s="94"/>
      <c r="CS4" s="94"/>
      <c r="CT4" s="94"/>
      <c r="CU4" s="85"/>
      <c r="CV4" s="85"/>
      <c r="CW4" s="85"/>
      <c r="CX4" s="85"/>
      <c r="CY4" s="86"/>
    </row>
    <row r="5" spans="1:103" ht="15" customHeight="1" thickTop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6"/>
      <c r="CV5" s="56"/>
      <c r="CW5" s="56"/>
      <c r="CX5" s="56"/>
      <c r="CY5" s="86"/>
    </row>
    <row r="6" spans="1:103" ht="15" customHeight="1">
      <c r="A6" s="57"/>
      <c r="B6" s="51"/>
      <c r="C6" s="59" t="s">
        <v>26</v>
      </c>
      <c r="D6" s="59" t="s">
        <v>26</v>
      </c>
      <c r="E6" s="59" t="s">
        <v>26</v>
      </c>
      <c r="F6" s="59" t="s">
        <v>26</v>
      </c>
      <c r="G6" s="59" t="s">
        <v>26</v>
      </c>
      <c r="H6" s="59" t="s">
        <v>26</v>
      </c>
      <c r="I6" s="59" t="s">
        <v>26</v>
      </c>
      <c r="J6" s="59" t="s">
        <v>26</v>
      </c>
      <c r="K6" s="59" t="s">
        <v>26</v>
      </c>
      <c r="L6" s="59" t="s">
        <v>26</v>
      </c>
      <c r="M6" s="59" t="s">
        <v>26</v>
      </c>
      <c r="N6" s="59" t="s">
        <v>26</v>
      </c>
      <c r="O6" s="59" t="s">
        <v>26</v>
      </c>
      <c r="P6" s="59" t="s">
        <v>26</v>
      </c>
      <c r="Q6" s="59" t="s">
        <v>26</v>
      </c>
      <c r="R6" s="59" t="s">
        <v>26</v>
      </c>
      <c r="S6" s="59" t="s">
        <v>26</v>
      </c>
      <c r="T6" s="59" t="s">
        <v>26</v>
      </c>
      <c r="U6" s="59" t="s">
        <v>26</v>
      </c>
      <c r="V6" s="59" t="s">
        <v>26</v>
      </c>
      <c r="W6" s="59" t="s">
        <v>26</v>
      </c>
      <c r="X6" s="59" t="s">
        <v>26</v>
      </c>
      <c r="Y6" s="59" t="s">
        <v>26</v>
      </c>
      <c r="Z6" s="59" t="s">
        <v>26</v>
      </c>
      <c r="AA6" s="59" t="s">
        <v>26</v>
      </c>
      <c r="AB6" s="59" t="s">
        <v>26</v>
      </c>
      <c r="AC6" s="59" t="s">
        <v>26</v>
      </c>
      <c r="AD6" s="59" t="s">
        <v>26</v>
      </c>
      <c r="AE6" s="59" t="s">
        <v>26</v>
      </c>
      <c r="AF6" s="59" t="s">
        <v>26</v>
      </c>
      <c r="AG6" s="59" t="s">
        <v>26</v>
      </c>
      <c r="AH6" s="59" t="s">
        <v>26</v>
      </c>
      <c r="AI6" s="59" t="s">
        <v>26</v>
      </c>
      <c r="AJ6" s="59" t="s">
        <v>26</v>
      </c>
      <c r="AK6" s="59" t="s">
        <v>26</v>
      </c>
      <c r="AL6" s="59" t="s">
        <v>26</v>
      </c>
      <c r="AM6" s="59" t="s">
        <v>26</v>
      </c>
      <c r="AN6" s="59" t="s">
        <v>26</v>
      </c>
      <c r="AO6" s="59" t="s">
        <v>26</v>
      </c>
      <c r="AP6" s="59" t="s">
        <v>26</v>
      </c>
      <c r="AQ6" s="59" t="s">
        <v>26</v>
      </c>
      <c r="AR6" s="59" t="s">
        <v>26</v>
      </c>
      <c r="AS6" s="59" t="s">
        <v>26</v>
      </c>
      <c r="AT6" s="59" t="s">
        <v>26</v>
      </c>
      <c r="AU6" s="59" t="s">
        <v>26</v>
      </c>
      <c r="AV6" s="59" t="s">
        <v>26</v>
      </c>
      <c r="AW6" s="59" t="s">
        <v>26</v>
      </c>
      <c r="AX6" s="59" t="s">
        <v>26</v>
      </c>
      <c r="AY6" s="59" t="s">
        <v>26</v>
      </c>
      <c r="AZ6" s="59" t="s">
        <v>26</v>
      </c>
      <c r="BA6" s="59" t="s">
        <v>26</v>
      </c>
      <c r="BB6" s="59" t="s">
        <v>26</v>
      </c>
      <c r="BC6" s="59" t="s">
        <v>26</v>
      </c>
      <c r="BD6" s="59" t="s">
        <v>26</v>
      </c>
      <c r="BE6" s="59" t="s">
        <v>26</v>
      </c>
      <c r="BF6" s="59" t="s">
        <v>26</v>
      </c>
      <c r="BG6" s="59" t="s">
        <v>26</v>
      </c>
      <c r="BH6" s="59" t="s">
        <v>26</v>
      </c>
      <c r="BI6" s="59" t="s">
        <v>26</v>
      </c>
      <c r="BJ6" s="59" t="s">
        <v>26</v>
      </c>
      <c r="BK6" s="59" t="s">
        <v>26</v>
      </c>
      <c r="BL6" s="59" t="s">
        <v>26</v>
      </c>
      <c r="BM6" s="59" t="s">
        <v>26</v>
      </c>
      <c r="BN6" s="59" t="s">
        <v>26</v>
      </c>
      <c r="BO6" s="59" t="s">
        <v>26</v>
      </c>
      <c r="BP6" s="59" t="s">
        <v>26</v>
      </c>
      <c r="BQ6" s="59" t="s">
        <v>26</v>
      </c>
      <c r="BR6" s="59" t="s">
        <v>26</v>
      </c>
      <c r="BS6" s="59" t="s">
        <v>26</v>
      </c>
      <c r="BT6" s="59" t="s">
        <v>26</v>
      </c>
      <c r="BU6" s="59" t="s">
        <v>26</v>
      </c>
      <c r="BV6" s="59" t="s">
        <v>26</v>
      </c>
      <c r="BW6" s="59" t="s">
        <v>26</v>
      </c>
      <c r="BX6" s="59" t="s">
        <v>26</v>
      </c>
      <c r="BY6" s="59" t="s">
        <v>26</v>
      </c>
      <c r="BZ6" s="59" t="s">
        <v>26</v>
      </c>
      <c r="CA6" s="59" t="s">
        <v>27</v>
      </c>
      <c r="CB6" s="59" t="s">
        <v>27</v>
      </c>
      <c r="CC6" s="59" t="s">
        <v>26</v>
      </c>
      <c r="CD6" s="59" t="s">
        <v>26</v>
      </c>
      <c r="CE6" s="59" t="s">
        <v>26</v>
      </c>
      <c r="CF6" s="59" t="s">
        <v>26</v>
      </c>
      <c r="CG6" s="59" t="s">
        <v>26</v>
      </c>
      <c r="CH6" s="59" t="s">
        <v>26</v>
      </c>
      <c r="CI6" s="59" t="s">
        <v>26</v>
      </c>
      <c r="CJ6" s="59" t="s">
        <v>26</v>
      </c>
      <c r="CK6" s="59" t="s">
        <v>26</v>
      </c>
      <c r="CL6" s="59" t="s">
        <v>26</v>
      </c>
      <c r="CM6" s="59" t="s">
        <v>26</v>
      </c>
      <c r="CN6" s="59" t="s">
        <v>26</v>
      </c>
      <c r="CO6" s="59" t="s">
        <v>26</v>
      </c>
      <c r="CP6" s="59" t="s">
        <v>26</v>
      </c>
      <c r="CQ6" s="59" t="s">
        <v>27</v>
      </c>
      <c r="CR6" s="59" t="s">
        <v>27</v>
      </c>
      <c r="CS6" s="59" t="s">
        <v>26</v>
      </c>
      <c r="CT6" s="59" t="s">
        <v>26</v>
      </c>
      <c r="CU6" s="87"/>
      <c r="CV6" s="87"/>
      <c r="CW6" s="87"/>
      <c r="CX6" s="87"/>
      <c r="CY6" s="86"/>
    </row>
    <row r="7" spans="1:103" ht="15" customHeight="1">
      <c r="A7" s="51"/>
      <c r="B7" s="60" t="s">
        <v>28</v>
      </c>
      <c r="C7" s="59" t="s">
        <v>29</v>
      </c>
      <c r="D7" s="59" t="s">
        <v>29</v>
      </c>
      <c r="E7" s="59" t="s">
        <v>29</v>
      </c>
      <c r="F7" s="59" t="s">
        <v>30</v>
      </c>
      <c r="G7" s="59" t="s">
        <v>29</v>
      </c>
      <c r="H7" s="59" t="s">
        <v>29</v>
      </c>
      <c r="I7" s="59" t="s">
        <v>29</v>
      </c>
      <c r="J7" s="59" t="s">
        <v>30</v>
      </c>
      <c r="K7" s="59" t="s">
        <v>29</v>
      </c>
      <c r="L7" s="59" t="s">
        <v>29</v>
      </c>
      <c r="M7" s="59" t="s">
        <v>29</v>
      </c>
      <c r="N7" s="59" t="s">
        <v>30</v>
      </c>
      <c r="O7" s="59" t="s">
        <v>29</v>
      </c>
      <c r="P7" s="59" t="s">
        <v>29</v>
      </c>
      <c r="Q7" s="59" t="s">
        <v>29</v>
      </c>
      <c r="R7" s="59" t="s">
        <v>30</v>
      </c>
      <c r="S7" s="59" t="s">
        <v>29</v>
      </c>
      <c r="T7" s="59" t="s">
        <v>29</v>
      </c>
      <c r="U7" s="59" t="s">
        <v>29</v>
      </c>
      <c r="V7" s="59" t="s">
        <v>30</v>
      </c>
      <c r="W7" s="59" t="s">
        <v>29</v>
      </c>
      <c r="X7" s="59" t="s">
        <v>29</v>
      </c>
      <c r="Y7" s="59" t="s">
        <v>29</v>
      </c>
      <c r="Z7" s="59" t="s">
        <v>30</v>
      </c>
      <c r="AA7" s="59" t="s">
        <v>29</v>
      </c>
      <c r="AB7" s="59" t="s">
        <v>29</v>
      </c>
      <c r="AC7" s="59" t="s">
        <v>29</v>
      </c>
      <c r="AD7" s="59" t="s">
        <v>30</v>
      </c>
      <c r="AE7" s="59" t="s">
        <v>29</v>
      </c>
      <c r="AF7" s="59" t="s">
        <v>29</v>
      </c>
      <c r="AG7" s="59" t="s">
        <v>29</v>
      </c>
      <c r="AH7" s="59" t="s">
        <v>30</v>
      </c>
      <c r="AI7" s="59" t="s">
        <v>29</v>
      </c>
      <c r="AJ7" s="59" t="s">
        <v>29</v>
      </c>
      <c r="AK7" s="59" t="s">
        <v>29</v>
      </c>
      <c r="AL7" s="59" t="s">
        <v>30</v>
      </c>
      <c r="AM7" s="59" t="s">
        <v>29</v>
      </c>
      <c r="AN7" s="59" t="s">
        <v>29</v>
      </c>
      <c r="AO7" s="59" t="s">
        <v>29</v>
      </c>
      <c r="AP7" s="59" t="s">
        <v>30</v>
      </c>
      <c r="AQ7" s="59" t="s">
        <v>29</v>
      </c>
      <c r="AR7" s="59" t="s">
        <v>29</v>
      </c>
      <c r="AS7" s="59" t="s">
        <v>29</v>
      </c>
      <c r="AT7" s="59" t="s">
        <v>30</v>
      </c>
      <c r="AU7" s="59" t="s">
        <v>29</v>
      </c>
      <c r="AV7" s="59" t="s">
        <v>29</v>
      </c>
      <c r="AW7" s="59" t="s">
        <v>29</v>
      </c>
      <c r="AX7" s="59" t="s">
        <v>30</v>
      </c>
      <c r="AY7" s="59" t="s">
        <v>29</v>
      </c>
      <c r="AZ7" s="59" t="s">
        <v>29</v>
      </c>
      <c r="BA7" s="59" t="s">
        <v>29</v>
      </c>
      <c r="BB7" s="59" t="s">
        <v>30</v>
      </c>
      <c r="BC7" s="59" t="s">
        <v>29</v>
      </c>
      <c r="BD7" s="59" t="s">
        <v>29</v>
      </c>
      <c r="BE7" s="59" t="s">
        <v>29</v>
      </c>
      <c r="BF7" s="59" t="s">
        <v>30</v>
      </c>
      <c r="BG7" s="59" t="s">
        <v>29</v>
      </c>
      <c r="BH7" s="59" t="s">
        <v>29</v>
      </c>
      <c r="BI7" s="59" t="s">
        <v>29</v>
      </c>
      <c r="BJ7" s="59" t="s">
        <v>30</v>
      </c>
      <c r="BK7" s="59" t="s">
        <v>29</v>
      </c>
      <c r="BL7" s="59" t="s">
        <v>29</v>
      </c>
      <c r="BM7" s="59" t="s">
        <v>29</v>
      </c>
      <c r="BN7" s="59" t="s">
        <v>30</v>
      </c>
      <c r="BO7" s="59" t="s">
        <v>29</v>
      </c>
      <c r="BP7" s="59" t="s">
        <v>29</v>
      </c>
      <c r="BQ7" s="59" t="s">
        <v>29</v>
      </c>
      <c r="BR7" s="59" t="s">
        <v>30</v>
      </c>
      <c r="BS7" s="59" t="s">
        <v>29</v>
      </c>
      <c r="BT7" s="59" t="s">
        <v>29</v>
      </c>
      <c r="BU7" s="59" t="s">
        <v>29</v>
      </c>
      <c r="BV7" s="59" t="s">
        <v>30</v>
      </c>
      <c r="BW7" s="59" t="s">
        <v>29</v>
      </c>
      <c r="BX7" s="59" t="s">
        <v>29</v>
      </c>
      <c r="BY7" s="59" t="s">
        <v>29</v>
      </c>
      <c r="BZ7" s="59" t="s">
        <v>30</v>
      </c>
      <c r="CA7" s="59" t="s">
        <v>31</v>
      </c>
      <c r="CB7" s="59" t="s">
        <v>32</v>
      </c>
      <c r="CC7" s="59" t="s">
        <v>32</v>
      </c>
      <c r="CD7" s="59" t="s">
        <v>30</v>
      </c>
      <c r="CE7" s="59" t="s">
        <v>29</v>
      </c>
      <c r="CF7" s="59" t="s">
        <v>29</v>
      </c>
      <c r="CG7" s="59" t="s">
        <v>29</v>
      </c>
      <c r="CH7" s="59" t="s">
        <v>30</v>
      </c>
      <c r="CI7" s="59" t="s">
        <v>29</v>
      </c>
      <c r="CJ7" s="59" t="s">
        <v>29</v>
      </c>
      <c r="CK7" s="59" t="s">
        <v>29</v>
      </c>
      <c r="CL7" s="59" t="s">
        <v>30</v>
      </c>
      <c r="CM7" s="59" t="s">
        <v>29</v>
      </c>
      <c r="CN7" s="59" t="s">
        <v>29</v>
      </c>
      <c r="CO7" s="59" t="s">
        <v>29</v>
      </c>
      <c r="CP7" s="59" t="s">
        <v>30</v>
      </c>
      <c r="CQ7" s="59" t="s">
        <v>31</v>
      </c>
      <c r="CR7" s="59" t="s">
        <v>32</v>
      </c>
      <c r="CS7" s="59" t="s">
        <v>32</v>
      </c>
      <c r="CT7" s="59" t="s">
        <v>30</v>
      </c>
      <c r="CU7" s="87"/>
      <c r="CV7" s="87"/>
      <c r="CW7" s="87"/>
      <c r="CX7" s="87"/>
      <c r="CY7" s="86"/>
    </row>
    <row r="8" spans="1:103" ht="15" customHeight="1">
      <c r="A8" s="51"/>
      <c r="B8" s="51"/>
      <c r="C8" s="59" t="s">
        <v>33</v>
      </c>
      <c r="D8" s="59" t="s">
        <v>32</v>
      </c>
      <c r="E8" s="59" t="s">
        <v>32</v>
      </c>
      <c r="F8" s="59" t="s">
        <v>34</v>
      </c>
      <c r="G8" s="59" t="s">
        <v>33</v>
      </c>
      <c r="H8" s="59" t="s">
        <v>32</v>
      </c>
      <c r="I8" s="59" t="s">
        <v>32</v>
      </c>
      <c r="J8" s="59" t="s">
        <v>34</v>
      </c>
      <c r="K8" s="59" t="s">
        <v>33</v>
      </c>
      <c r="L8" s="59" t="s">
        <v>32</v>
      </c>
      <c r="M8" s="59" t="s">
        <v>32</v>
      </c>
      <c r="N8" s="59" t="s">
        <v>34</v>
      </c>
      <c r="O8" s="59" t="s">
        <v>33</v>
      </c>
      <c r="P8" s="59" t="s">
        <v>32</v>
      </c>
      <c r="Q8" s="59" t="s">
        <v>32</v>
      </c>
      <c r="R8" s="59" t="s">
        <v>34</v>
      </c>
      <c r="S8" s="59" t="s">
        <v>33</v>
      </c>
      <c r="T8" s="59" t="s">
        <v>32</v>
      </c>
      <c r="U8" s="59" t="s">
        <v>32</v>
      </c>
      <c r="V8" s="59" t="s">
        <v>34</v>
      </c>
      <c r="W8" s="59" t="s">
        <v>33</v>
      </c>
      <c r="X8" s="59" t="s">
        <v>32</v>
      </c>
      <c r="Y8" s="59" t="s">
        <v>32</v>
      </c>
      <c r="Z8" s="59" t="s">
        <v>34</v>
      </c>
      <c r="AA8" s="59" t="s">
        <v>33</v>
      </c>
      <c r="AB8" s="59" t="s">
        <v>32</v>
      </c>
      <c r="AC8" s="59" t="s">
        <v>32</v>
      </c>
      <c r="AD8" s="59" t="s">
        <v>34</v>
      </c>
      <c r="AE8" s="59" t="s">
        <v>33</v>
      </c>
      <c r="AF8" s="59" t="s">
        <v>32</v>
      </c>
      <c r="AG8" s="59" t="s">
        <v>32</v>
      </c>
      <c r="AH8" s="59" t="s">
        <v>34</v>
      </c>
      <c r="AI8" s="59" t="s">
        <v>33</v>
      </c>
      <c r="AJ8" s="59" t="s">
        <v>32</v>
      </c>
      <c r="AK8" s="59" t="s">
        <v>32</v>
      </c>
      <c r="AL8" s="59" t="s">
        <v>34</v>
      </c>
      <c r="AM8" s="59" t="s">
        <v>33</v>
      </c>
      <c r="AN8" s="59" t="s">
        <v>32</v>
      </c>
      <c r="AO8" s="59" t="s">
        <v>32</v>
      </c>
      <c r="AP8" s="59" t="s">
        <v>34</v>
      </c>
      <c r="AQ8" s="59" t="s">
        <v>33</v>
      </c>
      <c r="AR8" s="59" t="s">
        <v>32</v>
      </c>
      <c r="AS8" s="59" t="s">
        <v>32</v>
      </c>
      <c r="AT8" s="59" t="s">
        <v>34</v>
      </c>
      <c r="AU8" s="59" t="s">
        <v>33</v>
      </c>
      <c r="AV8" s="59" t="s">
        <v>32</v>
      </c>
      <c r="AW8" s="59" t="s">
        <v>32</v>
      </c>
      <c r="AX8" s="59" t="s">
        <v>34</v>
      </c>
      <c r="AY8" s="59" t="s">
        <v>33</v>
      </c>
      <c r="AZ8" s="59" t="s">
        <v>32</v>
      </c>
      <c r="BA8" s="59" t="s">
        <v>32</v>
      </c>
      <c r="BB8" s="59" t="s">
        <v>34</v>
      </c>
      <c r="BC8" s="59" t="s">
        <v>33</v>
      </c>
      <c r="BD8" s="59" t="s">
        <v>32</v>
      </c>
      <c r="BE8" s="59" t="s">
        <v>32</v>
      </c>
      <c r="BF8" s="59" t="s">
        <v>34</v>
      </c>
      <c r="BG8" s="59" t="s">
        <v>33</v>
      </c>
      <c r="BH8" s="59" t="s">
        <v>32</v>
      </c>
      <c r="BI8" s="59" t="s">
        <v>32</v>
      </c>
      <c r="BJ8" s="59" t="s">
        <v>34</v>
      </c>
      <c r="BK8" s="59" t="s">
        <v>33</v>
      </c>
      <c r="BL8" s="59" t="s">
        <v>32</v>
      </c>
      <c r="BM8" s="59" t="s">
        <v>32</v>
      </c>
      <c r="BN8" s="59" t="s">
        <v>34</v>
      </c>
      <c r="BO8" s="59" t="s">
        <v>33</v>
      </c>
      <c r="BP8" s="59" t="s">
        <v>32</v>
      </c>
      <c r="BQ8" s="59" t="s">
        <v>32</v>
      </c>
      <c r="BR8" s="59" t="s">
        <v>34</v>
      </c>
      <c r="BS8" s="59" t="s">
        <v>33</v>
      </c>
      <c r="BT8" s="59" t="s">
        <v>32</v>
      </c>
      <c r="BU8" s="59" t="s">
        <v>32</v>
      </c>
      <c r="BV8" s="59" t="s">
        <v>34</v>
      </c>
      <c r="BW8" s="59" t="s">
        <v>33</v>
      </c>
      <c r="BX8" s="59" t="s">
        <v>32</v>
      </c>
      <c r="BY8" s="59" t="s">
        <v>32</v>
      </c>
      <c r="BZ8" s="59" t="s">
        <v>34</v>
      </c>
      <c r="CA8" s="59" t="s">
        <v>29</v>
      </c>
      <c r="CB8" s="59" t="s">
        <v>35</v>
      </c>
      <c r="CC8" s="59" t="s">
        <v>35</v>
      </c>
      <c r="CD8" s="59" t="s">
        <v>34</v>
      </c>
      <c r="CE8" s="59" t="s">
        <v>33</v>
      </c>
      <c r="CF8" s="59" t="s">
        <v>32</v>
      </c>
      <c r="CG8" s="59" t="s">
        <v>32</v>
      </c>
      <c r="CH8" s="59" t="s">
        <v>34</v>
      </c>
      <c r="CI8" s="59" t="s">
        <v>33</v>
      </c>
      <c r="CJ8" s="59" t="s">
        <v>32</v>
      </c>
      <c r="CK8" s="59" t="s">
        <v>32</v>
      </c>
      <c r="CL8" s="59" t="s">
        <v>34</v>
      </c>
      <c r="CM8" s="59" t="s">
        <v>33</v>
      </c>
      <c r="CN8" s="59" t="s">
        <v>32</v>
      </c>
      <c r="CO8" s="59" t="s">
        <v>32</v>
      </c>
      <c r="CP8" s="59" t="s">
        <v>34</v>
      </c>
      <c r="CQ8" s="59" t="s">
        <v>29</v>
      </c>
      <c r="CR8" s="59" t="s">
        <v>35</v>
      </c>
      <c r="CS8" s="59" t="s">
        <v>35</v>
      </c>
      <c r="CT8" s="59" t="s">
        <v>34</v>
      </c>
      <c r="CU8" s="87"/>
      <c r="CV8" s="87"/>
      <c r="CW8" s="87"/>
      <c r="CX8" s="87"/>
      <c r="CY8" s="86"/>
    </row>
    <row r="9" spans="1:103" ht="15" customHeight="1">
      <c r="A9" s="51"/>
      <c r="B9" s="51"/>
      <c r="C9" s="51"/>
      <c r="D9" s="51"/>
      <c r="E9" s="59" t="s">
        <v>36</v>
      </c>
      <c r="F9" s="51"/>
      <c r="G9" s="51"/>
      <c r="H9" s="51"/>
      <c r="I9" s="59" t="s">
        <v>36</v>
      </c>
      <c r="J9" s="51"/>
      <c r="K9" s="51"/>
      <c r="L9" s="51"/>
      <c r="M9" s="59" t="s">
        <v>36</v>
      </c>
      <c r="N9" s="51"/>
      <c r="O9" s="51"/>
      <c r="P9" s="51"/>
      <c r="Q9" s="59" t="s">
        <v>36</v>
      </c>
      <c r="R9" s="51"/>
      <c r="S9" s="51"/>
      <c r="T9" s="51"/>
      <c r="U9" s="59" t="s">
        <v>36</v>
      </c>
      <c r="V9" s="51"/>
      <c r="W9" s="51"/>
      <c r="X9" s="51"/>
      <c r="Y9" s="59" t="s">
        <v>36</v>
      </c>
      <c r="Z9" s="51"/>
      <c r="AA9" s="51"/>
      <c r="AB9" s="51"/>
      <c r="AC9" s="59" t="s">
        <v>36</v>
      </c>
      <c r="AD9" s="52" t="s">
        <v>37</v>
      </c>
      <c r="AE9" s="51"/>
      <c r="AF9" s="51"/>
      <c r="AG9" s="59" t="s">
        <v>36</v>
      </c>
      <c r="AH9" s="52" t="s">
        <v>37</v>
      </c>
      <c r="AI9" s="51"/>
      <c r="AJ9" s="51"/>
      <c r="AK9" s="59" t="s">
        <v>36</v>
      </c>
      <c r="AL9" s="51"/>
      <c r="AM9" s="51"/>
      <c r="AN9" s="51"/>
      <c r="AO9" s="59" t="s">
        <v>36</v>
      </c>
      <c r="AP9" s="51"/>
      <c r="AQ9" s="51"/>
      <c r="AR9" s="51"/>
      <c r="AS9" s="59" t="s">
        <v>36</v>
      </c>
      <c r="AT9" s="51"/>
      <c r="AU9" s="51"/>
      <c r="AV9" s="51"/>
      <c r="AW9" s="59" t="s">
        <v>36</v>
      </c>
      <c r="AX9" s="51"/>
      <c r="AY9" s="51"/>
      <c r="AZ9" s="51"/>
      <c r="BA9" s="59" t="s">
        <v>36</v>
      </c>
      <c r="BB9" s="51"/>
      <c r="BC9" s="51"/>
      <c r="BD9" s="51"/>
      <c r="BE9" s="59" t="s">
        <v>36</v>
      </c>
      <c r="BF9" s="51"/>
      <c r="BG9" s="51"/>
      <c r="BH9" s="51"/>
      <c r="BI9" s="59" t="s">
        <v>36</v>
      </c>
      <c r="BJ9" s="51"/>
      <c r="BK9" s="51"/>
      <c r="BL9" s="51"/>
      <c r="BM9" s="59" t="s">
        <v>36</v>
      </c>
      <c r="BN9" s="51"/>
      <c r="BO9" s="51"/>
      <c r="BP9" s="51"/>
      <c r="BQ9" s="59" t="s">
        <v>36</v>
      </c>
      <c r="BR9" s="51"/>
      <c r="BS9" s="51"/>
      <c r="BT9" s="51"/>
      <c r="BU9" s="59" t="s">
        <v>36</v>
      </c>
      <c r="BV9" s="51"/>
      <c r="BW9" s="51"/>
      <c r="BX9" s="51"/>
      <c r="BY9" s="59" t="s">
        <v>36</v>
      </c>
      <c r="BZ9" s="51"/>
      <c r="CA9" s="59" t="s">
        <v>33</v>
      </c>
      <c r="CB9" s="59" t="s">
        <v>31</v>
      </c>
      <c r="CC9" s="59" t="s">
        <v>31</v>
      </c>
      <c r="CD9" s="51"/>
      <c r="CE9" s="51"/>
      <c r="CF9" s="51"/>
      <c r="CG9" s="59" t="s">
        <v>36</v>
      </c>
      <c r="CH9" s="51"/>
      <c r="CI9" s="51"/>
      <c r="CJ9" s="51"/>
      <c r="CK9" s="59" t="s">
        <v>36</v>
      </c>
      <c r="CL9" s="51"/>
      <c r="CM9" s="51"/>
      <c r="CN9" s="51"/>
      <c r="CO9" s="59" t="s">
        <v>36</v>
      </c>
      <c r="CP9" s="51"/>
      <c r="CQ9" s="59" t="s">
        <v>33</v>
      </c>
      <c r="CR9" s="59" t="s">
        <v>31</v>
      </c>
      <c r="CS9" s="59" t="s">
        <v>31</v>
      </c>
      <c r="CT9" s="51"/>
      <c r="CU9" s="87"/>
      <c r="CV9" s="87"/>
      <c r="CW9" s="87"/>
      <c r="CX9" s="56"/>
      <c r="CY9" s="86"/>
    </row>
    <row r="10" spans="1:103" ht="15" customHeight="1" thickBo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9" t="s">
        <v>36</v>
      </c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9" t="s">
        <v>36</v>
      </c>
      <c r="CT10" s="51"/>
      <c r="CU10" s="56"/>
      <c r="CV10" s="56"/>
      <c r="CW10" s="87"/>
      <c r="CX10" s="56"/>
      <c r="CY10" s="86"/>
    </row>
    <row r="11" spans="1:103" ht="15" customHeight="1" thickTop="1">
      <c r="A11" s="61" t="s">
        <v>3</v>
      </c>
      <c r="B11" s="58"/>
      <c r="C11" s="62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6"/>
      <c r="CV11" s="56"/>
      <c r="CW11" s="56"/>
      <c r="CX11" s="56"/>
      <c r="CY11" s="86"/>
    </row>
    <row r="12" spans="1:103" ht="15" customHeight="1">
      <c r="A12" s="63">
        <v>1</v>
      </c>
      <c r="B12" s="64" t="s">
        <v>38</v>
      </c>
      <c r="C12" s="95">
        <v>2.1357</v>
      </c>
      <c r="D12" s="96">
        <v>66.3</v>
      </c>
      <c r="E12" s="96">
        <f>D$34/C12</f>
        <v>66.29208222128577</v>
      </c>
      <c r="F12" s="51"/>
      <c r="G12" s="51">
        <v>2.1352</v>
      </c>
      <c r="H12" s="51">
        <v>66.21</v>
      </c>
      <c r="I12" s="65">
        <f>H$34/G12</f>
        <v>66.21393780442112</v>
      </c>
      <c r="J12" s="51"/>
      <c r="K12" s="51">
        <v>2.1305</v>
      </c>
      <c r="L12" s="65">
        <v>66.1</v>
      </c>
      <c r="M12" s="65">
        <f>L$34/K12</f>
        <v>66.1018540248768</v>
      </c>
      <c r="N12" s="51"/>
      <c r="O12" s="51">
        <v>2.1389</v>
      </c>
      <c r="P12" s="65">
        <v>65.99</v>
      </c>
      <c r="Q12" s="65">
        <f>P$34/O12</f>
        <v>65.99654027771284</v>
      </c>
      <c r="R12" s="51"/>
      <c r="S12" s="51">
        <v>2.1336</v>
      </c>
      <c r="T12" s="65">
        <v>66.32</v>
      </c>
      <c r="U12" s="65">
        <f>T$34/S12</f>
        <v>66.31514810648669</v>
      </c>
      <c r="V12" s="51"/>
      <c r="W12" s="66">
        <v>2.1291</v>
      </c>
      <c r="X12" s="65">
        <v>66.25</v>
      </c>
      <c r="Y12" s="65">
        <f>X$34/W12</f>
        <v>66.24864966417735</v>
      </c>
      <c r="Z12" s="51"/>
      <c r="AA12" s="51">
        <v>2.1271</v>
      </c>
      <c r="AB12" s="65">
        <v>66.13</v>
      </c>
      <c r="AC12" s="65">
        <f>AB$34/AA12</f>
        <v>66.12759155657938</v>
      </c>
      <c r="AD12" s="51"/>
      <c r="AE12" s="51">
        <v>2.1399</v>
      </c>
      <c r="AF12" s="65">
        <v>65.8</v>
      </c>
      <c r="AG12" s="65">
        <f>AF$34/AE12</f>
        <v>65.79746717136315</v>
      </c>
      <c r="AH12" s="51"/>
      <c r="AI12" s="51">
        <v>2.1695</v>
      </c>
      <c r="AJ12" s="65">
        <v>65.21</v>
      </c>
      <c r="AK12" s="65">
        <f>AJ$34/AI12</f>
        <v>65.21318276100483</v>
      </c>
      <c r="AL12" s="51"/>
      <c r="AM12" s="51">
        <v>2.1592</v>
      </c>
      <c r="AN12" s="65">
        <v>65.47</v>
      </c>
      <c r="AO12" s="65">
        <f>AN$34/AM12</f>
        <v>65.4733234531308</v>
      </c>
      <c r="AP12" s="51"/>
      <c r="AQ12" s="51">
        <v>2.1467</v>
      </c>
      <c r="AR12" s="65">
        <v>65.7</v>
      </c>
      <c r="AS12" s="65">
        <f>AR$34/AQ12</f>
        <v>65.7008431546094</v>
      </c>
      <c r="AT12" s="51"/>
      <c r="AU12" s="51">
        <v>2.1547</v>
      </c>
      <c r="AV12" s="65">
        <v>65.5</v>
      </c>
      <c r="AW12" s="65">
        <f>AV$34/AU12</f>
        <v>65.49867731006637</v>
      </c>
      <c r="AX12" s="51"/>
      <c r="AY12" s="51">
        <v>2.1588</v>
      </c>
      <c r="AZ12" s="65">
        <v>65.5</v>
      </c>
      <c r="BA12" s="65">
        <f>AZ$34/AY12</f>
        <v>65.49471928849361</v>
      </c>
      <c r="BB12" s="51"/>
      <c r="BC12" s="51">
        <v>2.1669</v>
      </c>
      <c r="BD12" s="65">
        <v>65.34</v>
      </c>
      <c r="BE12" s="65">
        <f>BD$34/BC12</f>
        <v>65.3421939175781</v>
      </c>
      <c r="BF12" s="51"/>
      <c r="BG12" s="51">
        <v>2.1775</v>
      </c>
      <c r="BH12" s="65">
        <v>65.08</v>
      </c>
      <c r="BI12" s="65">
        <f>BH$34/BG12</f>
        <v>65.08381171067738</v>
      </c>
      <c r="BJ12" s="51"/>
      <c r="BK12" s="51">
        <v>2.1792</v>
      </c>
      <c r="BL12" s="65">
        <v>65.3</v>
      </c>
      <c r="BM12" s="65">
        <f>BL$34/BK12</f>
        <v>65.3037812041116</v>
      </c>
      <c r="BN12" s="51"/>
      <c r="BO12" s="51">
        <v>2.1953</v>
      </c>
      <c r="BP12" s="65">
        <v>64.8</v>
      </c>
      <c r="BQ12" s="65">
        <f>BP$34/BO12</f>
        <v>64.80207716485218</v>
      </c>
      <c r="BR12" s="51"/>
      <c r="BS12" s="51">
        <v>2.1939</v>
      </c>
      <c r="BT12" s="65">
        <v>64.82</v>
      </c>
      <c r="BU12" s="65">
        <f>BT$34/BS12</f>
        <v>64.82063904462373</v>
      </c>
      <c r="BV12" s="51"/>
      <c r="BW12" s="51">
        <v>2.1929</v>
      </c>
      <c r="BX12" s="65">
        <v>64.67</v>
      </c>
      <c r="BY12" s="65">
        <f>BX$34/BW12</f>
        <v>64.66779150896075</v>
      </c>
      <c r="BZ12" s="51"/>
      <c r="CA12" s="51">
        <v>2.1941</v>
      </c>
      <c r="CB12" s="65">
        <v>64.47</v>
      </c>
      <c r="CC12" s="65">
        <f>CB$34/CA12</f>
        <v>64.47746228521945</v>
      </c>
      <c r="CD12" s="51"/>
      <c r="CE12" s="51">
        <v>2.1775</v>
      </c>
      <c r="CF12" s="65">
        <v>65.06</v>
      </c>
      <c r="CG12" s="65">
        <f>CF$34/CE12</f>
        <v>65.06084959816302</v>
      </c>
      <c r="CH12" s="51"/>
      <c r="CI12" s="51">
        <v>2.1609</v>
      </c>
      <c r="CJ12" s="65">
        <v>65.15</v>
      </c>
      <c r="CK12" s="65">
        <f>CJ$34/CI12</f>
        <v>65.15340830209635</v>
      </c>
      <c r="CL12" s="51"/>
      <c r="CM12" s="51">
        <v>2.1616</v>
      </c>
      <c r="CN12" s="65">
        <v>65.16</v>
      </c>
      <c r="CO12" s="65">
        <f>CN$34/CM12</f>
        <v>65.1600666173205</v>
      </c>
      <c r="CP12" s="51"/>
      <c r="CQ12" s="51">
        <f>(C12+G12+K12+O12+S12+W12+AA12+AE12+AI12+AM12+AQ12+AU12+AY12+BC12+BG12+BK12+BO12+BS12+BW12+CA12+CE12+CI12+CM12)/23</f>
        <v>2.1590739130434784</v>
      </c>
      <c r="CR12" s="51">
        <f>(D12+H12+L12+P12+T12+X12+AB12+AF12+AJ12+AN12+AR12+AV12+AZ12+BD12+BH12+BL12+BP12+BT12+BX12+CB12+CF12+CJ12+CN12)/23</f>
        <v>65.49260869565218</v>
      </c>
      <c r="CS12" s="51">
        <f>(E12+I12+M12+Q12+U12+Y12+AC12+AG12+AK12+AO12+AS12+AW12+BA12+BE12+BI12+BM12+BQ12+BU12+BY12+CC12+CG12+CK12+CO12)/23</f>
        <v>65.49330861512223</v>
      </c>
      <c r="CT12" s="51">
        <f>(F12+J12+N12+R12+V12+Z12+AD12+AH12+AL12+AP12+AT12+AX12+BB12+BF12+BJ12+BN12+BR12+BV12+BZ12+CD12+CH12+CL12+CP12)/23</f>
        <v>0</v>
      </c>
      <c r="CU12" s="56"/>
      <c r="CV12" s="56"/>
      <c r="CW12" s="56"/>
      <c r="CX12" s="56"/>
      <c r="CY12" s="86"/>
    </row>
    <row r="13" spans="1:103" ht="15" customHeight="1">
      <c r="A13" s="63">
        <v>2</v>
      </c>
      <c r="B13" s="64" t="s">
        <v>39</v>
      </c>
      <c r="C13" s="95">
        <v>119.93</v>
      </c>
      <c r="D13" s="96">
        <v>118.06</v>
      </c>
      <c r="E13" s="96">
        <f>D$34/C13*100</f>
        <v>118.05219711498374</v>
      </c>
      <c r="F13" s="51"/>
      <c r="G13" s="51">
        <v>120.81</v>
      </c>
      <c r="H13" s="51">
        <v>117.02</v>
      </c>
      <c r="I13" s="65">
        <f>H$34/G13*100</f>
        <v>117.02673619733466</v>
      </c>
      <c r="J13" s="51"/>
      <c r="K13" s="51">
        <v>120.67</v>
      </c>
      <c r="L13" s="65">
        <v>116.7</v>
      </c>
      <c r="M13" s="65">
        <f>L$34/K13*100</f>
        <v>116.70672080881745</v>
      </c>
      <c r="N13" s="51"/>
      <c r="O13" s="51">
        <v>120.54</v>
      </c>
      <c r="P13" s="65">
        <v>117.1</v>
      </c>
      <c r="Q13" s="65">
        <f>P$34/O13*100</f>
        <v>117.10635473701676</v>
      </c>
      <c r="R13" s="51"/>
      <c r="S13" s="51">
        <v>120.33</v>
      </c>
      <c r="T13" s="65">
        <v>117.59</v>
      </c>
      <c r="U13" s="65">
        <f>T$34/S13*100</f>
        <v>117.5849746530375</v>
      </c>
      <c r="V13" s="51"/>
      <c r="W13" s="51">
        <v>119.81</v>
      </c>
      <c r="X13" s="65">
        <v>117.73</v>
      </c>
      <c r="Y13" s="65">
        <f>X$34/W13*100</f>
        <v>117.7280694432852</v>
      </c>
      <c r="Z13" s="51"/>
      <c r="AA13" s="51">
        <v>120.03</v>
      </c>
      <c r="AB13" s="65">
        <v>117.19</v>
      </c>
      <c r="AC13" s="65">
        <f>AB$34/AA13*100</f>
        <v>117.1873698242106</v>
      </c>
      <c r="AD13" s="51"/>
      <c r="AE13" s="51">
        <v>120.08</v>
      </c>
      <c r="AF13" s="65">
        <v>117.25</v>
      </c>
      <c r="AG13" s="65">
        <f>AF$34/AE13*100</f>
        <v>117.25516322451699</v>
      </c>
      <c r="AH13" s="51"/>
      <c r="AI13" s="51">
        <v>121.31</v>
      </c>
      <c r="AJ13" s="65">
        <v>116.63</v>
      </c>
      <c r="AK13" s="65">
        <f>AJ$34/AI13*100</f>
        <v>116.62682383974938</v>
      </c>
      <c r="AL13" s="51"/>
      <c r="AM13" s="51">
        <v>121.45</v>
      </c>
      <c r="AN13" s="65">
        <v>116.4</v>
      </c>
      <c r="AO13" s="65">
        <f>AN$34/AM13*100</f>
        <v>116.40181144503912</v>
      </c>
      <c r="AP13" s="51"/>
      <c r="AQ13" s="51">
        <v>121.05</v>
      </c>
      <c r="AR13" s="65">
        <v>116.51</v>
      </c>
      <c r="AS13" s="65">
        <f>AR$34/AQ13*100</f>
        <v>116.51383725733169</v>
      </c>
      <c r="AT13" s="51"/>
      <c r="AU13" s="51">
        <v>121.3</v>
      </c>
      <c r="AV13" s="65">
        <v>116.35</v>
      </c>
      <c r="AW13" s="65">
        <f>AV$34/AU13*100</f>
        <v>116.34789777411376</v>
      </c>
      <c r="AX13" s="51"/>
      <c r="AY13" s="51">
        <v>120.98</v>
      </c>
      <c r="AZ13" s="65">
        <v>116.87</v>
      </c>
      <c r="BA13" s="65">
        <f>AZ$34/AY13*100</f>
        <v>116.87055711687881</v>
      </c>
      <c r="BB13" s="51"/>
      <c r="BC13" s="51">
        <v>121</v>
      </c>
      <c r="BD13" s="65">
        <v>117.02</v>
      </c>
      <c r="BE13" s="65">
        <f>BD$34/BC13*100</f>
        <v>117.01652892561984</v>
      </c>
      <c r="BF13" s="51"/>
      <c r="BG13" s="51">
        <v>121.2</v>
      </c>
      <c r="BH13" s="65">
        <v>116.93</v>
      </c>
      <c r="BI13" s="65">
        <f>BH$34/BG13*100</f>
        <v>116.93069306930693</v>
      </c>
      <c r="BJ13" s="51"/>
      <c r="BK13" s="51">
        <v>121.57</v>
      </c>
      <c r="BL13" s="65">
        <v>117.06</v>
      </c>
      <c r="BM13" s="65">
        <f>BL$34/BK13*100</f>
        <v>117.06012996627457</v>
      </c>
      <c r="BN13" s="51"/>
      <c r="BO13" s="51">
        <v>122.75</v>
      </c>
      <c r="BP13" s="65">
        <v>115.89</v>
      </c>
      <c r="BQ13" s="65">
        <f>BP$34/BO13*100</f>
        <v>115.89409368635437</v>
      </c>
      <c r="BR13" s="51"/>
      <c r="BS13" s="51">
        <v>122.77</v>
      </c>
      <c r="BT13" s="65">
        <v>115.84</v>
      </c>
      <c r="BU13" s="65">
        <f>BT$34/BS13*100</f>
        <v>115.83448725258614</v>
      </c>
      <c r="BV13" s="51"/>
      <c r="BW13" s="51">
        <v>122.9</v>
      </c>
      <c r="BX13" s="65">
        <v>115.39</v>
      </c>
      <c r="BY13" s="65">
        <f>BX$34/BW13*100</f>
        <v>115.38649308380798</v>
      </c>
      <c r="BZ13" s="51"/>
      <c r="CA13" s="51">
        <v>123.17</v>
      </c>
      <c r="CB13" s="65">
        <v>114.85</v>
      </c>
      <c r="CC13" s="65">
        <f>CB$34/CA13*100</f>
        <v>114.8575140050337</v>
      </c>
      <c r="CD13" s="51"/>
      <c r="CE13" s="51">
        <v>122.29</v>
      </c>
      <c r="CF13" s="65">
        <v>115.84</v>
      </c>
      <c r="CG13" s="65">
        <f>CF$34/CE13*100</f>
        <v>115.84757543544033</v>
      </c>
      <c r="CH13" s="51"/>
      <c r="CI13" s="51">
        <v>121.86</v>
      </c>
      <c r="CJ13" s="65">
        <v>115.53</v>
      </c>
      <c r="CK13" s="65">
        <f>CJ$34/CI13*100</f>
        <v>115.534219596258</v>
      </c>
      <c r="CL13" s="51"/>
      <c r="CM13" s="51">
        <v>121.81</v>
      </c>
      <c r="CN13" s="65">
        <v>115.63</v>
      </c>
      <c r="CO13" s="65">
        <f>CN$34/CM13*100</f>
        <v>115.63090058287496</v>
      </c>
      <c r="CP13" s="51"/>
      <c r="CQ13" s="51">
        <f aca="true" t="shared" si="0" ref="CQ13:CQ34">(C13+G13+K13+O13+S13+W13+AA13+AE13+AI13+AM13+AQ13+AU13+AY13+BC13+BG13+BK13+BO13+BS13+BW13+CA13+CE13+CI13+CM13)/23</f>
        <v>121.28739130434785</v>
      </c>
      <c r="CR13" s="51">
        <f aca="true" t="shared" si="1" ref="CR13:CR34">(D13+H13+L13+P13+T13+X13+AB13+AF13+AJ13+AN13+AR13+AV13+AZ13+BD13+BH13+BL13+BP13+BT13+BX13+CB13+CF13+CJ13+CN13)/23</f>
        <v>116.58173913043481</v>
      </c>
      <c r="CS13" s="51">
        <f aca="true" t="shared" si="2" ref="CS13:CS33">(E13+I13+M13+Q13+U13+Y13+AC13+AG13+AK13+AO13+AS13+AW13+BA13+BE13+BI13+BM13+BQ13+BU13+BY13+CC13+CG13+CK13+CO13)/23</f>
        <v>116.58265865390752</v>
      </c>
      <c r="CT13" s="51"/>
      <c r="CU13" s="56"/>
      <c r="CV13" s="56"/>
      <c r="CW13" s="56"/>
      <c r="CX13" s="56"/>
      <c r="CY13" s="86"/>
    </row>
    <row r="14" spans="1:103" ht="15" customHeight="1">
      <c r="A14" s="63">
        <v>3</v>
      </c>
      <c r="B14" s="64" t="s">
        <v>40</v>
      </c>
      <c r="C14" s="95">
        <f>1/1.4793</f>
        <v>0.675995403231258</v>
      </c>
      <c r="D14" s="96">
        <v>209.44</v>
      </c>
      <c r="E14" s="96">
        <f>D$34/C14</f>
        <v>209.43929400000005</v>
      </c>
      <c r="F14" s="51"/>
      <c r="G14" s="51">
        <f>1/1.4667</f>
        <v>0.6818026863025841</v>
      </c>
      <c r="H14" s="51">
        <v>207.35</v>
      </c>
      <c r="I14" s="65">
        <f>H$34/G14</f>
        <v>207.36204599999996</v>
      </c>
      <c r="J14" s="51"/>
      <c r="K14" s="51">
        <f>1/1.4755</f>
        <v>0.6777363605557438</v>
      </c>
      <c r="L14" s="65">
        <v>207.79</v>
      </c>
      <c r="M14" s="65">
        <f>L$34/K14</f>
        <v>207.794665</v>
      </c>
      <c r="N14" s="51"/>
      <c r="O14" s="51">
        <f>1/1.4759</f>
        <v>0.6775526797208483</v>
      </c>
      <c r="P14" s="65">
        <v>208.33</v>
      </c>
      <c r="Q14" s="65">
        <f>P$34/O14</f>
        <v>208.338044</v>
      </c>
      <c r="R14" s="51"/>
      <c r="S14" s="51">
        <f>1/1.4796</f>
        <v>0.6758583400919167</v>
      </c>
      <c r="T14" s="65">
        <v>209.36</v>
      </c>
      <c r="U14" s="65">
        <f>T$34/S14</f>
        <v>209.34860400000002</v>
      </c>
      <c r="V14" s="51"/>
      <c r="W14" s="51">
        <f>1/1.4735</f>
        <v>0.6786562606040041</v>
      </c>
      <c r="X14" s="65">
        <v>207.84</v>
      </c>
      <c r="Y14" s="65">
        <f>X$34/W14</f>
        <v>207.837175</v>
      </c>
      <c r="Z14" s="51"/>
      <c r="AA14" s="51">
        <f>1/1.4676</f>
        <v>0.681384573453257</v>
      </c>
      <c r="AB14" s="65">
        <v>206.44</v>
      </c>
      <c r="AC14" s="65">
        <f>AB$34/AA14</f>
        <v>206.432616</v>
      </c>
      <c r="AD14" s="51"/>
      <c r="AE14" s="51">
        <f>1/1.4537</f>
        <v>0.6878998417830364</v>
      </c>
      <c r="AF14" s="65">
        <v>204.68</v>
      </c>
      <c r="AG14" s="65">
        <f>AF$34/AE14</f>
        <v>204.68096</v>
      </c>
      <c r="AH14" s="51"/>
      <c r="AI14" s="51">
        <f>1/1.4428</f>
        <v>0.6930967563071805</v>
      </c>
      <c r="AJ14" s="65">
        <v>204.13</v>
      </c>
      <c r="AK14" s="65">
        <f>AJ$34/AI14</f>
        <v>204.127344</v>
      </c>
      <c r="AL14" s="51"/>
      <c r="AM14" s="51">
        <f>1/1.4506</f>
        <v>0.6893699158968704</v>
      </c>
      <c r="AN14" s="65">
        <v>205.07</v>
      </c>
      <c r="AO14" s="65">
        <f>AN$34/AM14</f>
        <v>205.07132199999998</v>
      </c>
      <c r="AP14" s="51"/>
      <c r="AQ14" s="51">
        <f>1/1.4488</f>
        <v>0.6902263942573164</v>
      </c>
      <c r="AR14" s="65">
        <v>204.34</v>
      </c>
      <c r="AS14" s="65">
        <f>AR$34/AQ14</f>
        <v>204.338752</v>
      </c>
      <c r="AT14" s="51"/>
      <c r="AU14" s="51">
        <f>1/1.446</f>
        <v>0.6915629322268326</v>
      </c>
      <c r="AV14" s="65">
        <v>204.07</v>
      </c>
      <c r="AW14" s="65">
        <f>AV$34/AU14</f>
        <v>204.07398</v>
      </c>
      <c r="AX14" s="51"/>
      <c r="AY14" s="51">
        <f>1/1.4507</f>
        <v>0.6893223960846487</v>
      </c>
      <c r="AZ14" s="65">
        <v>205.12</v>
      </c>
      <c r="BA14" s="65">
        <f>AZ$34/AY14</f>
        <v>205.114473</v>
      </c>
      <c r="BB14" s="51"/>
      <c r="BC14" s="51">
        <f>1/1.444</f>
        <v>0.6925207756232687</v>
      </c>
      <c r="BD14" s="65">
        <v>204.46</v>
      </c>
      <c r="BE14" s="65">
        <f>BD$34/BC14</f>
        <v>204.45596</v>
      </c>
      <c r="BF14" s="51"/>
      <c r="BG14" s="51">
        <f>1/1.439</f>
        <v>0.6949270326615705</v>
      </c>
      <c r="BH14" s="65">
        <v>203.93</v>
      </c>
      <c r="BI14" s="65">
        <f>BH$34/BG14</f>
        <v>203.93508</v>
      </c>
      <c r="BJ14" s="51"/>
      <c r="BK14" s="51">
        <f>1/1.4328</f>
        <v>0.6979341150195422</v>
      </c>
      <c r="BL14" s="65">
        <v>203.9</v>
      </c>
      <c r="BM14" s="65">
        <f>BL$34/BK14</f>
        <v>203.901768</v>
      </c>
      <c r="BN14" s="51"/>
      <c r="BO14" s="51">
        <f>1/1.422</f>
        <v>0.7032348804500703</v>
      </c>
      <c r="BP14" s="65">
        <v>202.29</v>
      </c>
      <c r="BQ14" s="65">
        <f>BP$34/BO14</f>
        <v>202.29371999999998</v>
      </c>
      <c r="BR14" s="51"/>
      <c r="BS14" s="51">
        <f>1/1.4228</f>
        <v>0.7028394714647175</v>
      </c>
      <c r="BT14" s="65">
        <v>202.34</v>
      </c>
      <c r="BU14" s="65">
        <f>BT$34/BS14</f>
        <v>202.336388</v>
      </c>
      <c r="BV14" s="51"/>
      <c r="BW14" s="51">
        <f>1/1.4263</f>
        <v>0.7011147724882564</v>
      </c>
      <c r="BX14" s="65">
        <v>202.27</v>
      </c>
      <c r="BY14" s="65">
        <f>BX$34/BW14</f>
        <v>202.263603</v>
      </c>
      <c r="BZ14" s="51"/>
      <c r="CA14" s="51">
        <f>1/1.4323</f>
        <v>0.6981777560566921</v>
      </c>
      <c r="CB14" s="65">
        <v>202.62</v>
      </c>
      <c r="CC14" s="65">
        <f>CB$34/CA14</f>
        <v>202.627481</v>
      </c>
      <c r="CD14" s="51"/>
      <c r="CE14" s="51">
        <f>1/1.4471</f>
        <v>0.6910372469076083</v>
      </c>
      <c r="CF14" s="65">
        <v>205</v>
      </c>
      <c r="CG14" s="65">
        <f>CF$34/CE14</f>
        <v>205.010657</v>
      </c>
      <c r="CH14" s="51"/>
      <c r="CI14" s="51">
        <f>1/1.4552</f>
        <v>0.6871907641561297</v>
      </c>
      <c r="CJ14" s="65">
        <v>204.87</v>
      </c>
      <c r="CK14" s="65">
        <f>CJ$34/CI14</f>
        <v>204.877608</v>
      </c>
      <c r="CL14" s="51"/>
      <c r="CM14" s="51">
        <f>1/1.4532</f>
        <v>0.6881365262868153</v>
      </c>
      <c r="CN14" s="65">
        <v>204.68</v>
      </c>
      <c r="CO14" s="65">
        <f>CN$34/CM14</f>
        <v>204.68321999999998</v>
      </c>
      <c r="CP14" s="51"/>
      <c r="CQ14" s="51">
        <f t="shared" si="0"/>
        <v>0.6890251252882681</v>
      </c>
      <c r="CR14" s="51">
        <f t="shared" si="1"/>
        <v>205.23130434782612</v>
      </c>
      <c r="CS14" s="51">
        <f t="shared" si="2"/>
        <v>205.23238086956525</v>
      </c>
      <c r="CT14" s="51"/>
      <c r="CU14" s="56"/>
      <c r="CV14" s="56"/>
      <c r="CW14" s="56"/>
      <c r="CX14" s="56"/>
      <c r="CY14" s="86"/>
    </row>
    <row r="15" spans="1:103" ht="15" customHeight="1">
      <c r="A15" s="63">
        <v>4</v>
      </c>
      <c r="B15" s="64" t="s">
        <v>41</v>
      </c>
      <c r="C15" s="95">
        <v>1.6169</v>
      </c>
      <c r="D15" s="96">
        <v>87.56</v>
      </c>
      <c r="E15" s="96">
        <f>D$34/C15</f>
        <v>87.56261982806606</v>
      </c>
      <c r="F15" s="51"/>
      <c r="G15" s="51">
        <v>1.6189</v>
      </c>
      <c r="H15" s="51">
        <v>87.33</v>
      </c>
      <c r="I15" s="65">
        <f>H$34/G15</f>
        <v>87.33090370004324</v>
      </c>
      <c r="J15" s="51"/>
      <c r="K15" s="51">
        <v>1.6154</v>
      </c>
      <c r="L15" s="65">
        <v>87.18</v>
      </c>
      <c r="M15" s="65">
        <f>L$34/K15</f>
        <v>87.17964590813422</v>
      </c>
      <c r="N15" s="51"/>
      <c r="O15" s="51">
        <v>1.6224</v>
      </c>
      <c r="P15" s="65">
        <v>87.01</v>
      </c>
      <c r="Q15" s="65">
        <f>P$34/O15</f>
        <v>87.0069033530572</v>
      </c>
      <c r="R15" s="51"/>
      <c r="S15" s="51">
        <v>1.6199</v>
      </c>
      <c r="T15" s="65">
        <v>87.35</v>
      </c>
      <c r="U15" s="65">
        <f>T$34/S15</f>
        <v>87.3448978331996</v>
      </c>
      <c r="V15" s="51"/>
      <c r="W15" s="51">
        <v>1.609</v>
      </c>
      <c r="X15" s="65">
        <v>87.67</v>
      </c>
      <c r="Y15" s="65">
        <f>X$34/W15</f>
        <v>87.66314481044128</v>
      </c>
      <c r="Z15" s="51"/>
      <c r="AA15" s="51">
        <v>1.6106</v>
      </c>
      <c r="AB15" s="65">
        <v>87.34</v>
      </c>
      <c r="AC15" s="65">
        <f>AB$34/AA15</f>
        <v>87.3339128275177</v>
      </c>
      <c r="AD15" s="51"/>
      <c r="AE15" s="51">
        <v>1.62</v>
      </c>
      <c r="AF15" s="65">
        <v>86.91</v>
      </c>
      <c r="AG15" s="65">
        <f>AF$34/AE15</f>
        <v>86.91358024691358</v>
      </c>
      <c r="AH15" s="51"/>
      <c r="AI15" s="51">
        <v>1.6447</v>
      </c>
      <c r="AJ15" s="65">
        <v>86.02</v>
      </c>
      <c r="AK15" s="65">
        <f>AJ$34/AI15</f>
        <v>86.02176688757827</v>
      </c>
      <c r="AL15" s="51"/>
      <c r="AM15" s="51">
        <v>1.6366</v>
      </c>
      <c r="AN15" s="65">
        <v>86.38</v>
      </c>
      <c r="AO15" s="65">
        <f>AN$34/AM15</f>
        <v>86.38030062324331</v>
      </c>
      <c r="AP15" s="51"/>
      <c r="AQ15" s="51">
        <v>1.6238</v>
      </c>
      <c r="AR15" s="65">
        <v>86.86</v>
      </c>
      <c r="AS15" s="65">
        <f>AR$34/AQ15</f>
        <v>86.85798743687646</v>
      </c>
      <c r="AT15" s="51"/>
      <c r="AU15" s="51">
        <v>1.6328</v>
      </c>
      <c r="AV15" s="65">
        <v>86.43</v>
      </c>
      <c r="AW15" s="65">
        <f>AV$34/AU15</f>
        <v>86.4343459088682</v>
      </c>
      <c r="AX15" s="51"/>
      <c r="AY15" s="51">
        <v>1.6348</v>
      </c>
      <c r="AZ15" s="65">
        <v>86.49</v>
      </c>
      <c r="BA15" s="65">
        <f>AZ$34/AY15</f>
        <v>86.48764374847075</v>
      </c>
      <c r="BB15" s="51"/>
      <c r="BC15" s="51">
        <v>1.6359</v>
      </c>
      <c r="BD15" s="65">
        <v>86.55</v>
      </c>
      <c r="BE15" s="65">
        <f>BD$34/BC15</f>
        <v>86.5517452167003</v>
      </c>
      <c r="BF15" s="51"/>
      <c r="BG15" s="51">
        <v>1.6439</v>
      </c>
      <c r="BH15" s="65">
        <v>86.21</v>
      </c>
      <c r="BI15" s="65">
        <f>BH$34/BG15</f>
        <v>86.20962345641463</v>
      </c>
      <c r="BJ15" s="51"/>
      <c r="BK15" s="51">
        <v>1.6435</v>
      </c>
      <c r="BL15" s="65">
        <v>86.59</v>
      </c>
      <c r="BM15" s="65">
        <f>BL$34/BK15</f>
        <v>86.58959537572255</v>
      </c>
      <c r="BN15" s="51"/>
      <c r="BO15" s="51">
        <v>1.6617</v>
      </c>
      <c r="BP15" s="65">
        <v>85.61</v>
      </c>
      <c r="BQ15" s="65">
        <f>BP$34/BO15</f>
        <v>85.61112114100018</v>
      </c>
      <c r="BR15" s="51"/>
      <c r="BS15" s="51">
        <v>1.6618</v>
      </c>
      <c r="BT15" s="65">
        <v>85.58</v>
      </c>
      <c r="BU15" s="65">
        <f>BT$34/BS15</f>
        <v>85.57588157419666</v>
      </c>
      <c r="BV15" s="51"/>
      <c r="BW15" s="51">
        <v>1.6577</v>
      </c>
      <c r="BX15" s="65">
        <v>85.55</v>
      </c>
      <c r="BY15" s="65">
        <f>BX$34/BW15</f>
        <v>85.5462387645533</v>
      </c>
      <c r="BZ15" s="51"/>
      <c r="CA15" s="51">
        <v>1.655</v>
      </c>
      <c r="CB15" s="65">
        <v>85.48</v>
      </c>
      <c r="CC15" s="65">
        <f>CB$34/CA15</f>
        <v>85.48036253776435</v>
      </c>
      <c r="CD15" s="51"/>
      <c r="CE15" s="51">
        <v>1.6418</v>
      </c>
      <c r="CF15" s="65">
        <v>86.29</v>
      </c>
      <c r="CG15" s="65">
        <f>CF$34/CE15</f>
        <v>86.28943842124497</v>
      </c>
      <c r="CH15" s="51"/>
      <c r="CI15" s="51">
        <v>1.6244</v>
      </c>
      <c r="CJ15" s="65">
        <v>86.67</v>
      </c>
      <c r="CK15" s="65">
        <f>CJ$34/CI15</f>
        <v>86.67200196995813</v>
      </c>
      <c r="CL15" s="51"/>
      <c r="CM15" s="51">
        <v>1.6238</v>
      </c>
      <c r="CN15" s="65">
        <v>86.74</v>
      </c>
      <c r="CO15" s="65">
        <f>CN$34/CM15</f>
        <v>86.74097795294988</v>
      </c>
      <c r="CP15" s="51"/>
      <c r="CQ15" s="51">
        <f t="shared" si="0"/>
        <v>1.6328391304347825</v>
      </c>
      <c r="CR15" s="51">
        <f t="shared" si="1"/>
        <v>86.6</v>
      </c>
      <c r="CS15" s="51">
        <f t="shared" si="2"/>
        <v>86.59933215317021</v>
      </c>
      <c r="CT15" s="51"/>
      <c r="CU15" s="56"/>
      <c r="CV15" s="56"/>
      <c r="CW15" s="56"/>
      <c r="CX15" s="56"/>
      <c r="CY15" s="86"/>
    </row>
    <row r="16" spans="1:103" ht="15" customHeight="1">
      <c r="A16" s="63">
        <v>5</v>
      </c>
      <c r="B16" s="64" t="s">
        <v>42</v>
      </c>
      <c r="C16" s="95">
        <v>7.1627</v>
      </c>
      <c r="D16" s="96">
        <v>19.77</v>
      </c>
      <c r="E16" s="96">
        <f>D$34/C16</f>
        <v>19.766289248467757</v>
      </c>
      <c r="F16" s="51"/>
      <c r="G16" s="51">
        <v>7.1611</v>
      </c>
      <c r="H16" s="51">
        <v>19.74</v>
      </c>
      <c r="I16" s="65">
        <f>H$34/G16</f>
        <v>19.742776947675637</v>
      </c>
      <c r="J16" s="51"/>
      <c r="K16" s="51">
        <v>7.1455</v>
      </c>
      <c r="L16" s="65">
        <v>19.71</v>
      </c>
      <c r="M16" s="65">
        <f>L$34/K16</f>
        <v>19.708907704149468</v>
      </c>
      <c r="N16" s="51"/>
      <c r="O16" s="51">
        <v>7.1736</v>
      </c>
      <c r="P16" s="65">
        <v>19.68</v>
      </c>
      <c r="Q16" s="65">
        <f>P$34/O16</f>
        <v>19.677707148433143</v>
      </c>
      <c r="R16" s="51"/>
      <c r="S16" s="51">
        <v>7.1556</v>
      </c>
      <c r="T16" s="65">
        <v>19.77</v>
      </c>
      <c r="U16" s="65">
        <f>T$34/S16</f>
        <v>19.77332438928951</v>
      </c>
      <c r="V16" s="51"/>
      <c r="W16" s="51">
        <v>7.1408</v>
      </c>
      <c r="X16" s="65">
        <v>19.75</v>
      </c>
      <c r="Y16" s="65">
        <f>X$34/W16</f>
        <v>19.75268877436702</v>
      </c>
      <c r="Z16" s="51"/>
      <c r="AA16" s="51">
        <v>7.1338</v>
      </c>
      <c r="AB16" s="65">
        <v>19.72</v>
      </c>
      <c r="AC16" s="65">
        <f>AB$34/AA16</f>
        <v>19.717401665311616</v>
      </c>
      <c r="AD16" s="51"/>
      <c r="AE16" s="51">
        <v>7.1768</v>
      </c>
      <c r="AF16" s="65">
        <v>19.62</v>
      </c>
      <c r="AG16" s="65">
        <f>AF$34/AE16</f>
        <v>19.618771597369303</v>
      </c>
      <c r="AH16" s="51"/>
      <c r="AI16" s="51">
        <v>7.2763</v>
      </c>
      <c r="AJ16" s="65">
        <v>19.44</v>
      </c>
      <c r="AK16" s="65">
        <f>AJ$34/AI16</f>
        <v>19.44394816046617</v>
      </c>
      <c r="AL16" s="51"/>
      <c r="AM16" s="51">
        <v>7.2417</v>
      </c>
      <c r="AN16" s="65">
        <v>19.52</v>
      </c>
      <c r="AO16" s="65">
        <f>AN$34/AM16</f>
        <v>19.521659278898603</v>
      </c>
      <c r="AP16" s="51"/>
      <c r="AQ16" s="51">
        <v>7.1996</v>
      </c>
      <c r="AR16" s="65">
        <v>19.59</v>
      </c>
      <c r="AS16" s="65">
        <f>AR$34/AQ16</f>
        <v>19.58997722095672</v>
      </c>
      <c r="AT16" s="51"/>
      <c r="AU16" s="51">
        <v>7.2266</v>
      </c>
      <c r="AV16" s="65">
        <v>19.53</v>
      </c>
      <c r="AW16" s="65">
        <f>AV$34/AU16</f>
        <v>19.52923919962361</v>
      </c>
      <c r="AX16" s="51"/>
      <c r="AY16" s="51">
        <v>7.2401</v>
      </c>
      <c r="AZ16" s="65">
        <v>19.53</v>
      </c>
      <c r="BA16" s="65">
        <f>AZ$34/AY16</f>
        <v>19.52873579094211</v>
      </c>
      <c r="BB16" s="51"/>
      <c r="BC16" s="51">
        <v>7.2674</v>
      </c>
      <c r="BD16" s="65">
        <v>19.48</v>
      </c>
      <c r="BE16" s="65">
        <f>BD$34/BC16</f>
        <v>19.482896221482235</v>
      </c>
      <c r="BF16" s="51"/>
      <c r="BG16" s="51">
        <v>7.303</v>
      </c>
      <c r="BH16" s="65">
        <v>19.41</v>
      </c>
      <c r="BI16" s="65">
        <f>BH$34/BG16</f>
        <v>19.405723675201973</v>
      </c>
      <c r="BJ16" s="51"/>
      <c r="BK16" s="51">
        <v>7.3087</v>
      </c>
      <c r="BL16" s="65">
        <v>19.47</v>
      </c>
      <c r="BM16" s="65">
        <f>BL$34/BK16</f>
        <v>19.471315008140984</v>
      </c>
      <c r="BN16" s="51"/>
      <c r="BO16" s="51">
        <v>7.3629</v>
      </c>
      <c r="BP16" s="65">
        <v>19.32</v>
      </c>
      <c r="BQ16" s="65">
        <f>BP$34/BO16</f>
        <v>19.3211913783971</v>
      </c>
      <c r="BR16" s="51"/>
      <c r="BS16" s="51">
        <v>7.3579</v>
      </c>
      <c r="BT16" s="65">
        <v>19.33</v>
      </c>
      <c r="BU16" s="65">
        <f>BT$34/BS16</f>
        <v>19.32752551679148</v>
      </c>
      <c r="BV16" s="51"/>
      <c r="BW16" s="51">
        <v>7.3546</v>
      </c>
      <c r="BX16" s="65">
        <v>19.28</v>
      </c>
      <c r="BY16" s="65">
        <f>BX$34/BW16</f>
        <v>19.281810023658664</v>
      </c>
      <c r="BZ16" s="51"/>
      <c r="CA16" s="51">
        <v>7.3587</v>
      </c>
      <c r="CB16" s="65">
        <v>19.22</v>
      </c>
      <c r="CC16" s="65">
        <f>CB$34/CA16</f>
        <v>19.22486308723008</v>
      </c>
      <c r="CD16" s="51"/>
      <c r="CE16" s="51">
        <v>7.303</v>
      </c>
      <c r="CF16" s="65">
        <v>19.4</v>
      </c>
      <c r="CG16" s="65">
        <f>CF$34/CE16</f>
        <v>19.398877173764205</v>
      </c>
      <c r="CH16" s="51"/>
      <c r="CI16" s="51">
        <v>7.2473</v>
      </c>
      <c r="CJ16" s="65">
        <v>19.43</v>
      </c>
      <c r="CK16" s="65">
        <f>CJ$34/CI16</f>
        <v>19.42654505815959</v>
      </c>
      <c r="CL16" s="51"/>
      <c r="CM16" s="51">
        <v>7.2497</v>
      </c>
      <c r="CN16" s="65">
        <v>19.43</v>
      </c>
      <c r="CO16" s="65">
        <f>CN$34/CM16</f>
        <v>19.428390140281667</v>
      </c>
      <c r="CP16" s="51"/>
      <c r="CQ16" s="51">
        <f t="shared" si="0"/>
        <v>7.241191304347825</v>
      </c>
      <c r="CR16" s="51">
        <f t="shared" si="1"/>
        <v>19.52782608695652</v>
      </c>
      <c r="CS16" s="51">
        <f t="shared" si="2"/>
        <v>19.52785062648081</v>
      </c>
      <c r="CT16" s="51"/>
      <c r="CU16" s="56"/>
      <c r="CV16" s="56"/>
      <c r="CW16" s="56"/>
      <c r="CX16" s="56"/>
      <c r="CY16" s="86"/>
    </row>
    <row r="17" spans="1:103" ht="15" customHeight="1">
      <c r="A17" s="63">
        <v>6</v>
      </c>
      <c r="B17" s="64" t="s">
        <v>43</v>
      </c>
      <c r="C17" s="95">
        <v>2.4063</v>
      </c>
      <c r="D17" s="96">
        <v>58.84</v>
      </c>
      <c r="E17" s="96">
        <f>D$34/C17</f>
        <v>58.837218966878616</v>
      </c>
      <c r="F17" s="51"/>
      <c r="G17" s="51">
        <v>2.4058</v>
      </c>
      <c r="H17" s="51">
        <v>58.76</v>
      </c>
      <c r="I17" s="65">
        <f>H$34/G17</f>
        <v>58.76631473937983</v>
      </c>
      <c r="J17" s="51"/>
      <c r="K17" s="51">
        <v>2.4006</v>
      </c>
      <c r="L17" s="65">
        <v>58.66</v>
      </c>
      <c r="M17" s="65">
        <f>L$34/K17</f>
        <v>58.66450054153129</v>
      </c>
      <c r="N17" s="51"/>
      <c r="O17" s="51">
        <v>2.41</v>
      </c>
      <c r="P17" s="65">
        <v>58.57</v>
      </c>
      <c r="Q17" s="65">
        <f>P$34/O17</f>
        <v>58.572614107883815</v>
      </c>
      <c r="R17" s="51"/>
      <c r="S17" s="51">
        <v>2.404</v>
      </c>
      <c r="T17" s="65">
        <v>58.86</v>
      </c>
      <c r="U17" s="65">
        <f>T$34/S17</f>
        <v>58.85607321131448</v>
      </c>
      <c r="V17" s="51"/>
      <c r="W17" s="51">
        <v>2.399</v>
      </c>
      <c r="X17" s="65">
        <v>58.8</v>
      </c>
      <c r="Y17" s="65">
        <f>X$34/W17</f>
        <v>58.79533138807837</v>
      </c>
      <c r="Z17" s="51"/>
      <c r="AA17" s="51">
        <v>2.3966</v>
      </c>
      <c r="AB17" s="65">
        <v>58.69</v>
      </c>
      <c r="AC17" s="65">
        <f>AB$34/AA17</f>
        <v>58.69147959609447</v>
      </c>
      <c r="AD17" s="51"/>
      <c r="AE17" s="51">
        <v>2.4111</v>
      </c>
      <c r="AF17" s="65">
        <v>58.4</v>
      </c>
      <c r="AG17" s="65">
        <f>AF$34/AE17</f>
        <v>58.3965824727303</v>
      </c>
      <c r="AH17" s="51"/>
      <c r="AI17" s="51">
        <v>2.4445</v>
      </c>
      <c r="AJ17" s="65">
        <v>57.88</v>
      </c>
      <c r="AK17" s="65">
        <f>AJ$34/AI17</f>
        <v>57.876866434853746</v>
      </c>
      <c r="AL17" s="51"/>
      <c r="AM17" s="51">
        <v>2.4329</v>
      </c>
      <c r="AN17" s="65">
        <v>58.11</v>
      </c>
      <c r="AO17" s="65">
        <f>AN$34/AM17</f>
        <v>58.10760820420075</v>
      </c>
      <c r="AP17" s="51"/>
      <c r="AQ17" s="51">
        <v>2.4187</v>
      </c>
      <c r="AR17" s="65">
        <v>58.31</v>
      </c>
      <c r="AS17" s="65">
        <f>AR$34/AQ17</f>
        <v>58.312316533675116</v>
      </c>
      <c r="AT17" s="51"/>
      <c r="AU17" s="51">
        <v>2.4278</v>
      </c>
      <c r="AV17" s="65">
        <v>58.13</v>
      </c>
      <c r="AW17" s="65">
        <f>AV$34/AU17</f>
        <v>58.13081802454897</v>
      </c>
      <c r="AX17" s="51"/>
      <c r="AY17" s="51">
        <v>2.4324</v>
      </c>
      <c r="AZ17" s="65">
        <v>58.13</v>
      </c>
      <c r="BA17" s="65">
        <f>AZ$34/AY17</f>
        <v>58.12777503700049</v>
      </c>
      <c r="BB17" s="51"/>
      <c r="BC17" s="51">
        <v>2.4415</v>
      </c>
      <c r="BD17" s="65">
        <v>57.99</v>
      </c>
      <c r="BE17" s="65">
        <f>BD$34/BC17</f>
        <v>57.99303706737661</v>
      </c>
      <c r="BF17" s="51"/>
      <c r="BG17" s="51">
        <v>2.4535</v>
      </c>
      <c r="BH17" s="65">
        <v>57.76</v>
      </c>
      <c r="BI17" s="65">
        <f>BH$34/BG17</f>
        <v>57.76238027307927</v>
      </c>
      <c r="BJ17" s="51"/>
      <c r="BK17" s="51">
        <v>2.4554</v>
      </c>
      <c r="BL17" s="65">
        <v>57.96</v>
      </c>
      <c r="BM17" s="65">
        <f>BL$34/BK17</f>
        <v>57.957970188156715</v>
      </c>
      <c r="BN17" s="51"/>
      <c r="BO17" s="51">
        <v>2.4736</v>
      </c>
      <c r="BP17" s="65">
        <v>57.51</v>
      </c>
      <c r="BQ17" s="65">
        <f>BP$34/BO17</f>
        <v>57.511319534282016</v>
      </c>
      <c r="BR17" s="51"/>
      <c r="BS17" s="51">
        <v>2.4719</v>
      </c>
      <c r="BT17" s="65">
        <v>57.53</v>
      </c>
      <c r="BU17" s="65">
        <f>BT$34/BS17</f>
        <v>57.53064444354545</v>
      </c>
      <c r="BV17" s="51"/>
      <c r="BW17" s="51">
        <v>2.4708</v>
      </c>
      <c r="BX17" s="65">
        <v>57.4</v>
      </c>
      <c r="BY17" s="65">
        <f>BX$34/BW17</f>
        <v>57.394366197183096</v>
      </c>
      <c r="BZ17" s="51"/>
      <c r="CA17" s="51">
        <v>2.4722</v>
      </c>
      <c r="CB17" s="65">
        <v>57.22</v>
      </c>
      <c r="CC17" s="65">
        <f>CB$34/CA17</f>
        <v>57.22433460076046</v>
      </c>
      <c r="CD17" s="51"/>
      <c r="CE17" s="51">
        <v>2.4535</v>
      </c>
      <c r="CF17" s="65">
        <v>57.74</v>
      </c>
      <c r="CG17" s="65">
        <f>CF$34/CE17</f>
        <v>57.74200122274301</v>
      </c>
      <c r="CH17" s="51"/>
      <c r="CI17" s="51">
        <v>2.4348</v>
      </c>
      <c r="CJ17" s="65">
        <v>57.82</v>
      </c>
      <c r="CK17" s="65">
        <f>CJ$34/CI17</f>
        <v>57.824051256776734</v>
      </c>
      <c r="CL17" s="51"/>
      <c r="CM17" s="51">
        <v>2.4356</v>
      </c>
      <c r="CN17" s="65">
        <v>57.83</v>
      </c>
      <c r="CO17" s="65">
        <f>CN$34/CM17</f>
        <v>57.8296928888159</v>
      </c>
      <c r="CP17" s="51"/>
      <c r="CQ17" s="51">
        <f t="shared" si="0"/>
        <v>2.4327173913043474</v>
      </c>
      <c r="CR17" s="51">
        <f t="shared" si="1"/>
        <v>58.126086956521746</v>
      </c>
      <c r="CS17" s="51">
        <f t="shared" si="2"/>
        <v>58.12631725786476</v>
      </c>
      <c r="CT17" s="51"/>
      <c r="CU17" s="56"/>
      <c r="CV17" s="56"/>
      <c r="CW17" s="56"/>
      <c r="CX17" s="56"/>
      <c r="CY17" s="86"/>
    </row>
    <row r="18" spans="1:103" ht="15" customHeight="1">
      <c r="A18" s="63">
        <v>7</v>
      </c>
      <c r="B18" s="64" t="s">
        <v>44</v>
      </c>
      <c r="C18" s="95">
        <v>2114.2935</v>
      </c>
      <c r="D18" s="96">
        <v>66.96</v>
      </c>
      <c r="E18" s="96">
        <f>D$34/C18*1000</f>
        <v>66.9632669258076</v>
      </c>
      <c r="F18" s="51"/>
      <c r="G18" s="51">
        <v>2113.8319</v>
      </c>
      <c r="H18" s="51">
        <v>66.88</v>
      </c>
      <c r="I18" s="65">
        <f>H$34/G18*1000</f>
        <v>66.88327487157328</v>
      </c>
      <c r="J18" s="51"/>
      <c r="K18" s="51">
        <v>2109.2266</v>
      </c>
      <c r="L18" s="65">
        <v>66.77</v>
      </c>
      <c r="M18" s="65">
        <f>L$34/K18*1000</f>
        <v>66.76854919239119</v>
      </c>
      <c r="N18" s="51"/>
      <c r="O18" s="51">
        <v>2117.5306</v>
      </c>
      <c r="P18" s="65">
        <v>66.66</v>
      </c>
      <c r="Q18" s="65">
        <f>P$34/O18*1000</f>
        <v>66.66255495906411</v>
      </c>
      <c r="R18" s="51"/>
      <c r="S18" s="51">
        <v>2112.2177</v>
      </c>
      <c r="T18" s="65">
        <v>66.99</v>
      </c>
      <c r="U18" s="65">
        <f>T$34/S18*1000</f>
        <v>66.98646640448095</v>
      </c>
      <c r="V18" s="51"/>
      <c r="W18" s="51">
        <v>2107.8489</v>
      </c>
      <c r="X18" s="65">
        <v>66.92</v>
      </c>
      <c r="Y18" s="65">
        <f>X$34/W18*1000</f>
        <v>66.91656123928048</v>
      </c>
      <c r="Z18" s="51"/>
      <c r="AA18" s="51">
        <v>2105.7858</v>
      </c>
      <c r="AB18" s="65">
        <v>66.8</v>
      </c>
      <c r="AC18" s="65">
        <f>AB$34/AA18*1000</f>
        <v>66.79691733128791</v>
      </c>
      <c r="AD18" s="51"/>
      <c r="AE18" s="51">
        <v>2118.4573</v>
      </c>
      <c r="AF18" s="65">
        <v>66.46</v>
      </c>
      <c r="AG18" s="65">
        <f>AF$34/AE18*1000</f>
        <v>66.46345904635416</v>
      </c>
      <c r="AH18" s="51"/>
      <c r="AI18" s="51">
        <v>2147.8314</v>
      </c>
      <c r="AJ18" s="65">
        <v>65.87</v>
      </c>
      <c r="AK18" s="65">
        <f>AJ$34/AI18*1000</f>
        <v>65.87109211644825</v>
      </c>
      <c r="AL18" s="51"/>
      <c r="AM18" s="51">
        <v>2137.6352</v>
      </c>
      <c r="AN18" s="65">
        <v>66.13</v>
      </c>
      <c r="AO18" s="65">
        <f>AN$34/AM18*1000</f>
        <v>66.13382863455841</v>
      </c>
      <c r="AP18" s="51"/>
      <c r="AQ18" s="51">
        <v>2125.2003</v>
      </c>
      <c r="AR18" s="65">
        <v>66.36</v>
      </c>
      <c r="AS18" s="65">
        <f>AR$34/AQ18*1000</f>
        <v>66.36550917106496</v>
      </c>
      <c r="AT18" s="51"/>
      <c r="AU18" s="51">
        <v>2133.1607</v>
      </c>
      <c r="AV18" s="65">
        <v>66.16</v>
      </c>
      <c r="AW18" s="65">
        <f>AV$34/AU18*1000</f>
        <v>66.16004129459164</v>
      </c>
      <c r="AX18" s="51"/>
      <c r="AY18" s="51">
        <v>2137.1634</v>
      </c>
      <c r="AZ18" s="65">
        <v>66.16</v>
      </c>
      <c r="BA18" s="65">
        <f>AZ$34/AY18*1000</f>
        <v>66.15778653143694</v>
      </c>
      <c r="BB18" s="51"/>
      <c r="BC18" s="51">
        <v>2145.2138</v>
      </c>
      <c r="BD18" s="65">
        <v>66</v>
      </c>
      <c r="BE18" s="65">
        <f>BD$34/BC18*1000</f>
        <v>66.00274527415404</v>
      </c>
      <c r="BF18" s="51"/>
      <c r="BG18" s="51">
        <v>2155.7226</v>
      </c>
      <c r="BH18" s="65">
        <v>65.74</v>
      </c>
      <c r="BI18" s="65">
        <f>BH$34/BG18*1000</f>
        <v>65.74129714092156</v>
      </c>
      <c r="BJ18" s="51"/>
      <c r="BK18" s="51">
        <v>2157.4039</v>
      </c>
      <c r="BL18" s="65">
        <v>65.96</v>
      </c>
      <c r="BM18" s="65">
        <f>BL$34/BK18*1000</f>
        <v>65.96354071669195</v>
      </c>
      <c r="BN18" s="51"/>
      <c r="BO18" s="51">
        <v>2173.3865</v>
      </c>
      <c r="BP18" s="65">
        <v>65.45</v>
      </c>
      <c r="BQ18" s="65">
        <f>BP$34/BO18*1000</f>
        <v>65.45545396550497</v>
      </c>
      <c r="BR18" s="51"/>
      <c r="BS18" s="51">
        <v>2171.9237</v>
      </c>
      <c r="BT18" s="65">
        <v>65.48</v>
      </c>
      <c r="BU18" s="65">
        <f>BT$34/BS18*1000</f>
        <v>65.47651743014731</v>
      </c>
      <c r="BV18" s="51"/>
      <c r="BW18" s="51">
        <v>2170.9497</v>
      </c>
      <c r="BX18" s="65">
        <v>65.32</v>
      </c>
      <c r="BY18" s="65">
        <f>BX$34/BW18*1000</f>
        <v>65.32164241299557</v>
      </c>
      <c r="BZ18" s="51"/>
      <c r="CA18" s="51">
        <v>2172.1674</v>
      </c>
      <c r="CB18" s="65">
        <v>65.13</v>
      </c>
      <c r="CC18" s="65">
        <f>CB$34/CA18*1000</f>
        <v>65.12849792331845</v>
      </c>
      <c r="CD18" s="51"/>
      <c r="CE18" s="51">
        <v>2155.7226</v>
      </c>
      <c r="CF18" s="65">
        <v>65.72</v>
      </c>
      <c r="CG18" s="65">
        <f>CF$34/CE18*1000</f>
        <v>65.71810306205444</v>
      </c>
      <c r="CH18" s="51"/>
      <c r="CI18" s="51">
        <v>2139.2885</v>
      </c>
      <c r="CJ18" s="65">
        <v>65.81</v>
      </c>
      <c r="CK18" s="65">
        <f>CJ$34/CI18*1000</f>
        <v>65.81160044566218</v>
      </c>
      <c r="CL18" s="51"/>
      <c r="CM18" s="51">
        <v>2139.9978</v>
      </c>
      <c r="CN18" s="65">
        <v>65.82</v>
      </c>
      <c r="CO18" s="65">
        <f>CN$34/CM18*1000</f>
        <v>65.81782467253002</v>
      </c>
      <c r="CP18" s="51"/>
      <c r="CQ18" s="51">
        <f t="shared" si="0"/>
        <v>2137.4765130434785</v>
      </c>
      <c r="CR18" s="51">
        <f t="shared" si="1"/>
        <v>66.15434782608695</v>
      </c>
      <c r="CS18" s="51">
        <f t="shared" si="2"/>
        <v>66.1550665548835</v>
      </c>
      <c r="CT18" s="51">
        <f>(F18+J18+N18+R18+V18+Z18+AD18+AH18+AL18+AP18+AT18+AX18+BB18+BF18+BJ18+BN18+BR18+BV18+BZ18+CD18+CH18+CL18+CP18)/23</f>
        <v>0</v>
      </c>
      <c r="CU18" s="56"/>
      <c r="CV18" s="56"/>
      <c r="CW18" s="56"/>
      <c r="CX18" s="56"/>
      <c r="CY18" s="86"/>
    </row>
    <row r="19" spans="1:103" ht="15" customHeight="1">
      <c r="A19" s="63">
        <v>8</v>
      </c>
      <c r="B19" s="64" t="s">
        <v>45</v>
      </c>
      <c r="C19" s="95">
        <v>44.0488</v>
      </c>
      <c r="D19" s="96">
        <v>3.21</v>
      </c>
      <c r="E19" s="96">
        <f>D$34/C19</f>
        <v>3.214162474346634</v>
      </c>
      <c r="F19" s="51"/>
      <c r="G19" s="51">
        <v>44.0392</v>
      </c>
      <c r="H19" s="51">
        <v>3.21</v>
      </c>
      <c r="I19" s="65">
        <f>H$34/G19</f>
        <v>3.2103217133826227</v>
      </c>
      <c r="J19" s="51"/>
      <c r="K19" s="51">
        <v>43.9432</v>
      </c>
      <c r="L19" s="65">
        <v>3.2</v>
      </c>
      <c r="M19" s="65">
        <f>L$34/K19</f>
        <v>3.2048189480966345</v>
      </c>
      <c r="N19" s="51"/>
      <c r="O19" s="51">
        <v>44.1163</v>
      </c>
      <c r="P19" s="65">
        <v>3.2</v>
      </c>
      <c r="Q19" s="65">
        <f>P$34/O19</f>
        <v>3.1997243649172753</v>
      </c>
      <c r="R19" s="51"/>
      <c r="S19" s="51">
        <v>44.0056</v>
      </c>
      <c r="T19" s="65">
        <v>3.22</v>
      </c>
      <c r="U19" s="65">
        <f>T$34/S19</f>
        <v>3.215272601668879</v>
      </c>
      <c r="V19" s="51"/>
      <c r="W19" s="51">
        <v>43.9145</v>
      </c>
      <c r="X19" s="65">
        <v>3.21</v>
      </c>
      <c r="Y19" s="65">
        <f>X$34/W19</f>
        <v>3.2119231688849927</v>
      </c>
      <c r="Z19" s="51"/>
      <c r="AA19" s="51">
        <v>43.8716</v>
      </c>
      <c r="AB19" s="65">
        <v>3.21</v>
      </c>
      <c r="AC19" s="65">
        <f>AB$34/AA19</f>
        <v>3.2061743816045003</v>
      </c>
      <c r="AD19" s="51"/>
      <c r="AE19" s="51">
        <v>44.1356</v>
      </c>
      <c r="AF19" s="65">
        <v>3.19</v>
      </c>
      <c r="AG19" s="65">
        <f>AF$34/AE19</f>
        <v>3.190168480772891</v>
      </c>
      <c r="AH19" s="51"/>
      <c r="AI19" s="51">
        <v>44.7475</v>
      </c>
      <c r="AJ19" s="65">
        <v>3.16</v>
      </c>
      <c r="AK19" s="65">
        <f>AJ$34/AI19</f>
        <v>3.161740879378736</v>
      </c>
      <c r="AL19" s="51"/>
      <c r="AM19" s="51">
        <v>44.5351</v>
      </c>
      <c r="AN19" s="65">
        <v>3.17</v>
      </c>
      <c r="AO19" s="65">
        <f>AN$34/AM19</f>
        <v>3.174350119344068</v>
      </c>
      <c r="AP19" s="51"/>
      <c r="AQ19" s="51">
        <v>44.276</v>
      </c>
      <c r="AR19" s="65">
        <v>3.19</v>
      </c>
      <c r="AS19" s="65">
        <f>AR$34/AQ19</f>
        <v>3.1854729424518924</v>
      </c>
      <c r="AT19" s="51"/>
      <c r="AU19" s="51">
        <v>44.4419</v>
      </c>
      <c r="AV19" s="65">
        <v>3.18</v>
      </c>
      <c r="AW19" s="65">
        <f>AV$34/AU19</f>
        <v>3.1756068034895</v>
      </c>
      <c r="AX19" s="51"/>
      <c r="AY19" s="51">
        <v>44.5253</v>
      </c>
      <c r="AZ19" s="65">
        <v>3.18</v>
      </c>
      <c r="BA19" s="65">
        <f>AZ$34/AY19</f>
        <v>3.17549797530842</v>
      </c>
      <c r="BB19" s="51"/>
      <c r="BC19" s="51">
        <v>44.693</v>
      </c>
      <c r="BD19" s="65">
        <v>3.17</v>
      </c>
      <c r="BE19" s="65">
        <f>BD$34/BC19</f>
        <v>3.168057637661379</v>
      </c>
      <c r="BF19" s="51"/>
      <c r="BG19" s="51">
        <v>44.9119</v>
      </c>
      <c r="BH19" s="65">
        <v>3.16</v>
      </c>
      <c r="BI19" s="65">
        <f>BH$34/BG19</f>
        <v>3.1555111228872526</v>
      </c>
      <c r="BJ19" s="51"/>
      <c r="BK19" s="51">
        <v>44.947</v>
      </c>
      <c r="BL19" s="65">
        <v>3.17</v>
      </c>
      <c r="BM19" s="65">
        <f>BL$34/BK19</f>
        <v>3.166173493225354</v>
      </c>
      <c r="BN19" s="51"/>
      <c r="BO19" s="51">
        <v>45.2799</v>
      </c>
      <c r="BP19" s="65">
        <v>3.14</v>
      </c>
      <c r="BQ19" s="65">
        <f>BP$34/BO19</f>
        <v>3.1417913908820467</v>
      </c>
      <c r="BR19" s="51"/>
      <c r="BS19" s="51">
        <v>45.2495</v>
      </c>
      <c r="BT19" s="65">
        <v>3.14</v>
      </c>
      <c r="BU19" s="65">
        <f>BT$34/BS19</f>
        <v>3.1427971579796465</v>
      </c>
      <c r="BV19" s="51"/>
      <c r="BW19" s="51">
        <v>45.2292</v>
      </c>
      <c r="BX19" s="65">
        <v>3.14</v>
      </c>
      <c r="BY19" s="65">
        <f>BX$34/BW19</f>
        <v>3.135363879971346</v>
      </c>
      <c r="BZ19" s="51"/>
      <c r="CA19" s="51">
        <v>45.2545</v>
      </c>
      <c r="CB19" s="65">
        <v>3.13</v>
      </c>
      <c r="CC19" s="65">
        <f>CB$34/CA19</f>
        <v>3.1260979571092378</v>
      </c>
      <c r="CD19" s="51"/>
      <c r="CE19" s="51">
        <v>44.9119</v>
      </c>
      <c r="CF19" s="65">
        <v>3.15</v>
      </c>
      <c r="CG19" s="65">
        <f>CF$34/CE19</f>
        <v>3.154397832200374</v>
      </c>
      <c r="CH19" s="51"/>
      <c r="CI19" s="51">
        <v>44.5696</v>
      </c>
      <c r="CJ19" s="65">
        <v>3.16</v>
      </c>
      <c r="CK19" s="65">
        <f>CJ$34/CI19</f>
        <v>3.1588795950603097</v>
      </c>
      <c r="CL19" s="51"/>
      <c r="CM19" s="51">
        <v>44.5843</v>
      </c>
      <c r="CN19" s="65">
        <v>3.16</v>
      </c>
      <c r="CO19" s="65">
        <f>CN$34/CM19</f>
        <v>3.159183838256965</v>
      </c>
      <c r="CP19" s="51"/>
      <c r="CQ19" s="51">
        <f t="shared" si="0"/>
        <v>44.531800000000004</v>
      </c>
      <c r="CR19" s="51">
        <f t="shared" si="1"/>
        <v>3.176086956521739</v>
      </c>
      <c r="CS19" s="51">
        <f t="shared" si="2"/>
        <v>3.1753690764730846</v>
      </c>
      <c r="CT19" s="51"/>
      <c r="CU19" s="56"/>
      <c r="CV19" s="56"/>
      <c r="CW19" s="56"/>
      <c r="CX19" s="56"/>
      <c r="CY19" s="86"/>
    </row>
    <row r="20" spans="1:103" ht="15" customHeight="1">
      <c r="A20" s="63">
        <v>9</v>
      </c>
      <c r="B20" s="64" t="s">
        <v>46</v>
      </c>
      <c r="C20" s="95">
        <f>1/0.9158</f>
        <v>1.0919414719371043</v>
      </c>
      <c r="D20" s="96">
        <v>129.66</v>
      </c>
      <c r="E20" s="96">
        <f>D$34/C20</f>
        <v>129.658964</v>
      </c>
      <c r="F20" s="51"/>
      <c r="G20" s="51">
        <f>1/0.916</f>
        <v>1.0917030567685588</v>
      </c>
      <c r="H20" s="51">
        <v>129.5</v>
      </c>
      <c r="I20" s="65">
        <f>H$34/G20</f>
        <v>129.50408000000002</v>
      </c>
      <c r="J20" s="51"/>
      <c r="K20" s="51">
        <f>1/0.918</f>
        <v>1.0893246187363834</v>
      </c>
      <c r="L20" s="65">
        <v>129.28</v>
      </c>
      <c r="M20" s="65">
        <f>L$34/K20</f>
        <v>129.28194000000002</v>
      </c>
      <c r="N20" s="51"/>
      <c r="O20" s="51">
        <f>1/0.9144</f>
        <v>1.0936132983377078</v>
      </c>
      <c r="P20" s="65">
        <v>129.07</v>
      </c>
      <c r="Q20" s="65">
        <f>P$34/O20</f>
        <v>129.076704</v>
      </c>
      <c r="R20" s="51"/>
      <c r="S20" s="51">
        <f>1/0.9167</f>
        <v>1.0908694229300753</v>
      </c>
      <c r="T20" s="65">
        <v>129.71</v>
      </c>
      <c r="U20" s="65">
        <f>T$34/S20</f>
        <v>129.70388300000002</v>
      </c>
      <c r="V20" s="51"/>
      <c r="W20" s="51">
        <f>1/0.9186</f>
        <v>1.0886131069018072</v>
      </c>
      <c r="X20" s="65">
        <v>129.57</v>
      </c>
      <c r="Y20" s="65">
        <f>X$34/W20</f>
        <v>129.56852999999998</v>
      </c>
      <c r="Z20" s="51"/>
      <c r="AA20" s="51">
        <f>1/0.9195</f>
        <v>1.0875475802066341</v>
      </c>
      <c r="AB20" s="65">
        <v>129.34</v>
      </c>
      <c r="AC20" s="65">
        <f>AB$34/AA20</f>
        <v>129.33686999999998</v>
      </c>
      <c r="AD20" s="51"/>
      <c r="AE20" s="51">
        <f>1/0.914</f>
        <v>1.0940919037199124</v>
      </c>
      <c r="AF20" s="65">
        <v>128.69</v>
      </c>
      <c r="AG20" s="65">
        <f>AF$34/AE20</f>
        <v>128.6912</v>
      </c>
      <c r="AH20" s="51"/>
      <c r="AI20" s="51">
        <f>1/0.9015</f>
        <v>1.1092623405435387</v>
      </c>
      <c r="AJ20" s="65">
        <v>127.54</v>
      </c>
      <c r="AK20" s="65">
        <f>AJ$34/AI20</f>
        <v>127.54421999999998</v>
      </c>
      <c r="AL20" s="51"/>
      <c r="AM20" s="51">
        <f>1/0.9058</f>
        <v>1.103996467211305</v>
      </c>
      <c r="AN20" s="65">
        <v>128.05</v>
      </c>
      <c r="AO20" s="65">
        <f>AN$34/AM20</f>
        <v>128.052946</v>
      </c>
      <c r="AP20" s="51"/>
      <c r="AQ20" s="51">
        <f>1/0.9111</f>
        <v>1.097574360662935</v>
      </c>
      <c r="AR20" s="65">
        <v>128.5</v>
      </c>
      <c r="AS20" s="65">
        <f>AR$34/AQ20</f>
        <v>128.501544</v>
      </c>
      <c r="AT20" s="51"/>
      <c r="AU20" s="51">
        <f>1/0.9077</f>
        <v>1.1016855789357718</v>
      </c>
      <c r="AV20" s="65">
        <v>128.1</v>
      </c>
      <c r="AW20" s="65">
        <f>AV$34/AU20</f>
        <v>128.103701</v>
      </c>
      <c r="AX20" s="51"/>
      <c r="AY20" s="69">
        <f>1/0.906</f>
        <v>1.1037527593818983</v>
      </c>
      <c r="AZ20" s="65">
        <v>128.1</v>
      </c>
      <c r="BA20" s="65">
        <f>AZ$34/AY20</f>
        <v>128.09934</v>
      </c>
      <c r="BB20" s="51"/>
      <c r="BC20" s="69">
        <f>1/0.9026</f>
        <v>1.1079104808331488</v>
      </c>
      <c r="BD20" s="65">
        <v>127.8</v>
      </c>
      <c r="BE20" s="65">
        <f>BD$34/BC20</f>
        <v>127.799134</v>
      </c>
      <c r="BF20" s="51"/>
      <c r="BG20" s="51">
        <f>1/0.8982</f>
        <v>1.11333778668448</v>
      </c>
      <c r="BH20" s="65">
        <v>127.29</v>
      </c>
      <c r="BI20" s="65">
        <f>BH$34/BG20</f>
        <v>127.29290400000001</v>
      </c>
      <c r="BJ20" s="51"/>
      <c r="BK20" s="51">
        <f>1/0.8975</f>
        <v>1.1142061281337048</v>
      </c>
      <c r="BL20" s="65">
        <v>127.72</v>
      </c>
      <c r="BM20" s="65">
        <f>BL$34/BK20</f>
        <v>127.723225</v>
      </c>
      <c r="BN20" s="51"/>
      <c r="BO20" s="51">
        <f>1/0.8909</f>
        <v>1.1224604332697272</v>
      </c>
      <c r="BP20" s="65">
        <v>126.74</v>
      </c>
      <c r="BQ20" s="65">
        <f>BP$34/BO20</f>
        <v>126.73943399999999</v>
      </c>
      <c r="BR20" s="51"/>
      <c r="BS20" s="51">
        <f>1/0.8915</f>
        <v>1.1217049915872126</v>
      </c>
      <c r="BT20" s="65">
        <v>126.78</v>
      </c>
      <c r="BU20" s="65">
        <f>BT$34/BS20</f>
        <v>126.780215</v>
      </c>
      <c r="BV20" s="51"/>
      <c r="BW20" s="51">
        <f>1/0.8919</f>
        <v>1.121201928467317</v>
      </c>
      <c r="BX20" s="65">
        <v>126.48</v>
      </c>
      <c r="BY20" s="65">
        <f>BX$34/BW20</f>
        <v>126.480339</v>
      </c>
      <c r="BZ20" s="51"/>
      <c r="CA20" s="51">
        <f>1/0.8914</f>
        <v>1.121830827911151</v>
      </c>
      <c r="CB20" s="65">
        <v>126.1</v>
      </c>
      <c r="CC20" s="65">
        <f>CB$34/CA20</f>
        <v>126.10635799999999</v>
      </c>
      <c r="CD20" s="51"/>
      <c r="CE20" s="51">
        <f>1/0.8982</f>
        <v>1.11333778668448</v>
      </c>
      <c r="CF20" s="65">
        <v>127.24</v>
      </c>
      <c r="CG20" s="65">
        <f>CF$34/CE20</f>
        <v>127.24799399999999</v>
      </c>
      <c r="CH20" s="51"/>
      <c r="CI20" s="51">
        <f>1/0.9051</f>
        <v>1.1048502927853276</v>
      </c>
      <c r="CJ20" s="65">
        <v>127.43</v>
      </c>
      <c r="CK20" s="65">
        <f>CJ$34/CI20</f>
        <v>127.42902899999999</v>
      </c>
      <c r="CL20" s="51"/>
      <c r="CM20" s="51">
        <f>1/0.9048</f>
        <v>1.1052166224580018</v>
      </c>
      <c r="CN20" s="65">
        <v>127.44</v>
      </c>
      <c r="CO20" s="65">
        <f>CN$34/CM20</f>
        <v>127.44108</v>
      </c>
      <c r="CP20" s="51"/>
      <c r="CQ20" s="51">
        <f t="shared" si="0"/>
        <v>1.1039144889168775</v>
      </c>
      <c r="CR20" s="51">
        <f t="shared" si="1"/>
        <v>128.09260869565213</v>
      </c>
      <c r="CS20" s="51">
        <f t="shared" si="2"/>
        <v>128.09407104347827</v>
      </c>
      <c r="CT20" s="51"/>
      <c r="CU20" s="56"/>
      <c r="CV20" s="56"/>
      <c r="CW20" s="56"/>
      <c r="CX20" s="56"/>
      <c r="CY20" s="86"/>
    </row>
    <row r="21" spans="1:103" ht="15" customHeight="1">
      <c r="A21" s="63">
        <v>10</v>
      </c>
      <c r="B21" s="64" t="s">
        <v>47</v>
      </c>
      <c r="C21" s="95">
        <v>290.6</v>
      </c>
      <c r="D21" s="96">
        <v>41144.17</v>
      </c>
      <c r="E21" s="96">
        <f>D$34*C21</f>
        <v>41143.14800000001</v>
      </c>
      <c r="F21" s="51"/>
      <c r="G21" s="51">
        <v>290</v>
      </c>
      <c r="H21" s="51">
        <v>40998.09</v>
      </c>
      <c r="I21" s="65">
        <f>H$34*G21</f>
        <v>41000.2</v>
      </c>
      <c r="J21" s="51"/>
      <c r="K21" s="51">
        <v>290.5</v>
      </c>
      <c r="L21" s="65">
        <v>40910.32</v>
      </c>
      <c r="M21" s="65">
        <f>L$34*K21</f>
        <v>40911.115000000005</v>
      </c>
      <c r="N21" s="51"/>
      <c r="O21" s="51">
        <v>290.7</v>
      </c>
      <c r="P21" s="65">
        <v>41034.52</v>
      </c>
      <c r="Q21" s="65">
        <f>P$34*O21</f>
        <v>41035.212</v>
      </c>
      <c r="R21" s="51"/>
      <c r="S21" s="51">
        <v>290.5</v>
      </c>
      <c r="T21" s="65">
        <v>41104.29</v>
      </c>
      <c r="U21" s="65">
        <f>T$34*S21</f>
        <v>41102.845</v>
      </c>
      <c r="V21" s="51"/>
      <c r="W21" s="51">
        <v>291.25</v>
      </c>
      <c r="X21" s="65">
        <v>41082.13</v>
      </c>
      <c r="Y21" s="65">
        <f>X$34*W21</f>
        <v>41080.8125</v>
      </c>
      <c r="Z21" s="51"/>
      <c r="AA21" s="51">
        <v>289</v>
      </c>
      <c r="AB21" s="65">
        <v>40652.15</v>
      </c>
      <c r="AC21" s="65">
        <f>AB$34*AA21</f>
        <v>40650.74</v>
      </c>
      <c r="AD21" s="51"/>
      <c r="AE21" s="51">
        <v>287.5</v>
      </c>
      <c r="AF21" s="65">
        <v>40478.88</v>
      </c>
      <c r="AG21" s="65">
        <f>AF$34*AE21</f>
        <v>40480</v>
      </c>
      <c r="AH21" s="51"/>
      <c r="AI21" s="51">
        <v>280.5</v>
      </c>
      <c r="AJ21" s="65">
        <v>39684.88</v>
      </c>
      <c r="AK21" s="65">
        <f>AJ$34*AI21</f>
        <v>39685.14</v>
      </c>
      <c r="AL21" s="51"/>
      <c r="AM21" s="51">
        <v>282</v>
      </c>
      <c r="AN21" s="65">
        <v>39865.32</v>
      </c>
      <c r="AO21" s="65">
        <f>AN$34*AM21</f>
        <v>39866.340000000004</v>
      </c>
      <c r="AP21" s="51"/>
      <c r="AQ21" s="51">
        <v>284.5</v>
      </c>
      <c r="AR21" s="65">
        <v>40125.52</v>
      </c>
      <c r="AS21" s="65">
        <f>AR$34*AQ21</f>
        <v>40125.88</v>
      </c>
      <c r="AT21" s="51"/>
      <c r="AU21" s="51">
        <v>281.7</v>
      </c>
      <c r="AV21" s="65">
        <v>39755.91</v>
      </c>
      <c r="AW21" s="65">
        <f>AV$34*AU21</f>
        <v>39756.320999999996</v>
      </c>
      <c r="AX21" s="51"/>
      <c r="AY21" s="51">
        <v>282.1</v>
      </c>
      <c r="AZ21" s="65">
        <v>39886.44</v>
      </c>
      <c r="BA21" s="65">
        <f>AZ$34*AY21</f>
        <v>39886.119</v>
      </c>
      <c r="BB21" s="51"/>
      <c r="BC21" s="51">
        <v>279.4</v>
      </c>
      <c r="BD21" s="65">
        <v>39561.53</v>
      </c>
      <c r="BE21" s="65">
        <f>BD$34*BC21</f>
        <v>39560.246</v>
      </c>
      <c r="BF21" s="51"/>
      <c r="BG21" s="51">
        <v>278.25</v>
      </c>
      <c r="BH21" s="65">
        <v>39433.48</v>
      </c>
      <c r="BI21" s="65">
        <f>BH$34*BG21</f>
        <v>39433.59</v>
      </c>
      <c r="BJ21" s="51"/>
      <c r="BK21" s="51">
        <v>278.15</v>
      </c>
      <c r="BL21" s="65">
        <v>39582.22</v>
      </c>
      <c r="BM21" s="65">
        <f>BL$34*BK21</f>
        <v>39583.5265</v>
      </c>
      <c r="BN21" s="51"/>
      <c r="BO21" s="51">
        <v>275.7</v>
      </c>
      <c r="BP21" s="65">
        <v>39219.84</v>
      </c>
      <c r="BQ21" s="65">
        <f>BP$34*BO21</f>
        <v>39221.081999999995</v>
      </c>
      <c r="BR21" s="51"/>
      <c r="BS21" s="51">
        <v>275.5</v>
      </c>
      <c r="BT21" s="65">
        <v>39179.75</v>
      </c>
      <c r="BU21" s="65">
        <f>BT$34*BS21</f>
        <v>39178.855</v>
      </c>
      <c r="BV21" s="51"/>
      <c r="BW21" s="51">
        <v>275.5</v>
      </c>
      <c r="BX21" s="65">
        <v>39069.42</v>
      </c>
      <c r="BY21" s="65">
        <f>BX$34*BW21</f>
        <v>39068.655</v>
      </c>
      <c r="BZ21" s="51"/>
      <c r="CA21" s="51">
        <v>276.5</v>
      </c>
      <c r="CB21" s="65">
        <v>39115.1</v>
      </c>
      <c r="CC21" s="65">
        <f>CB$34*CA21</f>
        <v>39116.455</v>
      </c>
      <c r="CD21" s="51"/>
      <c r="CE21" s="51">
        <v>277.6</v>
      </c>
      <c r="CF21" s="65">
        <v>39326.42</v>
      </c>
      <c r="CG21" s="65">
        <f>CF$34*CE21</f>
        <v>39327.592</v>
      </c>
      <c r="CH21" s="51"/>
      <c r="CI21" s="51">
        <v>280</v>
      </c>
      <c r="CJ21" s="65">
        <v>39420.59</v>
      </c>
      <c r="CK21" s="65">
        <f>CJ$34*CI21</f>
        <v>39421.2</v>
      </c>
      <c r="CL21" s="51"/>
      <c r="CM21" s="51">
        <v>280.5</v>
      </c>
      <c r="CN21" s="65">
        <v>39507.69</v>
      </c>
      <c r="CO21" s="65">
        <f>CN$34*CM21</f>
        <v>39508.424999999996</v>
      </c>
      <c r="CP21" s="51"/>
      <c r="CQ21" s="51">
        <f t="shared" si="0"/>
        <v>282.954347826087</v>
      </c>
      <c r="CR21" s="51">
        <f t="shared" si="1"/>
        <v>40006.02869565218</v>
      </c>
      <c r="CS21" s="51">
        <f t="shared" si="2"/>
        <v>40006.23908695652</v>
      </c>
      <c r="CT21" s="51"/>
      <c r="CU21" s="56"/>
      <c r="CV21" s="56"/>
      <c r="CW21" s="56"/>
      <c r="CX21" s="56"/>
      <c r="CY21" s="86"/>
    </row>
    <row r="22" spans="1:103" ht="15" customHeight="1">
      <c r="A22" s="63">
        <v>11</v>
      </c>
      <c r="B22" s="70" t="s">
        <v>48</v>
      </c>
      <c r="C22" s="95">
        <v>4.62</v>
      </c>
      <c r="D22" s="96">
        <v>654.12</v>
      </c>
      <c r="E22" s="96">
        <f>D$34*C22</f>
        <v>654.0996000000001</v>
      </c>
      <c r="F22" s="51"/>
      <c r="G22" s="51">
        <v>4.61</v>
      </c>
      <c r="H22" s="51">
        <v>651.73</v>
      </c>
      <c r="I22" s="65">
        <f>H$34*G22</f>
        <v>651.7618</v>
      </c>
      <c r="J22" s="51"/>
      <c r="K22" s="51">
        <v>4.63</v>
      </c>
      <c r="L22" s="65">
        <v>652.03</v>
      </c>
      <c r="M22" s="65">
        <f>L$34*K22</f>
        <v>652.0429</v>
      </c>
      <c r="N22" s="51"/>
      <c r="O22" s="51">
        <v>4.62</v>
      </c>
      <c r="P22" s="65">
        <v>652.15</v>
      </c>
      <c r="Q22" s="65">
        <f>P$34*O22</f>
        <v>652.1592</v>
      </c>
      <c r="R22" s="51"/>
      <c r="S22" s="51">
        <v>4.63</v>
      </c>
      <c r="T22" s="65">
        <v>655.12</v>
      </c>
      <c r="U22" s="65">
        <f>T$34*S22</f>
        <v>655.0987</v>
      </c>
      <c r="V22" s="51"/>
      <c r="W22" s="51">
        <v>4.63</v>
      </c>
      <c r="X22" s="65">
        <v>653.08</v>
      </c>
      <c r="Y22" s="65">
        <f>X$34*W22</f>
        <v>653.0615</v>
      </c>
      <c r="Z22" s="51"/>
      <c r="AA22" s="51">
        <v>4.55</v>
      </c>
      <c r="AB22" s="65">
        <v>640.03</v>
      </c>
      <c r="AC22" s="65">
        <f>AB$34*AA22</f>
        <v>640.0029999999999</v>
      </c>
      <c r="AD22" s="51"/>
      <c r="AE22" s="51">
        <v>4.47</v>
      </c>
      <c r="AF22" s="65">
        <v>629.36</v>
      </c>
      <c r="AG22" s="65">
        <f>AF$34*AE22</f>
        <v>629.376</v>
      </c>
      <c r="AH22" s="51"/>
      <c r="AI22" s="51">
        <v>4.39</v>
      </c>
      <c r="AJ22" s="65">
        <v>621.09</v>
      </c>
      <c r="AK22" s="65">
        <f>AJ$34*AI22</f>
        <v>621.0971999999999</v>
      </c>
      <c r="AL22" s="51"/>
      <c r="AM22" s="51">
        <v>4.42</v>
      </c>
      <c r="AN22" s="65">
        <v>624.84</v>
      </c>
      <c r="AO22" s="65">
        <f>AN$34*AM22</f>
        <v>624.8554</v>
      </c>
      <c r="AP22" s="51"/>
      <c r="AQ22" s="51">
        <v>4.43</v>
      </c>
      <c r="AR22" s="65">
        <v>624.8</v>
      </c>
      <c r="AS22" s="65">
        <f>AR$34*AQ22</f>
        <v>624.8072</v>
      </c>
      <c r="AT22" s="51"/>
      <c r="AU22" s="51">
        <v>4.35</v>
      </c>
      <c r="AV22" s="65">
        <v>613.91</v>
      </c>
      <c r="AW22" s="65">
        <f>AV$34*AU22</f>
        <v>613.9155</v>
      </c>
      <c r="AX22" s="51"/>
      <c r="AY22" s="51">
        <v>4.37</v>
      </c>
      <c r="AZ22" s="65">
        <v>617.88</v>
      </c>
      <c r="BA22" s="65">
        <f>AZ$34*AY22</f>
        <v>617.8743</v>
      </c>
      <c r="BB22" s="51"/>
      <c r="BC22" s="51">
        <v>4.28</v>
      </c>
      <c r="BD22" s="65">
        <v>606.02</v>
      </c>
      <c r="BE22" s="65">
        <f>BD$34*BC22</f>
        <v>606.0052000000001</v>
      </c>
      <c r="BF22" s="51"/>
      <c r="BG22" s="51">
        <v>4.25</v>
      </c>
      <c r="BH22" s="65">
        <v>602.31</v>
      </c>
      <c r="BI22" s="65">
        <f>BH$34*BG22</f>
        <v>602.31</v>
      </c>
      <c r="BJ22" s="51"/>
      <c r="BK22" s="51">
        <v>4.25</v>
      </c>
      <c r="BL22" s="65">
        <v>604.8</v>
      </c>
      <c r="BM22" s="65">
        <f>BL$34*BK22</f>
        <v>604.8175</v>
      </c>
      <c r="BN22" s="51"/>
      <c r="BO22" s="51">
        <v>4.23</v>
      </c>
      <c r="BP22" s="65">
        <v>601.74</v>
      </c>
      <c r="BQ22" s="65">
        <f>BP$34*BO22</f>
        <v>601.7598</v>
      </c>
      <c r="BR22" s="51"/>
      <c r="BS22" s="51">
        <v>4.23</v>
      </c>
      <c r="BT22" s="65">
        <v>601.56</v>
      </c>
      <c r="BU22" s="65">
        <f>BT$34*BS22</f>
        <v>601.5483</v>
      </c>
      <c r="BV22" s="51"/>
      <c r="BW22" s="51">
        <v>4.19</v>
      </c>
      <c r="BX22" s="65">
        <v>594.2</v>
      </c>
      <c r="BY22" s="65">
        <f>BX$34*BW22</f>
        <v>594.1839000000001</v>
      </c>
      <c r="BZ22" s="51"/>
      <c r="CA22" s="51">
        <v>4.21</v>
      </c>
      <c r="CB22" s="65">
        <v>595.57</v>
      </c>
      <c r="CC22" s="65">
        <f>CB$34*CA22</f>
        <v>595.5887</v>
      </c>
      <c r="CD22" s="51"/>
      <c r="CE22" s="51">
        <v>4.23</v>
      </c>
      <c r="CF22" s="65">
        <v>599.25</v>
      </c>
      <c r="CG22" s="65">
        <f>CF$34*CE22</f>
        <v>599.2641</v>
      </c>
      <c r="CH22" s="51"/>
      <c r="CI22" s="51">
        <v>4.25</v>
      </c>
      <c r="CJ22" s="65">
        <v>598.35</v>
      </c>
      <c r="CK22" s="65">
        <f>CJ$34*CI22</f>
        <v>598.3575</v>
      </c>
      <c r="CL22" s="51"/>
      <c r="CM22" s="51">
        <v>4.23</v>
      </c>
      <c r="CN22" s="65">
        <v>600.01</v>
      </c>
      <c r="CO22" s="65">
        <f>CN$34*CM22</f>
        <v>595.7955000000001</v>
      </c>
      <c r="CP22" s="51"/>
      <c r="CQ22" s="51">
        <f t="shared" si="0"/>
        <v>4.394347826086957</v>
      </c>
      <c r="CR22" s="51">
        <f t="shared" si="1"/>
        <v>621.4760869565217</v>
      </c>
      <c r="CS22" s="51">
        <f t="shared" si="2"/>
        <v>621.2949043478261</v>
      </c>
      <c r="CT22" s="51"/>
      <c r="CU22" s="56"/>
      <c r="CV22" s="56"/>
      <c r="CW22" s="56"/>
      <c r="CX22" s="56"/>
      <c r="CY22" s="86"/>
    </row>
    <row r="23" spans="1:103" ht="15" customHeight="1">
      <c r="A23" s="63">
        <v>12</v>
      </c>
      <c r="B23" s="64" t="s">
        <v>49</v>
      </c>
      <c r="C23" s="95">
        <f>1/0.4921</f>
        <v>2.03210729526519</v>
      </c>
      <c r="D23" s="96">
        <v>69.67</v>
      </c>
      <c r="E23" s="96">
        <f>D$34/C23</f>
        <v>69.671518</v>
      </c>
      <c r="F23" s="51"/>
      <c r="G23" s="51">
        <f>1/0.494</f>
        <v>2.0242914979757085</v>
      </c>
      <c r="H23" s="51">
        <v>69.84</v>
      </c>
      <c r="I23" s="65">
        <f>H$34/G23</f>
        <v>69.84172</v>
      </c>
      <c r="J23" s="51"/>
      <c r="K23" s="51">
        <f>1/0.4977</f>
        <v>2.00924251557163</v>
      </c>
      <c r="L23" s="65">
        <v>70.09</v>
      </c>
      <c r="M23" s="65">
        <f>L$34/K23</f>
        <v>70.09109099999999</v>
      </c>
      <c r="N23" s="51"/>
      <c r="O23" s="51">
        <f>1/0.4979</f>
        <v>2.008435428800964</v>
      </c>
      <c r="P23" s="65">
        <v>70.28</v>
      </c>
      <c r="Q23" s="65">
        <f>P$34/O23</f>
        <v>70.283564</v>
      </c>
      <c r="R23" s="51"/>
      <c r="S23" s="51">
        <f>1/0.506</f>
        <v>1.976284584980237</v>
      </c>
      <c r="T23" s="65">
        <v>71.6</v>
      </c>
      <c r="U23" s="65">
        <f>T$34/S23</f>
        <v>71.59394</v>
      </c>
      <c r="V23" s="51"/>
      <c r="W23" s="51">
        <f>1/0.5069</f>
        <v>1.9727756954034326</v>
      </c>
      <c r="X23" s="65">
        <v>71.5</v>
      </c>
      <c r="Y23" s="65">
        <f>X$34/W23</f>
        <v>71.49824500000001</v>
      </c>
      <c r="Z23" s="51"/>
      <c r="AA23" s="51">
        <f>1/0.5011</f>
        <v>1.9956096587507484</v>
      </c>
      <c r="AB23" s="65">
        <v>70.49</v>
      </c>
      <c r="AC23" s="65">
        <f>AB$34/AA23</f>
        <v>70.484726</v>
      </c>
      <c r="AD23" s="51"/>
      <c r="AE23" s="51">
        <f>1/0.5023</f>
        <v>1.990842126219391</v>
      </c>
      <c r="AF23" s="65">
        <v>70.72</v>
      </c>
      <c r="AG23" s="65">
        <f>AF$34/AE23</f>
        <v>70.72384</v>
      </c>
      <c r="AH23" s="51"/>
      <c r="AI23" s="51">
        <f>1/0.4982</f>
        <v>2.007226013649137</v>
      </c>
      <c r="AJ23" s="65">
        <v>70.48</v>
      </c>
      <c r="AK23" s="65">
        <f>AJ$34/AI23</f>
        <v>70.48533599999999</v>
      </c>
      <c r="AL23" s="51"/>
      <c r="AM23" s="51">
        <f>1/0.5001</f>
        <v>1.9996000799840032</v>
      </c>
      <c r="AN23" s="65">
        <v>70.7</v>
      </c>
      <c r="AO23" s="65">
        <f>AN$34/AM23</f>
        <v>70.69913700000001</v>
      </c>
      <c r="AP23" s="51"/>
      <c r="AQ23" s="51">
        <f>1/0.5145</f>
        <v>1.9436345966958213</v>
      </c>
      <c r="AR23" s="65">
        <v>72.56</v>
      </c>
      <c r="AS23" s="65">
        <f>AR$34/AQ23</f>
        <v>72.56508</v>
      </c>
      <c r="AT23" s="51"/>
      <c r="AU23" s="51">
        <f>1/0.5126</f>
        <v>1.9508388607101055</v>
      </c>
      <c r="AV23" s="65">
        <v>72.34</v>
      </c>
      <c r="AW23" s="65">
        <f>AV$34/AU23</f>
        <v>72.343238</v>
      </c>
      <c r="AX23" s="51"/>
      <c r="AY23" s="51">
        <f>1/0.5134</f>
        <v>1.9477989871445267</v>
      </c>
      <c r="AZ23" s="65">
        <v>72.59</v>
      </c>
      <c r="BA23" s="65">
        <f>AZ$34/AY23</f>
        <v>72.589626</v>
      </c>
      <c r="BB23" s="51"/>
      <c r="BC23" s="51">
        <f>1/0.5089</f>
        <v>1.965022597759874</v>
      </c>
      <c r="BD23" s="65">
        <v>72.06</v>
      </c>
      <c r="BE23" s="65">
        <f>BD$34/BC23</f>
        <v>72.05515100000001</v>
      </c>
      <c r="BF23" s="51"/>
      <c r="BG23" s="51">
        <f>1/0.5052</f>
        <v>1.9794140934283453</v>
      </c>
      <c r="BH23" s="65">
        <v>71.6</v>
      </c>
      <c r="BI23" s="65">
        <f>BH$34/BG23</f>
        <v>71.596944</v>
      </c>
      <c r="BJ23" s="51"/>
      <c r="BK23" s="51">
        <f>1/0.5073</f>
        <v>1.9712201852946976</v>
      </c>
      <c r="BL23" s="65">
        <v>72.19</v>
      </c>
      <c r="BM23" s="65">
        <f>BL$34/BK23</f>
        <v>72.193863</v>
      </c>
      <c r="BN23" s="51"/>
      <c r="BO23" s="51">
        <f>1/0.509</f>
        <v>1.9646365422396856</v>
      </c>
      <c r="BP23" s="65">
        <v>72.41</v>
      </c>
      <c r="BQ23" s="65">
        <f>BP$34/BO23</f>
        <v>72.41033999999999</v>
      </c>
      <c r="BR23" s="51"/>
      <c r="BS23" s="51">
        <f>1/0.5081</f>
        <v>1.96811651249754</v>
      </c>
      <c r="BT23" s="65">
        <v>72.26</v>
      </c>
      <c r="BU23" s="65">
        <f>BT$34/BS23</f>
        <v>72.256901</v>
      </c>
      <c r="BV23" s="51"/>
      <c r="BW23" s="51">
        <f>1/0.5063</f>
        <v>1.9751135690302193</v>
      </c>
      <c r="BX23" s="65">
        <v>71.8</v>
      </c>
      <c r="BY23" s="65">
        <f>BX$34/BW23</f>
        <v>71.798403</v>
      </c>
      <c r="BZ23" s="51"/>
      <c r="CA23" s="51">
        <f>1/0.5014</f>
        <v>1.994415636218588</v>
      </c>
      <c r="CB23" s="65">
        <v>70.93</v>
      </c>
      <c r="CC23" s="65">
        <f>CB$34/CA23</f>
        <v>70.93305799999999</v>
      </c>
      <c r="CD23" s="51"/>
      <c r="CE23" s="51">
        <f>1/0.504</f>
        <v>1.9841269841269842</v>
      </c>
      <c r="CF23" s="65">
        <v>71.4</v>
      </c>
      <c r="CG23" s="65">
        <f>CF$34/CE23</f>
        <v>71.40167999999998</v>
      </c>
      <c r="CH23" s="51"/>
      <c r="CI23" s="51">
        <f>1/0.5074</f>
        <v>1.970831690973591</v>
      </c>
      <c r="CJ23" s="65">
        <v>71.44</v>
      </c>
      <c r="CK23" s="65">
        <f>CJ$34/CI23</f>
        <v>71.43684599999999</v>
      </c>
      <c r="CL23" s="51"/>
      <c r="CM23" s="51">
        <f>1/0.5048</f>
        <v>1.9809825673534072</v>
      </c>
      <c r="CN23" s="65">
        <v>71.1</v>
      </c>
      <c r="CO23" s="65">
        <f>CN$34/CM23</f>
        <v>71.10108</v>
      </c>
      <c r="CP23" s="51"/>
      <c r="CQ23" s="51">
        <f t="shared" si="0"/>
        <v>1.9831551182640796</v>
      </c>
      <c r="CR23" s="51">
        <f t="shared" si="1"/>
        <v>71.30652173913045</v>
      </c>
      <c r="CS23" s="51">
        <f t="shared" si="2"/>
        <v>71.30675334782607</v>
      </c>
      <c r="CT23" s="51"/>
      <c r="CU23" s="56"/>
      <c r="CV23" s="56"/>
      <c r="CW23" s="56"/>
      <c r="CX23" s="56"/>
      <c r="CY23" s="86"/>
    </row>
    <row r="24" spans="1:103" ht="15" customHeight="1">
      <c r="A24" s="63">
        <v>13</v>
      </c>
      <c r="B24" s="64" t="s">
        <v>50</v>
      </c>
      <c r="C24" s="95">
        <v>1.5774</v>
      </c>
      <c r="D24" s="96">
        <v>89.76</v>
      </c>
      <c r="E24" s="96">
        <f>D$34/C24</f>
        <v>89.75529352098391</v>
      </c>
      <c r="F24" s="51"/>
      <c r="G24" s="51">
        <v>1.5686</v>
      </c>
      <c r="H24" s="51">
        <v>90.13</v>
      </c>
      <c r="I24" s="65">
        <f>H$34/G24</f>
        <v>90.13132729822772</v>
      </c>
      <c r="J24" s="51"/>
      <c r="K24" s="51">
        <v>1.5662</v>
      </c>
      <c r="L24" s="65">
        <v>89.92</v>
      </c>
      <c r="M24" s="65">
        <f>L$34/K24</f>
        <v>89.91827352828503</v>
      </c>
      <c r="N24" s="51"/>
      <c r="O24" s="51">
        <v>1.5654</v>
      </c>
      <c r="P24" s="65">
        <v>90.17</v>
      </c>
      <c r="Q24" s="65">
        <f>P$34/O24</f>
        <v>90.17503513478984</v>
      </c>
      <c r="R24" s="51"/>
      <c r="S24" s="51">
        <v>1.5621</v>
      </c>
      <c r="T24" s="65">
        <v>90.58</v>
      </c>
      <c r="U24" s="65">
        <f>T$34/S24</f>
        <v>90.57678765764035</v>
      </c>
      <c r="V24" s="51"/>
      <c r="W24" s="51">
        <v>1.5612</v>
      </c>
      <c r="X24" s="65">
        <v>90.35</v>
      </c>
      <c r="Y24" s="65">
        <f>X$34/W24</f>
        <v>90.34716884447862</v>
      </c>
      <c r="Z24" s="51"/>
      <c r="AA24" s="51">
        <v>1.5611</v>
      </c>
      <c r="AB24" s="65">
        <v>90.11</v>
      </c>
      <c r="AC24" s="65">
        <f>AB$34/AA24</f>
        <v>90.10313240663635</v>
      </c>
      <c r="AD24" s="51"/>
      <c r="AE24" s="51">
        <v>1.5639</v>
      </c>
      <c r="AF24" s="65">
        <v>90.03</v>
      </c>
      <c r="AG24" s="65">
        <f>AF$34/AE24</f>
        <v>90.03133192659378</v>
      </c>
      <c r="AH24" s="51"/>
      <c r="AI24" s="51">
        <v>1.566</v>
      </c>
      <c r="AJ24" s="65">
        <v>90.34</v>
      </c>
      <c r="AK24" s="65">
        <f>AJ$34/AI24</f>
        <v>90.34482758620689</v>
      </c>
      <c r="AL24" s="51"/>
      <c r="AM24" s="51">
        <v>1.5655</v>
      </c>
      <c r="AN24" s="65">
        <v>90.3</v>
      </c>
      <c r="AO24" s="65">
        <f>AN$34/AM24</f>
        <v>90.30341743851805</v>
      </c>
      <c r="AP24" s="51"/>
      <c r="AQ24" s="51">
        <v>1.5605</v>
      </c>
      <c r="AR24" s="65">
        <v>90.38</v>
      </c>
      <c r="AS24" s="65">
        <f>AR$34/AQ24</f>
        <v>90.38128804870233</v>
      </c>
      <c r="AT24" s="51"/>
      <c r="AU24" s="51">
        <v>1.5615</v>
      </c>
      <c r="AV24" s="65">
        <v>90.38</v>
      </c>
      <c r="AW24" s="65">
        <f>AV$34/AU24</f>
        <v>90.38104386807557</v>
      </c>
      <c r="AX24" s="51"/>
      <c r="AY24" s="51">
        <v>1.5664</v>
      </c>
      <c r="AZ24" s="65">
        <v>90.27</v>
      </c>
      <c r="BA24" s="65">
        <f>AZ$34/AY24</f>
        <v>90.26430030643513</v>
      </c>
      <c r="BB24" s="51"/>
      <c r="BC24" s="51">
        <v>1.5759</v>
      </c>
      <c r="BD24" s="65">
        <v>89.85</v>
      </c>
      <c r="BE24" s="65">
        <f>BD$34/BC24</f>
        <v>89.84707151469001</v>
      </c>
      <c r="BF24" s="51"/>
      <c r="BG24" s="51">
        <v>1.5771</v>
      </c>
      <c r="BH24" s="65">
        <v>89.86</v>
      </c>
      <c r="BI24" s="65">
        <f>BH$34/BG24</f>
        <v>89.86113753091117</v>
      </c>
      <c r="BJ24" s="51"/>
      <c r="BK24" s="51">
        <v>1.576</v>
      </c>
      <c r="BL24" s="65">
        <v>90.3</v>
      </c>
      <c r="BM24" s="65">
        <f>BL$34/BK24</f>
        <v>90.2982233502538</v>
      </c>
      <c r="BN24" s="51"/>
      <c r="BO24" s="51">
        <v>1.5713</v>
      </c>
      <c r="BP24" s="65">
        <v>90.53</v>
      </c>
      <c r="BQ24" s="65">
        <f>BP$34/BO24</f>
        <v>90.53649844078151</v>
      </c>
      <c r="BR24" s="51"/>
      <c r="BS24" s="51">
        <v>1.5755</v>
      </c>
      <c r="BT24" s="65">
        <v>90.27</v>
      </c>
      <c r="BU24" s="65">
        <f>BT$34/BS24</f>
        <v>90.26340844176453</v>
      </c>
      <c r="BV24" s="51"/>
      <c r="BW24" s="51">
        <v>1.575</v>
      </c>
      <c r="BX24" s="65">
        <v>90.04</v>
      </c>
      <c r="BY24" s="65">
        <f>BX$34/BW24</f>
        <v>90.03809523809524</v>
      </c>
      <c r="BZ24" s="51"/>
      <c r="CA24" s="51">
        <v>1.5748</v>
      </c>
      <c r="CB24" s="65">
        <v>89.83</v>
      </c>
      <c r="CC24" s="65">
        <f>CB$34/CA24</f>
        <v>89.83362966725933</v>
      </c>
      <c r="CD24" s="51"/>
      <c r="CE24" s="51">
        <v>1.5765</v>
      </c>
      <c r="CF24" s="65">
        <v>89.86</v>
      </c>
      <c r="CG24" s="65">
        <f>CF$34/CE24</f>
        <v>89.86362194735172</v>
      </c>
      <c r="CH24" s="51"/>
      <c r="CI24" s="51">
        <v>1.5755</v>
      </c>
      <c r="CJ24" s="65">
        <v>89.36</v>
      </c>
      <c r="CK24" s="65">
        <f>CJ$34/CI24</f>
        <v>89.36210726753411</v>
      </c>
      <c r="CL24" s="51"/>
      <c r="CM24" s="51">
        <v>1.5785</v>
      </c>
      <c r="CN24" s="65">
        <v>89.23</v>
      </c>
      <c r="CO24" s="65">
        <f>CN$34/CM24</f>
        <v>89.23028191320874</v>
      </c>
      <c r="CP24" s="51"/>
      <c r="CQ24" s="51">
        <f t="shared" si="0"/>
        <v>1.5696478260869566</v>
      </c>
      <c r="CR24" s="51">
        <f t="shared" si="1"/>
        <v>90.08043478260865</v>
      </c>
      <c r="CS24" s="51">
        <f t="shared" si="2"/>
        <v>90.08031751640974</v>
      </c>
      <c r="CT24" s="51"/>
      <c r="CU24" s="56"/>
      <c r="CV24" s="56"/>
      <c r="CW24" s="56"/>
      <c r="CX24" s="56"/>
      <c r="CY24" s="86"/>
    </row>
    <row r="25" spans="1:103" ht="15" customHeight="1">
      <c r="A25" s="63">
        <v>14</v>
      </c>
      <c r="B25" s="64" t="s">
        <v>51</v>
      </c>
      <c r="C25" s="95">
        <v>15.0254</v>
      </c>
      <c r="D25" s="96">
        <v>9.42</v>
      </c>
      <c r="E25" s="96">
        <f>D$34/C25</f>
        <v>9.422710876249552</v>
      </c>
      <c r="F25" s="51"/>
      <c r="G25" s="51">
        <v>15.0222</v>
      </c>
      <c r="H25" s="51">
        <v>9.41</v>
      </c>
      <c r="I25" s="65">
        <f>H$34/G25</f>
        <v>9.411404454740318</v>
      </c>
      <c r="J25" s="51"/>
      <c r="K25" s="51">
        <v>14.9894</v>
      </c>
      <c r="L25" s="65">
        <v>9.4</v>
      </c>
      <c r="M25" s="65">
        <f>L$34/K25</f>
        <v>9.395306016251485</v>
      </c>
      <c r="N25" s="51"/>
      <c r="O25" s="51">
        <v>15.0484</v>
      </c>
      <c r="P25" s="65">
        <v>9.38</v>
      </c>
      <c r="Q25" s="65">
        <f>P$34/O25</f>
        <v>9.380399245102469</v>
      </c>
      <c r="R25" s="51"/>
      <c r="S25" s="51">
        <v>15.0107</v>
      </c>
      <c r="T25" s="65">
        <v>9.43</v>
      </c>
      <c r="U25" s="65">
        <f>T$34/S25</f>
        <v>9.425942827449752</v>
      </c>
      <c r="V25" s="51"/>
      <c r="W25" s="51">
        <v>14.9796</v>
      </c>
      <c r="X25" s="65">
        <v>9.42</v>
      </c>
      <c r="Y25" s="65">
        <f>X$34/W25</f>
        <v>9.416139282757886</v>
      </c>
      <c r="Z25" s="51"/>
      <c r="AA25" s="51">
        <v>14.965</v>
      </c>
      <c r="AB25" s="65">
        <v>9.4</v>
      </c>
      <c r="AC25" s="65">
        <f>AB$34/AA25</f>
        <v>9.399264951553626</v>
      </c>
      <c r="AD25" s="51"/>
      <c r="AE25" s="51">
        <v>15.055</v>
      </c>
      <c r="AF25" s="65">
        <v>9.35</v>
      </c>
      <c r="AG25" s="65">
        <f>AF$34/AE25</f>
        <v>9.352374626369977</v>
      </c>
      <c r="AH25" s="51"/>
      <c r="AI25" s="51">
        <v>15.2638</v>
      </c>
      <c r="AJ25" s="65">
        <v>9.27</v>
      </c>
      <c r="AK25" s="65">
        <f>AJ$34/AI25</f>
        <v>9.268989373550491</v>
      </c>
      <c r="AL25" s="51"/>
      <c r="AM25" s="51">
        <v>15.1913</v>
      </c>
      <c r="AN25" s="65">
        <v>9.31</v>
      </c>
      <c r="AO25" s="65">
        <f>AN$34/AM25</f>
        <v>9.305984346303477</v>
      </c>
      <c r="AP25" s="51"/>
      <c r="AQ25" s="51">
        <v>15.103</v>
      </c>
      <c r="AR25" s="65">
        <v>9.34</v>
      </c>
      <c r="AS25" s="65">
        <f>AR$34/AQ25</f>
        <v>9.33854201152089</v>
      </c>
      <c r="AT25" s="51"/>
      <c r="AU25" s="51">
        <v>15.1595</v>
      </c>
      <c r="AV25" s="65">
        <v>9.31</v>
      </c>
      <c r="AW25" s="65">
        <f>AV$34/AU25</f>
        <v>9.309673801906396</v>
      </c>
      <c r="AX25" s="51"/>
      <c r="AY25" s="51">
        <v>15.188</v>
      </c>
      <c r="AZ25" s="65">
        <v>9.31</v>
      </c>
      <c r="BA25" s="65">
        <f>AZ$34/AY25</f>
        <v>9.309323149855148</v>
      </c>
      <c r="BB25" s="51"/>
      <c r="BC25" s="51">
        <v>15.2452</v>
      </c>
      <c r="BD25" s="65">
        <v>9.29</v>
      </c>
      <c r="BE25" s="65">
        <f>BD$34/BC25</f>
        <v>9.287513446855403</v>
      </c>
      <c r="BF25" s="51"/>
      <c r="BG25" s="51">
        <v>15.3199</v>
      </c>
      <c r="BH25" s="65">
        <v>9.25</v>
      </c>
      <c r="BI25" s="65">
        <f>BH$34/BG25</f>
        <v>9.250713124759299</v>
      </c>
      <c r="BJ25" s="51"/>
      <c r="BK25" s="51">
        <v>15.3318</v>
      </c>
      <c r="BL25" s="65">
        <v>9.28</v>
      </c>
      <c r="BM25" s="65">
        <f>BL$34/BK25</f>
        <v>9.282015158037543</v>
      </c>
      <c r="BN25" s="51"/>
      <c r="BO25" s="51">
        <v>15.4454</v>
      </c>
      <c r="BP25" s="65">
        <v>9.21</v>
      </c>
      <c r="BQ25" s="65">
        <f>BP$34/BO25</f>
        <v>9.210509277843242</v>
      </c>
      <c r="BR25" s="51"/>
      <c r="BS25" s="51">
        <v>15.435</v>
      </c>
      <c r="BT25" s="65">
        <v>9.21</v>
      </c>
      <c r="BU25" s="65">
        <f>BT$34/BS25</f>
        <v>9.213475866537092</v>
      </c>
      <c r="BV25" s="51"/>
      <c r="BW25" s="51">
        <v>15.4281</v>
      </c>
      <c r="BX25" s="65">
        <v>9.19</v>
      </c>
      <c r="BY25" s="65">
        <f>BX$34/BW25</f>
        <v>9.191669745464445</v>
      </c>
      <c r="BZ25" s="51"/>
      <c r="CA25" s="51">
        <v>15.4367</v>
      </c>
      <c r="CB25" s="65">
        <v>9.16</v>
      </c>
      <c r="CC25" s="65">
        <f>CB$34/CA25</f>
        <v>9.164523505671548</v>
      </c>
      <c r="CD25" s="51"/>
      <c r="CE25" s="51">
        <v>15.3199</v>
      </c>
      <c r="CF25" s="65">
        <v>9.25</v>
      </c>
      <c r="CG25" s="65">
        <f>CF$34/CE25</f>
        <v>9.247449395883784</v>
      </c>
      <c r="CH25" s="51"/>
      <c r="CI25" s="51">
        <v>15.2031</v>
      </c>
      <c r="CJ25" s="65">
        <v>9.26</v>
      </c>
      <c r="CK25" s="65">
        <f>CJ$34/CI25</f>
        <v>9.260611322690767</v>
      </c>
      <c r="CL25" s="51"/>
      <c r="CM25" s="51">
        <v>15.2081</v>
      </c>
      <c r="CN25" s="65">
        <v>9.26</v>
      </c>
      <c r="CO25" s="65">
        <f>CN$34/CM25</f>
        <v>9.26151195744373</v>
      </c>
      <c r="CP25" s="51"/>
      <c r="CQ25" s="51">
        <f t="shared" si="0"/>
        <v>15.190195652173916</v>
      </c>
      <c r="CR25" s="51">
        <f t="shared" si="1"/>
        <v>9.309130434782608</v>
      </c>
      <c r="CS25" s="51">
        <f t="shared" si="2"/>
        <v>9.308958598469495</v>
      </c>
      <c r="CT25" s="51"/>
      <c r="CU25" s="56"/>
      <c r="CV25" s="56"/>
      <c r="CW25" s="56"/>
      <c r="CX25" s="56"/>
      <c r="CY25" s="86"/>
    </row>
    <row r="26" spans="1:103" ht="15" customHeight="1">
      <c r="A26" s="63">
        <v>15</v>
      </c>
      <c r="B26" s="64" t="s">
        <v>64</v>
      </c>
      <c r="C26" s="95">
        <v>181.6838</v>
      </c>
      <c r="D26" s="96">
        <v>77.93</v>
      </c>
      <c r="E26" s="96">
        <f>D$34/C26*100</f>
        <v>77.92659554676862</v>
      </c>
      <c r="F26" s="51"/>
      <c r="G26" s="51">
        <v>181.6441</v>
      </c>
      <c r="H26" s="96">
        <v>77.83</v>
      </c>
      <c r="I26" s="96">
        <f>H$34/G26*100</f>
        <v>77.83352170535679</v>
      </c>
      <c r="J26" s="51"/>
      <c r="K26" s="51">
        <v>181.2484</v>
      </c>
      <c r="L26" s="65">
        <v>77.7</v>
      </c>
      <c r="M26" s="96">
        <f>L$34/K26*100</f>
        <v>77.69999624824275</v>
      </c>
      <c r="N26" s="51"/>
      <c r="O26" s="51">
        <v>181.9619</v>
      </c>
      <c r="P26" s="65">
        <v>77.58</v>
      </c>
      <c r="Q26" s="96">
        <f>P$34/O26*100</f>
        <v>77.5766795136784</v>
      </c>
      <c r="R26" s="51"/>
      <c r="S26" s="51">
        <v>181.5054</v>
      </c>
      <c r="T26" s="65">
        <v>77.96</v>
      </c>
      <c r="U26" s="96">
        <f>T$34/S26*100</f>
        <v>77.95360358424598</v>
      </c>
      <c r="V26" s="51"/>
      <c r="W26" s="51">
        <v>181.13</v>
      </c>
      <c r="X26" s="65">
        <v>77.87</v>
      </c>
      <c r="Y26" s="96">
        <f>X$34/W26*100</f>
        <v>77.87224645282394</v>
      </c>
      <c r="Z26" s="51"/>
      <c r="AA26" s="51">
        <v>180.9527</v>
      </c>
      <c r="AB26" s="65">
        <v>77.74</v>
      </c>
      <c r="AC26" s="96">
        <f>AB$34/AA26*100</f>
        <v>77.73302083914747</v>
      </c>
      <c r="AD26" s="51"/>
      <c r="AE26" s="51">
        <v>182.0416</v>
      </c>
      <c r="AF26" s="71">
        <v>77.34</v>
      </c>
      <c r="AG26" s="96">
        <f>AF$34/AE26*100</f>
        <v>77.34495851497681</v>
      </c>
      <c r="AH26" s="51"/>
      <c r="AI26" s="51">
        <v>184.5657</v>
      </c>
      <c r="AJ26" s="65">
        <v>76.66</v>
      </c>
      <c r="AK26" s="96">
        <f>AJ$34/AI26*100</f>
        <v>76.65562994640932</v>
      </c>
      <c r="AL26" s="51"/>
      <c r="AM26" s="51">
        <v>183.6896</v>
      </c>
      <c r="AN26" s="65">
        <v>76.96</v>
      </c>
      <c r="AO26" s="96">
        <f>AN$34/AM26*100</f>
        <v>76.9613521941362</v>
      </c>
      <c r="AP26" s="51"/>
      <c r="AQ26" s="51">
        <v>182.621</v>
      </c>
      <c r="AR26" s="65">
        <v>77.23</v>
      </c>
      <c r="AS26" s="96">
        <f>AR$34/AQ26*100</f>
        <v>77.23098657876147</v>
      </c>
      <c r="AT26" s="51"/>
      <c r="AU26" s="51">
        <v>183.3051</v>
      </c>
      <c r="AV26" s="65">
        <v>76.99</v>
      </c>
      <c r="AW26" s="96">
        <f>AV$34/AU26*100</f>
        <v>76.99185674593888</v>
      </c>
      <c r="AX26" s="51"/>
      <c r="AY26" s="51">
        <v>183.649</v>
      </c>
      <c r="AZ26" s="65">
        <v>76.99</v>
      </c>
      <c r="BA26" s="96">
        <f>AZ$34/AY26*100</f>
        <v>76.98925667986212</v>
      </c>
      <c r="BB26" s="51"/>
      <c r="BC26" s="51">
        <v>184.3408</v>
      </c>
      <c r="BD26" s="65">
        <v>76.81</v>
      </c>
      <c r="BE26" s="96">
        <f>BD$34/BC26*100</f>
        <v>76.8088236570526</v>
      </c>
      <c r="BF26" s="51"/>
      <c r="BG26" s="51">
        <v>185.2438</v>
      </c>
      <c r="BH26" s="65">
        <v>76.5</v>
      </c>
      <c r="BI26" s="96">
        <f>BH$34/BG26*100</f>
        <v>76.50458476882898</v>
      </c>
      <c r="BJ26" s="51"/>
      <c r="BK26" s="51">
        <v>185.3883</v>
      </c>
      <c r="BL26" s="65">
        <v>76.76</v>
      </c>
      <c r="BM26" s="96">
        <f>BL$34/BK26*100</f>
        <v>76.76320458195043</v>
      </c>
      <c r="BN26" s="51"/>
      <c r="BO26" s="51">
        <v>186.7617</v>
      </c>
      <c r="BP26" s="65">
        <v>76.17</v>
      </c>
      <c r="BQ26" s="96">
        <f>BP$34/BO26*100</f>
        <v>76.17193460971923</v>
      </c>
      <c r="BR26" s="51"/>
      <c r="BS26" s="51">
        <v>186.636</v>
      </c>
      <c r="BT26" s="65">
        <v>76.2</v>
      </c>
      <c r="BU26" s="96">
        <f>BT$34/BS26*100</f>
        <v>76.19644655907757</v>
      </c>
      <c r="BV26" s="51"/>
      <c r="BW26" s="51">
        <v>186.5523</v>
      </c>
      <c r="BX26" s="65">
        <v>76.02</v>
      </c>
      <c r="BY26" s="96">
        <f>BX$34/BW26*100</f>
        <v>76.01621636399015</v>
      </c>
      <c r="BZ26" s="51"/>
      <c r="CA26" s="51">
        <v>186.6569</v>
      </c>
      <c r="CB26" s="65">
        <v>75.79</v>
      </c>
      <c r="CC26" s="96">
        <f>CB$34/CA26*100</f>
        <v>75.79146551774942</v>
      </c>
      <c r="CD26" s="51"/>
      <c r="CE26" s="51">
        <v>185.2438</v>
      </c>
      <c r="CF26" s="65">
        <v>76.48</v>
      </c>
      <c r="CG26" s="96">
        <f>CF$34/CE26*100</f>
        <v>76.47759331216483</v>
      </c>
      <c r="CH26" s="51"/>
      <c r="CI26" s="51">
        <v>183.8316</v>
      </c>
      <c r="CJ26" s="65">
        <v>76.59</v>
      </c>
      <c r="CK26" s="96">
        <f>CJ$34/CI26*100</f>
        <v>76.58639755080192</v>
      </c>
      <c r="CL26" s="51"/>
      <c r="CM26" s="51">
        <v>183.8926</v>
      </c>
      <c r="CN26" s="65">
        <v>76.59</v>
      </c>
      <c r="CO26" s="96">
        <f>CN$34/CM26*100</f>
        <v>76.5936204066939</v>
      </c>
      <c r="CP26" s="51"/>
      <c r="CQ26" s="51">
        <f t="shared" si="0"/>
        <v>183.67591739130432</v>
      </c>
      <c r="CR26" s="51">
        <f t="shared" si="1"/>
        <v>76.98652173913042</v>
      </c>
      <c r="CS26" s="51">
        <f t="shared" si="2"/>
        <v>76.98608660340774</v>
      </c>
      <c r="CT26" s="51"/>
      <c r="CU26" s="56"/>
      <c r="CV26" s="56"/>
      <c r="CW26" s="56"/>
      <c r="CX26" s="56"/>
      <c r="CY26" s="86"/>
    </row>
    <row r="27" spans="1:103" ht="15" customHeight="1">
      <c r="A27" s="63">
        <v>16</v>
      </c>
      <c r="B27" s="64" t="s">
        <v>53</v>
      </c>
      <c r="C27" s="95">
        <v>10.613</v>
      </c>
      <c r="D27" s="96">
        <v>13.34</v>
      </c>
      <c r="E27" s="96">
        <f>D$34/C27</f>
        <v>13.340243098087253</v>
      </c>
      <c r="F27" s="51"/>
      <c r="G27" s="51">
        <v>10.6454</v>
      </c>
      <c r="H27" s="51">
        <v>13.28</v>
      </c>
      <c r="I27" s="65">
        <f>H$34/G27</f>
        <v>13.280853702068498</v>
      </c>
      <c r="J27" s="51"/>
      <c r="K27" s="51">
        <v>10.6362</v>
      </c>
      <c r="L27" s="65">
        <v>13.24</v>
      </c>
      <c r="M27" s="65">
        <f>L$34/K27</f>
        <v>13.240631052443542</v>
      </c>
      <c r="N27" s="51"/>
      <c r="O27" s="51">
        <v>10.6303</v>
      </c>
      <c r="P27" s="65">
        <v>13.28</v>
      </c>
      <c r="Q27" s="65">
        <f>P$34/O27</f>
        <v>13.279023169618918</v>
      </c>
      <c r="R27" s="51"/>
      <c r="S27" s="51">
        <v>10.58</v>
      </c>
      <c r="T27" s="65">
        <v>13.37</v>
      </c>
      <c r="U27" s="65">
        <f>T$34/S27</f>
        <v>13.373345935727789</v>
      </c>
      <c r="V27" s="51"/>
      <c r="W27" s="51">
        <v>10.58</v>
      </c>
      <c r="X27" s="65">
        <v>13.33</v>
      </c>
      <c r="Y27" s="65">
        <f>X$34/W27</f>
        <v>13.331758034026466</v>
      </c>
      <c r="Z27" s="51"/>
      <c r="AA27" s="51">
        <v>10.4899</v>
      </c>
      <c r="AB27" s="65">
        <v>13.41</v>
      </c>
      <c r="AC27" s="65">
        <f>AB$34/AA27</f>
        <v>13.409088742504695</v>
      </c>
      <c r="AD27" s="51"/>
      <c r="AE27" s="51">
        <v>10.545</v>
      </c>
      <c r="AF27" s="65">
        <v>13.35</v>
      </c>
      <c r="AG27" s="65">
        <f>AF$34/AE27</f>
        <v>13.352299668089143</v>
      </c>
      <c r="AH27" s="51"/>
      <c r="AI27" s="51">
        <v>10.5388</v>
      </c>
      <c r="AJ27" s="65">
        <v>13.42</v>
      </c>
      <c r="AK27" s="65">
        <f>AJ$34/AI27</f>
        <v>13.424678331498841</v>
      </c>
      <c r="AL27" s="51"/>
      <c r="AM27" s="51">
        <v>10.4785</v>
      </c>
      <c r="AN27" s="65">
        <v>13.49</v>
      </c>
      <c r="AO27" s="65">
        <f>AN$34/AM27</f>
        <v>13.491434842773298</v>
      </c>
      <c r="AP27" s="51"/>
      <c r="AQ27" s="51">
        <v>10.4518</v>
      </c>
      <c r="AR27" s="65">
        <v>13.49</v>
      </c>
      <c r="AS27" s="65">
        <f>AR$34/AQ27</f>
        <v>13.494326336133488</v>
      </c>
      <c r="AT27" s="51"/>
      <c r="AU27" s="51">
        <v>10.457</v>
      </c>
      <c r="AV27" s="65">
        <v>13.5</v>
      </c>
      <c r="AW27" s="65">
        <f>AV$34/AU27</f>
        <v>13.496222625992157</v>
      </c>
      <c r="AX27" s="51"/>
      <c r="AY27" s="51">
        <v>10.4046</v>
      </c>
      <c r="AZ27" s="65">
        <v>13.59</v>
      </c>
      <c r="BA27" s="65">
        <f>AZ$34/AY27</f>
        <v>13.589181708090651</v>
      </c>
      <c r="BB27" s="51"/>
      <c r="BC27" s="51">
        <v>10.4698</v>
      </c>
      <c r="BD27" s="65">
        <v>13.52</v>
      </c>
      <c r="BE27" s="65">
        <f>BD$34/BC27</f>
        <v>13.523658522607883</v>
      </c>
      <c r="BF27" s="51"/>
      <c r="BG27" s="51">
        <v>10.5183</v>
      </c>
      <c r="BH27" s="65">
        <v>13.47</v>
      </c>
      <c r="BI27" s="65">
        <f>BH$34/BG27</f>
        <v>13.473660192236387</v>
      </c>
      <c r="BJ27" s="51"/>
      <c r="BK27" s="51">
        <v>10.567</v>
      </c>
      <c r="BL27" s="65">
        <v>13.47</v>
      </c>
      <c r="BM27" s="65">
        <f>BL$34/BK27</f>
        <v>13.467398504779029</v>
      </c>
      <c r="BN27" s="51"/>
      <c r="BO27" s="51">
        <v>10.6711</v>
      </c>
      <c r="BP27" s="65">
        <v>13.33</v>
      </c>
      <c r="BQ27" s="65">
        <f>BP$34/BO27</f>
        <v>13.331334164237989</v>
      </c>
      <c r="BR27" s="51"/>
      <c r="BS27" s="51">
        <v>10.6173</v>
      </c>
      <c r="BT27" s="65">
        <v>13.39</v>
      </c>
      <c r="BU27" s="65">
        <f>BT$34/BS27</f>
        <v>13.394177427406214</v>
      </c>
      <c r="BV27" s="51"/>
      <c r="BW27" s="51">
        <v>10.597</v>
      </c>
      <c r="BX27" s="65">
        <v>13.38</v>
      </c>
      <c r="BY27" s="65">
        <f>BX$34/BW27</f>
        <v>13.382089270548269</v>
      </c>
      <c r="BZ27" s="51"/>
      <c r="CA27" s="51">
        <v>10.5929</v>
      </c>
      <c r="CB27" s="65">
        <v>13.35</v>
      </c>
      <c r="CC27" s="65">
        <f>CB$34/CA27</f>
        <v>13.355171860397059</v>
      </c>
      <c r="CD27" s="51"/>
      <c r="CE27" s="51">
        <v>10.5378</v>
      </c>
      <c r="CF27" s="65">
        <v>13.44</v>
      </c>
      <c r="CG27" s="65">
        <f>CF$34/CE27</f>
        <v>13.44398261496707</v>
      </c>
      <c r="CH27" s="51"/>
      <c r="CI27" s="51">
        <v>10.5972</v>
      </c>
      <c r="CJ27" s="65">
        <v>13.29</v>
      </c>
      <c r="CK27" s="65">
        <f>CJ$34/CI27</f>
        <v>13.285584871475482</v>
      </c>
      <c r="CL27" s="51"/>
      <c r="CM27" s="51">
        <v>10.5761</v>
      </c>
      <c r="CN27" s="65">
        <v>13.32</v>
      </c>
      <c r="CO27" s="65">
        <f>CN$34/CM27</f>
        <v>13.317763636879379</v>
      </c>
      <c r="CP27" s="51"/>
      <c r="CQ27" s="51">
        <f t="shared" si="0"/>
        <v>10.556304347826087</v>
      </c>
      <c r="CR27" s="51">
        <f t="shared" si="1"/>
        <v>13.393478260869568</v>
      </c>
      <c r="CS27" s="51">
        <f t="shared" si="2"/>
        <v>13.39469166576476</v>
      </c>
      <c r="CT27" s="51"/>
      <c r="CU27" s="56"/>
      <c r="CV27" s="56"/>
      <c r="CW27" s="56"/>
      <c r="CX27" s="56"/>
      <c r="CY27" s="86"/>
    </row>
    <row r="28" spans="1:103" ht="15" customHeight="1">
      <c r="A28" s="63">
        <v>17</v>
      </c>
      <c r="B28" s="64" t="s">
        <v>54</v>
      </c>
      <c r="C28" s="95">
        <v>8.8137</v>
      </c>
      <c r="D28" s="96">
        <v>16.06</v>
      </c>
      <c r="E28" s="96">
        <f>D$34/C28</f>
        <v>16.06362821516503</v>
      </c>
      <c r="F28" s="51"/>
      <c r="G28" s="51">
        <v>8.8147</v>
      </c>
      <c r="H28" s="51">
        <v>16.04</v>
      </c>
      <c r="I28" s="65">
        <f>H$34/G28</f>
        <v>16.03911647588687</v>
      </c>
      <c r="J28" s="51"/>
      <c r="K28" s="51">
        <v>8.7918</v>
      </c>
      <c r="L28" s="65">
        <v>16.02</v>
      </c>
      <c r="M28" s="65">
        <f>L$34/K28</f>
        <v>16.018335266953297</v>
      </c>
      <c r="N28" s="51"/>
      <c r="O28" s="51">
        <v>8.7998</v>
      </c>
      <c r="P28" s="65">
        <v>16.04</v>
      </c>
      <c r="Q28" s="65">
        <f>P$34/O28</f>
        <v>16.041273665310577</v>
      </c>
      <c r="R28" s="51"/>
      <c r="S28" s="51">
        <v>8.7805</v>
      </c>
      <c r="T28" s="65">
        <v>16.11</v>
      </c>
      <c r="U28" s="65">
        <f>T$34/S28</f>
        <v>16.114116508171517</v>
      </c>
      <c r="V28" s="51"/>
      <c r="W28" s="51">
        <v>8.762</v>
      </c>
      <c r="X28" s="65">
        <v>16.1</v>
      </c>
      <c r="Y28" s="65">
        <f>X$34/W28</f>
        <v>16.097922848664687</v>
      </c>
      <c r="Z28" s="51"/>
      <c r="AA28" s="51">
        <v>8.7142</v>
      </c>
      <c r="AB28" s="65">
        <v>16.14</v>
      </c>
      <c r="AC28" s="65">
        <f>AB$34/AA28</f>
        <v>16.141470243969614</v>
      </c>
      <c r="AD28" s="51"/>
      <c r="AE28" s="51">
        <v>8.736</v>
      </c>
      <c r="AF28" s="65">
        <v>16.12</v>
      </c>
      <c r="AG28" s="65">
        <f>AF$34/AE28</f>
        <v>16.117216117216117</v>
      </c>
      <c r="AH28" s="51"/>
      <c r="AI28" s="51">
        <v>8.8135</v>
      </c>
      <c r="AJ28" s="65">
        <v>16.05</v>
      </c>
      <c r="AK28" s="65">
        <f>AJ$34/AI28</f>
        <v>16.05264650819765</v>
      </c>
      <c r="AL28" s="51"/>
      <c r="AM28" s="51">
        <v>8.7846</v>
      </c>
      <c r="AN28" s="65">
        <v>16.09</v>
      </c>
      <c r="AO28" s="65">
        <f>AN$34/AM28</f>
        <v>16.09293536416001</v>
      </c>
      <c r="AP28" s="51"/>
      <c r="AQ28" s="51">
        <v>8.7459</v>
      </c>
      <c r="AR28" s="65">
        <v>16.13</v>
      </c>
      <c r="AS28" s="65">
        <f>AR$34/AQ28</f>
        <v>16.126413519477698</v>
      </c>
      <c r="AT28" s="51"/>
      <c r="AU28" s="51">
        <v>8.7801</v>
      </c>
      <c r="AV28" s="65">
        <v>16.07</v>
      </c>
      <c r="AW28" s="65">
        <f>AV$34/AU28</f>
        <v>16.07384881721165</v>
      </c>
      <c r="AX28" s="51"/>
      <c r="AY28" s="51">
        <v>8.7721</v>
      </c>
      <c r="AZ28" s="65">
        <v>16.12</v>
      </c>
      <c r="BA28" s="65">
        <f>AZ$34/AY28</f>
        <v>16.118147307942223</v>
      </c>
      <c r="BB28" s="51"/>
      <c r="BC28" s="51">
        <v>8.8197</v>
      </c>
      <c r="BD28" s="65">
        <v>16.05</v>
      </c>
      <c r="BE28" s="65">
        <f>BD$34/BC28</f>
        <v>16.053834030635965</v>
      </c>
      <c r="BF28" s="51"/>
      <c r="BG28" s="51">
        <v>8.89</v>
      </c>
      <c r="BH28" s="65">
        <v>15.94</v>
      </c>
      <c r="BI28" s="65">
        <f>BH$34/BG28</f>
        <v>15.94150731158605</v>
      </c>
      <c r="BJ28" s="51"/>
      <c r="BK28" s="51">
        <v>8.8857</v>
      </c>
      <c r="BL28" s="65">
        <v>16.02</v>
      </c>
      <c r="BM28" s="65">
        <f>BL$34/BK28</f>
        <v>16.015620603891648</v>
      </c>
      <c r="BN28" s="51"/>
      <c r="BO28" s="51">
        <v>8.9195</v>
      </c>
      <c r="BP28" s="65">
        <v>15.95</v>
      </c>
      <c r="BQ28" s="65">
        <f>BP$34/BO28</f>
        <v>15.949324513705925</v>
      </c>
      <c r="BR28" s="51"/>
      <c r="BS28" s="51">
        <v>8.9039</v>
      </c>
      <c r="BT28" s="65">
        <v>15.97</v>
      </c>
      <c r="BU28" s="65">
        <f>BT$34/BS28</f>
        <v>15.971652871213738</v>
      </c>
      <c r="BV28" s="51"/>
      <c r="BW28" s="51">
        <v>8.9142</v>
      </c>
      <c r="BX28" s="65">
        <v>15.91</v>
      </c>
      <c r="BY28" s="65">
        <f>BX$34/BW28</f>
        <v>15.908326041596556</v>
      </c>
      <c r="BZ28" s="51"/>
      <c r="CA28" s="51">
        <v>8.9235</v>
      </c>
      <c r="CB28" s="65">
        <v>15.85</v>
      </c>
      <c r="CC28" s="65">
        <f>CB$34/CA28</f>
        <v>15.853644870286322</v>
      </c>
      <c r="CD28" s="51"/>
      <c r="CE28" s="51">
        <v>8.8624</v>
      </c>
      <c r="CF28" s="65">
        <v>15.99</v>
      </c>
      <c r="CG28" s="65">
        <f>CF$34/CE28</f>
        <v>15.985511825239213</v>
      </c>
      <c r="CH28" s="51"/>
      <c r="CI28" s="51">
        <v>8.797</v>
      </c>
      <c r="CJ28" s="65">
        <v>16</v>
      </c>
      <c r="CK28" s="65">
        <f>CJ$34/CI28</f>
        <v>16.004319654427643</v>
      </c>
      <c r="CL28" s="51"/>
      <c r="CM28" s="51">
        <v>8.8231</v>
      </c>
      <c r="CN28" s="65">
        <v>15.96</v>
      </c>
      <c r="CO28" s="65">
        <f>CN$34/CM28</f>
        <v>15.963776903809318</v>
      </c>
      <c r="CP28" s="51"/>
      <c r="CQ28" s="51">
        <f t="shared" si="0"/>
        <v>8.819473913043478</v>
      </c>
      <c r="CR28" s="51">
        <f t="shared" si="1"/>
        <v>16.031739130434786</v>
      </c>
      <c r="CS28" s="51">
        <f t="shared" si="2"/>
        <v>16.03237345585736</v>
      </c>
      <c r="CT28" s="51"/>
      <c r="CU28" s="56"/>
      <c r="CV28" s="56"/>
      <c r="CW28" s="56"/>
      <c r="CX28" s="56"/>
      <c r="CY28" s="86"/>
    </row>
    <row r="29" spans="1:103" ht="15" customHeight="1">
      <c r="A29" s="63">
        <v>18</v>
      </c>
      <c r="B29" s="64" t="s">
        <v>55</v>
      </c>
      <c r="C29" s="95">
        <v>8.1152</v>
      </c>
      <c r="D29" s="96">
        <v>17.45</v>
      </c>
      <c r="E29" s="96">
        <f>D$34/C29</f>
        <v>17.446273659305994</v>
      </c>
      <c r="F29" s="51"/>
      <c r="G29" s="51">
        <v>8.1138</v>
      </c>
      <c r="H29" s="51">
        <v>17.42</v>
      </c>
      <c r="I29" s="65">
        <f>H$34/G29</f>
        <v>17.424634573196283</v>
      </c>
      <c r="J29" s="51"/>
      <c r="K29" s="51">
        <v>8.0975</v>
      </c>
      <c r="L29" s="65">
        <v>17.39</v>
      </c>
      <c r="M29" s="65">
        <f>L$34/K29</f>
        <v>17.391787588761964</v>
      </c>
      <c r="N29" s="51"/>
      <c r="O29" s="51">
        <v>8.1302</v>
      </c>
      <c r="P29" s="65">
        <v>17.36</v>
      </c>
      <c r="Q29" s="65">
        <f>P$34/O29</f>
        <v>17.362426508572973</v>
      </c>
      <c r="R29" s="51"/>
      <c r="S29" s="51">
        <v>8.107</v>
      </c>
      <c r="T29" s="65">
        <v>17.45</v>
      </c>
      <c r="U29" s="65">
        <f>T$34/S29</f>
        <v>17.45281855186876</v>
      </c>
      <c r="V29" s="51"/>
      <c r="W29" s="51">
        <v>8.09</v>
      </c>
      <c r="X29" s="65">
        <v>17.44</v>
      </c>
      <c r="Y29" s="65">
        <f>X$34/W29</f>
        <v>17.43510506798517</v>
      </c>
      <c r="Z29" s="51"/>
      <c r="AA29" s="51">
        <v>8.0815</v>
      </c>
      <c r="AB29" s="65">
        <v>17.41</v>
      </c>
      <c r="AC29" s="65">
        <f>AB$34/AA29</f>
        <v>17.405184681061684</v>
      </c>
      <c r="AD29" s="51"/>
      <c r="AE29" s="51">
        <v>8.1325</v>
      </c>
      <c r="AF29" s="65">
        <v>17.31</v>
      </c>
      <c r="AG29" s="65">
        <f>AF$34/AE29</f>
        <v>17.31324930833077</v>
      </c>
      <c r="AH29" s="51"/>
      <c r="AI29" s="51">
        <v>8.2455</v>
      </c>
      <c r="AJ29" s="65">
        <v>17.16</v>
      </c>
      <c r="AK29" s="65">
        <f>AJ$34/AI29</f>
        <v>17.158450063671093</v>
      </c>
      <c r="AL29" s="51"/>
      <c r="AM29" s="51">
        <v>8.2068</v>
      </c>
      <c r="AN29" s="65">
        <v>17.23</v>
      </c>
      <c r="AO29" s="65">
        <f>AN$34/AM29</f>
        <v>17.225958960861725</v>
      </c>
      <c r="AP29" s="51"/>
      <c r="AQ29" s="51">
        <v>8.161</v>
      </c>
      <c r="AR29" s="65">
        <v>17.28</v>
      </c>
      <c r="AS29" s="65">
        <f>AR$34/AQ29</f>
        <v>17.28219580933709</v>
      </c>
      <c r="AT29" s="51"/>
      <c r="AU29" s="51">
        <v>8.1925</v>
      </c>
      <c r="AV29" s="65">
        <v>17.23</v>
      </c>
      <c r="AW29" s="65">
        <f>AV$34/AU29</f>
        <v>17.22673176685993</v>
      </c>
      <c r="AX29" s="51"/>
      <c r="AY29" s="51">
        <v>8.205</v>
      </c>
      <c r="AZ29" s="65">
        <v>17.23</v>
      </c>
      <c r="BA29" s="65">
        <f>AZ$34/AY29</f>
        <v>17.23217550274223</v>
      </c>
      <c r="BB29" s="51"/>
      <c r="BC29" s="51">
        <v>8.2366</v>
      </c>
      <c r="BD29" s="65">
        <v>17.19</v>
      </c>
      <c r="BE29" s="65">
        <f>BD$34/BC29</f>
        <v>17.190345530922954</v>
      </c>
      <c r="BF29" s="51"/>
      <c r="BG29" s="51">
        <v>8.2751</v>
      </c>
      <c r="BH29" s="65">
        <v>17.13</v>
      </c>
      <c r="BI29" s="65">
        <f>BH$34/BG29</f>
        <v>17.1260770262595</v>
      </c>
      <c r="BJ29" s="51"/>
      <c r="BK29" s="51">
        <v>8.282</v>
      </c>
      <c r="BL29" s="65">
        <v>17.18</v>
      </c>
      <c r="BM29" s="65">
        <f>BL$34/BK29</f>
        <v>17.18304757304999</v>
      </c>
      <c r="BN29" s="51"/>
      <c r="BO29" s="51">
        <v>8.3445</v>
      </c>
      <c r="BP29" s="65">
        <v>17.05</v>
      </c>
      <c r="BQ29" s="65">
        <f>BP$34/BO29</f>
        <v>17.048355204026603</v>
      </c>
      <c r="BR29" s="51"/>
      <c r="BS29" s="51">
        <v>8.3355</v>
      </c>
      <c r="BT29" s="65">
        <v>17.06</v>
      </c>
      <c r="BU29" s="65">
        <f>BT$34/BS29</f>
        <v>17.060764201307663</v>
      </c>
      <c r="BV29" s="51"/>
      <c r="BW29" s="51">
        <v>8.3341</v>
      </c>
      <c r="BX29" s="65">
        <v>17.02</v>
      </c>
      <c r="BY29" s="65">
        <f>BX$34/BW29</f>
        <v>17.01563456162033</v>
      </c>
      <c r="BZ29" s="51"/>
      <c r="CA29" s="51">
        <v>8.3414</v>
      </c>
      <c r="CB29" s="65">
        <v>16.96</v>
      </c>
      <c r="CC29" s="65">
        <f>CB$34/CA29</f>
        <v>16.959982736710863</v>
      </c>
      <c r="CD29" s="51"/>
      <c r="CE29" s="51">
        <v>8.2767</v>
      </c>
      <c r="CF29" s="65">
        <v>17.12</v>
      </c>
      <c r="CG29" s="65">
        <f>CF$34/CE29</f>
        <v>17.11672526490026</v>
      </c>
      <c r="CH29" s="51"/>
      <c r="CI29" s="51">
        <v>8.2193</v>
      </c>
      <c r="CJ29" s="65">
        <v>17.13</v>
      </c>
      <c r="CK29" s="65">
        <f>CJ$34/CI29</f>
        <v>17.12919591692723</v>
      </c>
      <c r="CL29" s="51"/>
      <c r="CM29" s="51">
        <v>8.2202</v>
      </c>
      <c r="CN29" s="65">
        <v>17.13</v>
      </c>
      <c r="CO29" s="65">
        <f>CN$34/CM29</f>
        <v>17.134619595630276</v>
      </c>
      <c r="CP29" s="51"/>
      <c r="CQ29" s="51">
        <f t="shared" si="0"/>
        <v>8.206256521739132</v>
      </c>
      <c r="CR29" s="51">
        <f t="shared" si="1"/>
        <v>17.23173913043478</v>
      </c>
      <c r="CS29" s="51">
        <f t="shared" si="2"/>
        <v>17.231379984952667</v>
      </c>
      <c r="CT29" s="51"/>
      <c r="CU29" s="56"/>
      <c r="CV29" s="56"/>
      <c r="CW29" s="56"/>
      <c r="CX29" s="56"/>
      <c r="CY29" s="86"/>
    </row>
    <row r="30" spans="1:103" ht="15" customHeight="1">
      <c r="A30" s="63">
        <v>19</v>
      </c>
      <c r="B30" s="64" t="s">
        <v>56</v>
      </c>
      <c r="C30" s="95">
        <v>6.4924</v>
      </c>
      <c r="D30" s="96">
        <v>21.81</v>
      </c>
      <c r="E30" s="96">
        <f>D$34/C30</f>
        <v>21.807035918920587</v>
      </c>
      <c r="F30" s="51"/>
      <c r="G30" s="51">
        <v>6.491</v>
      </c>
      <c r="H30" s="51">
        <v>21.78</v>
      </c>
      <c r="I30" s="65">
        <f>H$34/G30</f>
        <v>21.780927437991064</v>
      </c>
      <c r="J30" s="51"/>
      <c r="K30" s="51">
        <v>6.4768</v>
      </c>
      <c r="L30" s="65">
        <v>21.74</v>
      </c>
      <c r="M30" s="65">
        <f>L$34/K30</f>
        <v>21.74376235177866</v>
      </c>
      <c r="N30" s="51"/>
      <c r="O30" s="51">
        <v>6.5023</v>
      </c>
      <c r="P30" s="65">
        <v>21.71</v>
      </c>
      <c r="Q30" s="65">
        <f>P$34/O30</f>
        <v>21.7092413453701</v>
      </c>
      <c r="R30" s="51"/>
      <c r="S30" s="51">
        <v>6.486</v>
      </c>
      <c r="T30" s="65">
        <v>21.82</v>
      </c>
      <c r="U30" s="65">
        <f>T$34/S30</f>
        <v>21.81467776749923</v>
      </c>
      <c r="V30" s="51"/>
      <c r="W30" s="51">
        <v>6.4726</v>
      </c>
      <c r="X30" s="65">
        <v>21.79</v>
      </c>
      <c r="Y30" s="65">
        <f>X$34/W30</f>
        <v>21.791861075920036</v>
      </c>
      <c r="Z30" s="51"/>
      <c r="AA30" s="51">
        <v>6.4663</v>
      </c>
      <c r="AB30" s="65">
        <v>21.75</v>
      </c>
      <c r="AC30" s="65">
        <f>AB$34/AA30</f>
        <v>21.7527797967926</v>
      </c>
      <c r="AD30" s="51"/>
      <c r="AE30" s="51">
        <v>6.5052</v>
      </c>
      <c r="AF30" s="65">
        <v>21.64</v>
      </c>
      <c r="AG30" s="65">
        <f>AF$34/AE30</f>
        <v>21.644223083072006</v>
      </c>
      <c r="AH30" s="51"/>
      <c r="AI30" s="51">
        <v>6.5954</v>
      </c>
      <c r="AJ30" s="65">
        <v>21.45</v>
      </c>
      <c r="AK30" s="65">
        <f>AJ$34/AI30</f>
        <v>21.45131455256694</v>
      </c>
      <c r="AL30" s="51"/>
      <c r="AM30" s="51">
        <v>6.5641</v>
      </c>
      <c r="AN30" s="65">
        <v>21.54</v>
      </c>
      <c r="AO30" s="65">
        <f>AN$34/AM30</f>
        <v>21.536844350329826</v>
      </c>
      <c r="AP30" s="51"/>
      <c r="AQ30" s="51">
        <v>6.5259</v>
      </c>
      <c r="AR30" s="65">
        <v>21.61</v>
      </c>
      <c r="AS30" s="65">
        <f>AR$34/AQ30</f>
        <v>21.612344657441884</v>
      </c>
      <c r="AT30" s="51"/>
      <c r="AU30" s="51">
        <v>6.5503</v>
      </c>
      <c r="AV30" s="65">
        <v>21.55</v>
      </c>
      <c r="AW30" s="65">
        <f>AV$34/AU30</f>
        <v>21.545578065126787</v>
      </c>
      <c r="AX30" s="51"/>
      <c r="AY30" s="51">
        <v>6.5626</v>
      </c>
      <c r="AZ30" s="65">
        <v>21.54</v>
      </c>
      <c r="BA30" s="65">
        <f>AZ$34/AY30</f>
        <v>21.544814555206777</v>
      </c>
      <c r="BB30" s="51"/>
      <c r="BC30" s="51">
        <v>6.5873</v>
      </c>
      <c r="BD30" s="65">
        <v>21.49</v>
      </c>
      <c r="BE30" s="65">
        <f>BD$34/BC30</f>
        <v>21.494390721539933</v>
      </c>
      <c r="BF30" s="51"/>
      <c r="BG30" s="51">
        <v>6.6196</v>
      </c>
      <c r="BH30" s="65">
        <v>21.41</v>
      </c>
      <c r="BI30" s="65">
        <f>BH$34/BG30</f>
        <v>21.40914858903861</v>
      </c>
      <c r="BJ30" s="51"/>
      <c r="BK30" s="51">
        <v>6.6248</v>
      </c>
      <c r="BL30" s="65">
        <v>21.48</v>
      </c>
      <c r="BM30" s="65">
        <f>BL$34/BK30</f>
        <v>21.481403212172445</v>
      </c>
      <c r="BN30" s="51"/>
      <c r="BO30" s="51">
        <v>6.6738</v>
      </c>
      <c r="BP30" s="65">
        <v>21.32</v>
      </c>
      <c r="BQ30" s="65">
        <f>BP$34/BO30</f>
        <v>21.31619167490785</v>
      </c>
      <c r="BR30" s="51"/>
      <c r="BS30" s="51">
        <v>6.6694</v>
      </c>
      <c r="BT30" s="65">
        <v>21.32</v>
      </c>
      <c r="BU30" s="65">
        <f>BT$34/BS30</f>
        <v>21.322757669355564</v>
      </c>
      <c r="BV30" s="51"/>
      <c r="BW30" s="51">
        <v>6.6664</v>
      </c>
      <c r="BX30" s="65">
        <v>21.27</v>
      </c>
      <c r="BY30" s="65">
        <f>BX$34/BW30</f>
        <v>21.27235089403576</v>
      </c>
      <c r="BZ30" s="51"/>
      <c r="CA30" s="51">
        <v>6.6701</v>
      </c>
      <c r="CB30" s="65">
        <v>21.21</v>
      </c>
      <c r="CC30" s="65">
        <f>CB$34/CA30</f>
        <v>21.209577067810077</v>
      </c>
      <c r="CD30" s="51"/>
      <c r="CE30" s="51">
        <v>6.6196</v>
      </c>
      <c r="CF30" s="65">
        <v>21.4</v>
      </c>
      <c r="CG30" s="65">
        <f>CF$34/CE30</f>
        <v>21.401595262553627</v>
      </c>
      <c r="CH30" s="51"/>
      <c r="CI30" s="51">
        <v>6.5691</v>
      </c>
      <c r="CJ30" s="65">
        <v>21.43</v>
      </c>
      <c r="CK30" s="65">
        <f>CJ$34/CI30</f>
        <v>21.43215965657396</v>
      </c>
      <c r="CL30" s="51"/>
      <c r="CM30" s="51">
        <v>6.5713</v>
      </c>
      <c r="CN30" s="65">
        <v>21.43</v>
      </c>
      <c r="CO30" s="65">
        <f>CN$34/CM30</f>
        <v>21.434115015293777</v>
      </c>
      <c r="CP30" s="51"/>
      <c r="CQ30" s="51">
        <f t="shared" si="0"/>
        <v>6.563578260869564</v>
      </c>
      <c r="CR30" s="51">
        <f t="shared" si="1"/>
        <v>21.543043478260866</v>
      </c>
      <c r="CS30" s="51">
        <f t="shared" si="2"/>
        <v>21.543873683534702</v>
      </c>
      <c r="CT30" s="51"/>
      <c r="CU30" s="56"/>
      <c r="CV30" s="56"/>
      <c r="CW30" s="56"/>
      <c r="CX30" s="56"/>
      <c r="CY30" s="86"/>
    </row>
    <row r="31" spans="1:103" ht="15" customHeight="1">
      <c r="A31" s="63">
        <v>20</v>
      </c>
      <c r="B31" s="64" t="s">
        <v>57</v>
      </c>
      <c r="C31" s="95">
        <v>218.9146</v>
      </c>
      <c r="D31" s="96">
        <v>64.68</v>
      </c>
      <c r="E31" s="96">
        <f>D$34/C31*100</f>
        <v>64.67362158576907</v>
      </c>
      <c r="F31" s="51"/>
      <c r="G31" s="51">
        <v>218.8668</v>
      </c>
      <c r="H31" s="51">
        <v>64.59</v>
      </c>
      <c r="I31" s="65">
        <f>H$34/G31*100</f>
        <v>64.59636637443413</v>
      </c>
      <c r="J31" s="51"/>
      <c r="K31" s="51">
        <v>218.39</v>
      </c>
      <c r="L31" s="65">
        <v>64.48</v>
      </c>
      <c r="M31" s="65">
        <f>L$34/K31*100</f>
        <v>64.4855533678282</v>
      </c>
      <c r="N31" s="51"/>
      <c r="O31" s="51">
        <v>219.2498</v>
      </c>
      <c r="P31" s="65">
        <v>64.38</v>
      </c>
      <c r="Q31" s="65">
        <f>P$34/O31*100</f>
        <v>64.38318301772681</v>
      </c>
      <c r="R31" s="51"/>
      <c r="S31" s="51">
        <v>218.6997</v>
      </c>
      <c r="T31" s="65">
        <v>64.7</v>
      </c>
      <c r="U31" s="65">
        <f>T$34/S31*100</f>
        <v>64.69601924465374</v>
      </c>
      <c r="V31" s="51"/>
      <c r="W31" s="51">
        <v>218.2473</v>
      </c>
      <c r="X31" s="65">
        <v>64.63</v>
      </c>
      <c r="Y31" s="65">
        <f>X$34/W31*100</f>
        <v>64.62852003209204</v>
      </c>
      <c r="Z31" s="51"/>
      <c r="AA31" s="51">
        <v>218.0337</v>
      </c>
      <c r="AB31" s="65">
        <v>64.52</v>
      </c>
      <c r="AC31" s="65">
        <f>AB$34/AA31*100</f>
        <v>64.51296290435836</v>
      </c>
      <c r="AD31" s="51"/>
      <c r="AE31" s="51">
        <v>219.3457</v>
      </c>
      <c r="AF31" s="65">
        <v>64.19</v>
      </c>
      <c r="AG31" s="65">
        <f>AF$34/AE31*100</f>
        <v>64.1909096006897</v>
      </c>
      <c r="AH31" s="51"/>
      <c r="AI31" s="51">
        <v>222.3871</v>
      </c>
      <c r="AJ31" s="65">
        <v>63.62</v>
      </c>
      <c r="AK31" s="65">
        <f>AJ$34/AI31*100</f>
        <v>63.61879803279956</v>
      </c>
      <c r="AL31" s="51"/>
      <c r="AM31" s="51">
        <v>221.3314</v>
      </c>
      <c r="AN31" s="65">
        <v>63.87</v>
      </c>
      <c r="AO31" s="65">
        <f>AN$34/AM31*100</f>
        <v>63.8725458746477</v>
      </c>
      <c r="AP31" s="51"/>
      <c r="AQ31" s="51">
        <v>220.0439</v>
      </c>
      <c r="AR31" s="65">
        <v>64.1</v>
      </c>
      <c r="AS31" s="65">
        <f>AR$34/AQ31*100</f>
        <v>64.09630078361636</v>
      </c>
      <c r="AT31" s="51"/>
      <c r="AU31" s="51">
        <v>220.8681</v>
      </c>
      <c r="AV31" s="65">
        <v>63.9</v>
      </c>
      <c r="AW31" s="65">
        <f>AV$34/AU31*100</f>
        <v>63.89786483426081</v>
      </c>
      <c r="AX31" s="51"/>
      <c r="AY31" s="51">
        <v>221.2826</v>
      </c>
      <c r="AZ31" s="65">
        <v>63.9</v>
      </c>
      <c r="BA31" s="65">
        <f>AZ$34/AY31*100</f>
        <v>63.89567006172198</v>
      </c>
      <c r="BB31" s="51"/>
      <c r="BC31" s="51">
        <v>222.1161</v>
      </c>
      <c r="BD31" s="65">
        <v>63.75</v>
      </c>
      <c r="BE31" s="65">
        <f>BD$34/BC31*100</f>
        <v>63.74594187454219</v>
      </c>
      <c r="BF31" s="51"/>
      <c r="BG31" s="51">
        <v>223.2042</v>
      </c>
      <c r="BH31" s="65">
        <v>63.49</v>
      </c>
      <c r="BI31" s="65">
        <f>BH$34/BG31*100</f>
        <v>63.49342888709084</v>
      </c>
      <c r="BJ31" s="51"/>
      <c r="BK31" s="51">
        <v>223.3783</v>
      </c>
      <c r="BL31" s="65">
        <v>63.71</v>
      </c>
      <c r="BM31" s="65">
        <f>BL$34/BK31*100</f>
        <v>63.708068330719684</v>
      </c>
      <c r="BN31" s="51"/>
      <c r="BO31" s="51">
        <v>225.0331</v>
      </c>
      <c r="BP31" s="65">
        <v>63.22</v>
      </c>
      <c r="BQ31" s="65">
        <f>BP$34/BO31*100</f>
        <v>63.217366689611445</v>
      </c>
      <c r="BR31" s="51"/>
      <c r="BS31" s="51">
        <v>224.8817</v>
      </c>
      <c r="BT31" s="65">
        <v>63.24</v>
      </c>
      <c r="BU31" s="65">
        <f>BT$34/BS31*100</f>
        <v>63.23769341836175</v>
      </c>
      <c r="BV31" s="51"/>
      <c r="BW31" s="51">
        <v>224.7808</v>
      </c>
      <c r="BX31" s="65">
        <v>63.09</v>
      </c>
      <c r="BY31" s="65">
        <f>BX$34/BW31*100</f>
        <v>63.08812852343261</v>
      </c>
      <c r="BZ31" s="51"/>
      <c r="CA31" s="51">
        <v>224.9069</v>
      </c>
      <c r="CB31" s="65">
        <v>62.9</v>
      </c>
      <c r="CC31" s="65">
        <f>CB$34/CA31*100</f>
        <v>62.90158283271878</v>
      </c>
      <c r="CD31" s="51"/>
      <c r="CE31" s="51">
        <v>223.2042</v>
      </c>
      <c r="CF31" s="65">
        <v>63.47</v>
      </c>
      <c r="CG31" s="65">
        <f>CF$34/CE31*100</f>
        <v>63.4710278749235</v>
      </c>
      <c r="CH31" s="51"/>
      <c r="CI31" s="51">
        <v>221.5026</v>
      </c>
      <c r="CJ31" s="65">
        <v>63.56</v>
      </c>
      <c r="CK31" s="65">
        <f>CJ$34/CI31*100</f>
        <v>63.561330657066776</v>
      </c>
      <c r="CL31" s="51"/>
      <c r="CM31" s="51">
        <v>221.576</v>
      </c>
      <c r="CN31" s="65">
        <v>63.57</v>
      </c>
      <c r="CO31" s="65">
        <f>CN$34/CM31*100</f>
        <v>63.567353865039536</v>
      </c>
      <c r="CP31" s="51"/>
      <c r="CQ31" s="51">
        <f t="shared" si="0"/>
        <v>221.31498260869566</v>
      </c>
      <c r="CR31" s="51">
        <f t="shared" si="1"/>
        <v>63.89391304347826</v>
      </c>
      <c r="CS31" s="51">
        <f t="shared" si="2"/>
        <v>63.893053855135015</v>
      </c>
      <c r="CT31" s="51"/>
      <c r="CU31" s="56"/>
      <c r="CV31" s="56"/>
      <c r="CW31" s="56"/>
      <c r="CX31" s="56"/>
      <c r="CY31" s="86"/>
    </row>
    <row r="32" spans="1:103" ht="15" customHeight="1">
      <c r="A32" s="63">
        <v>21</v>
      </c>
      <c r="B32" s="64" t="s">
        <v>58</v>
      </c>
      <c r="C32" s="95">
        <f>1/1.286</f>
        <v>0.7776049766718507</v>
      </c>
      <c r="D32" s="96">
        <v>182.08</v>
      </c>
      <c r="E32" s="96">
        <f>D$34/C32</f>
        <v>182.07188000000002</v>
      </c>
      <c r="F32" s="51"/>
      <c r="G32" s="95">
        <f>1/1.28631</f>
        <v>0.7774175743016847</v>
      </c>
      <c r="H32" s="65">
        <v>181.85</v>
      </c>
      <c r="I32" s="65">
        <f>H$34/G32</f>
        <v>181.85850779999998</v>
      </c>
      <c r="J32" s="51"/>
      <c r="K32" s="51">
        <f>1/1.28673</f>
        <v>0.7771638183612725</v>
      </c>
      <c r="L32" s="65">
        <v>181.21</v>
      </c>
      <c r="M32" s="65">
        <f>L$34/K32</f>
        <v>181.2101859</v>
      </c>
      <c r="N32" s="51"/>
      <c r="O32" s="51">
        <f>1/1.28554</f>
        <v>0.7778832241703876</v>
      </c>
      <c r="P32" s="65">
        <v>181.46</v>
      </c>
      <c r="Q32" s="65">
        <f>P$34/O32</f>
        <v>181.46682639999997</v>
      </c>
      <c r="R32" s="51"/>
      <c r="S32" s="51">
        <f>1/1.28753</f>
        <v>0.7766809317064456</v>
      </c>
      <c r="T32" s="65">
        <v>182.18</v>
      </c>
      <c r="U32" s="65">
        <f>T$34/S32</f>
        <v>182.17261970000004</v>
      </c>
      <c r="V32" s="51"/>
      <c r="W32" s="51">
        <f>1/1.28753</f>
        <v>0.7766809317064456</v>
      </c>
      <c r="X32" s="65">
        <v>181.61</v>
      </c>
      <c r="Y32" s="65">
        <f>X$34/W32</f>
        <v>181.60610650000004</v>
      </c>
      <c r="Z32" s="51"/>
      <c r="AA32" s="51">
        <f>1/1.28879</f>
        <v>0.7759216008814469</v>
      </c>
      <c r="AB32" s="65">
        <v>181.29</v>
      </c>
      <c r="AC32" s="65">
        <f>AB$34/AA32</f>
        <v>181.28120140000001</v>
      </c>
      <c r="AD32" s="51"/>
      <c r="AE32" s="51">
        <f>1/1.28302</f>
        <v>0.7794110769902262</v>
      </c>
      <c r="AF32" s="65">
        <v>180.64</v>
      </c>
      <c r="AG32" s="65">
        <f>AF$34/AE32</f>
        <v>180.64921600000002</v>
      </c>
      <c r="AH32" s="51"/>
      <c r="AI32" s="51">
        <f>1/1.27937</f>
        <v>0.7816347108342387</v>
      </c>
      <c r="AJ32" s="65">
        <v>181</v>
      </c>
      <c r="AK32" s="65">
        <f>AJ$34/AI32</f>
        <v>181.0052676</v>
      </c>
      <c r="AL32" s="51"/>
      <c r="AM32" s="51">
        <f>1/1.27747</f>
        <v>0.7827972476848771</v>
      </c>
      <c r="AN32" s="65">
        <v>180.59</v>
      </c>
      <c r="AO32" s="65">
        <f>AN$34/AM32</f>
        <v>180.5959339</v>
      </c>
      <c r="AP32" s="51"/>
      <c r="AQ32" s="51">
        <f>1/1.27747</f>
        <v>0.7827972476848771</v>
      </c>
      <c r="AR32" s="65">
        <v>180.17</v>
      </c>
      <c r="AS32" s="65">
        <f>AR$34/AQ32</f>
        <v>180.1743688</v>
      </c>
      <c r="AT32" s="51"/>
      <c r="AU32" s="51">
        <f>1/1.27678</f>
        <v>0.7832202885383542</v>
      </c>
      <c r="AV32" s="65">
        <v>180.19</v>
      </c>
      <c r="AW32" s="65">
        <f>AV$34/AU32</f>
        <v>180.1919614</v>
      </c>
      <c r="AX32" s="51"/>
      <c r="AY32" s="51">
        <f>1/1.27663</f>
        <v>0.7833123144528955</v>
      </c>
      <c r="AZ32" s="65">
        <v>180.5</v>
      </c>
      <c r="BA32" s="65">
        <f>AZ$34/AY32</f>
        <v>180.50271569999998</v>
      </c>
      <c r="BB32" s="51"/>
      <c r="BC32" s="51">
        <f>1/1.27653</f>
        <v>0.7833736770777029</v>
      </c>
      <c r="BD32" s="65">
        <v>180.75</v>
      </c>
      <c r="BE32" s="65">
        <f>BD$34/BC32</f>
        <v>180.7438827</v>
      </c>
      <c r="BF32" s="51"/>
      <c r="BG32" s="51">
        <f>1/1.27557</f>
        <v>0.7839632478029429</v>
      </c>
      <c r="BH32" s="65">
        <v>180.77</v>
      </c>
      <c r="BI32" s="65">
        <f>BH$34/BG32</f>
        <v>180.77378040000002</v>
      </c>
      <c r="BJ32" s="51"/>
      <c r="BK32" s="51">
        <f>1/1.2729</f>
        <v>0.7856076675308351</v>
      </c>
      <c r="BL32" s="65">
        <v>181.14</v>
      </c>
      <c r="BM32" s="65">
        <f>BL$34/BK32</f>
        <v>181.146399</v>
      </c>
      <c r="BN32" s="51"/>
      <c r="BO32" s="51">
        <f>1/1.26623</f>
        <v>0.7897459387315101</v>
      </c>
      <c r="BP32" s="65">
        <v>180.13</v>
      </c>
      <c r="BQ32" s="65">
        <f>BP$34/BO32</f>
        <v>180.1338798</v>
      </c>
      <c r="BR32" s="51"/>
      <c r="BS32" s="51">
        <f>1/1.26623</f>
        <v>0.7897459387315101</v>
      </c>
      <c r="BT32" s="65">
        <v>180.07</v>
      </c>
      <c r="BU32" s="65">
        <f>BT$34/BS32</f>
        <v>180.0705683</v>
      </c>
      <c r="BV32" s="51"/>
      <c r="BW32" s="51">
        <f>1/1.26727</f>
        <v>0.789097824457298</v>
      </c>
      <c r="BX32" s="65">
        <v>179.72</v>
      </c>
      <c r="BY32" s="65">
        <f>BX$34/BW32</f>
        <v>179.71155869999998</v>
      </c>
      <c r="BZ32" s="51"/>
      <c r="CA32" s="51">
        <f>1/1.26926</f>
        <v>0.7878606432094291</v>
      </c>
      <c r="CB32" s="65">
        <v>179.56</v>
      </c>
      <c r="CC32" s="65">
        <f>CB$34/CA32</f>
        <v>179.5622122</v>
      </c>
      <c r="CD32" s="51"/>
      <c r="CE32" s="51">
        <f>1/1.27414</f>
        <v>0.7848431098623385</v>
      </c>
      <c r="CF32" s="65">
        <v>180.5</v>
      </c>
      <c r="CG32" s="65">
        <f>CF$34/CE32</f>
        <v>180.5074138</v>
      </c>
      <c r="CH32" s="51"/>
      <c r="CI32" s="51">
        <f>1/1.27888</f>
        <v>0.781934192418366</v>
      </c>
      <c r="CJ32" s="65">
        <v>180.05</v>
      </c>
      <c r="CK32" s="65">
        <f>CJ$34/CI32</f>
        <v>180.0535152</v>
      </c>
      <c r="CL32" s="51"/>
      <c r="CM32" s="51">
        <f>1/1.27888</f>
        <v>0.781934192418366</v>
      </c>
      <c r="CN32" s="65">
        <v>180.13</v>
      </c>
      <c r="CO32" s="65">
        <f>CN$34/CM32</f>
        <v>180.130248</v>
      </c>
      <c r="CP32" s="51"/>
      <c r="CQ32" s="51">
        <f t="shared" si="0"/>
        <v>0.7822014076619697</v>
      </c>
      <c r="CR32" s="51">
        <f t="shared" si="1"/>
        <v>180.7647826086956</v>
      </c>
      <c r="CS32" s="51">
        <f t="shared" si="2"/>
        <v>180.7660977913044</v>
      </c>
      <c r="CT32" s="51"/>
      <c r="CU32" s="56"/>
      <c r="CV32" s="56"/>
      <c r="CW32" s="56"/>
      <c r="CX32" s="56"/>
      <c r="CY32" s="86"/>
    </row>
    <row r="33" spans="1:103" ht="15" customHeight="1">
      <c r="A33" s="63">
        <v>22</v>
      </c>
      <c r="B33" s="64" t="s">
        <v>59</v>
      </c>
      <c r="C33" s="95">
        <v>372.0791</v>
      </c>
      <c r="D33" s="96">
        <v>38.05</v>
      </c>
      <c r="E33" s="96">
        <f>D$34/C33*100</f>
        <v>38.051048822683136</v>
      </c>
      <c r="F33" s="51"/>
      <c r="G33" s="51">
        <v>371.9978</v>
      </c>
      <c r="H33" s="65">
        <v>38</v>
      </c>
      <c r="I33" s="65">
        <f>H$34/G33*100</f>
        <v>38.00560110839365</v>
      </c>
      <c r="J33" s="51"/>
      <c r="K33" s="51">
        <v>371.1874</v>
      </c>
      <c r="L33" s="65">
        <v>37.94</v>
      </c>
      <c r="M33" s="65">
        <f>L$34/K33*100</f>
        <v>37.94040422708314</v>
      </c>
      <c r="N33" s="51"/>
      <c r="O33" s="51">
        <v>372.6487</v>
      </c>
      <c r="P33" s="65">
        <v>37.88</v>
      </c>
      <c r="Q33" s="65">
        <f>P$34/O33*100</f>
        <v>37.880180448771185</v>
      </c>
      <c r="R33" s="51"/>
      <c r="S33" s="51">
        <v>371.7138</v>
      </c>
      <c r="T33" s="65">
        <v>38.07</v>
      </c>
      <c r="U33" s="65">
        <f>T$34/S33*100</f>
        <v>38.06423113696613</v>
      </c>
      <c r="V33" s="51"/>
      <c r="W33" s="51">
        <v>370.9449</v>
      </c>
      <c r="X33" s="65">
        <v>38.03</v>
      </c>
      <c r="Y33" s="65">
        <f>X$34/W33*100</f>
        <v>38.02451523123785</v>
      </c>
      <c r="Z33" s="51"/>
      <c r="AA33" s="51">
        <v>370.5818</v>
      </c>
      <c r="AB33" s="65">
        <v>37.96</v>
      </c>
      <c r="AC33" s="65">
        <f>AB$34/AA33*100</f>
        <v>37.956532134065945</v>
      </c>
      <c r="AD33" s="51"/>
      <c r="AE33" s="51">
        <v>372.8118</v>
      </c>
      <c r="AF33" s="65">
        <v>37.77</v>
      </c>
      <c r="AG33" s="65">
        <f>AF$34/AE33*100</f>
        <v>37.76704492722602</v>
      </c>
      <c r="AH33" s="51"/>
      <c r="AI33" s="51">
        <v>377.9811</v>
      </c>
      <c r="AJ33" s="65">
        <v>37.43</v>
      </c>
      <c r="AK33" s="65">
        <f>AJ$34/AI33*100</f>
        <v>37.43044295071896</v>
      </c>
      <c r="AL33" s="51"/>
      <c r="AM33" s="51">
        <v>376.1868</v>
      </c>
      <c r="AN33" s="65">
        <v>37.58</v>
      </c>
      <c r="AO33" s="65">
        <f>AN$34/AM33*100</f>
        <v>37.57973432347972</v>
      </c>
      <c r="AP33" s="51"/>
      <c r="AQ33" s="51">
        <v>373.9985</v>
      </c>
      <c r="AR33" s="65">
        <v>37.71</v>
      </c>
      <c r="AS33" s="65">
        <f>AR$34/AQ33*100</f>
        <v>37.711381195379126</v>
      </c>
      <c r="AT33" s="51"/>
      <c r="AU33" s="56">
        <v>375.3994</v>
      </c>
      <c r="AV33" s="65">
        <v>37.59</v>
      </c>
      <c r="AW33" s="65">
        <f>AV$34/AU33*100</f>
        <v>37.594625883792034</v>
      </c>
      <c r="AX33" s="51"/>
      <c r="AY33" s="51">
        <v>376.1038</v>
      </c>
      <c r="AZ33" s="65">
        <v>37.59</v>
      </c>
      <c r="BA33" s="65">
        <f>AZ$34/AY33*100</f>
        <v>37.593345241393465</v>
      </c>
      <c r="BB33" s="51"/>
      <c r="BC33" s="51">
        <v>377.5205</v>
      </c>
      <c r="BD33" s="65">
        <v>37.51</v>
      </c>
      <c r="BE33" s="65">
        <f>BD$34/BC33*100</f>
        <v>37.5052480593769</v>
      </c>
      <c r="BF33" s="51"/>
      <c r="BG33" s="51">
        <v>379.3699</v>
      </c>
      <c r="BH33" s="65">
        <v>37.36</v>
      </c>
      <c r="BI33" s="65">
        <f>BH$34/BG33*100</f>
        <v>37.35668011616104</v>
      </c>
      <c r="BJ33" s="51"/>
      <c r="BK33" s="51">
        <v>379.6657</v>
      </c>
      <c r="BL33" s="65">
        <v>37.48</v>
      </c>
      <c r="BM33" s="65">
        <f>BL$34/BK33*100</f>
        <v>37.48297515419486</v>
      </c>
      <c r="BN33" s="51"/>
      <c r="BO33" s="51">
        <v>382.4784</v>
      </c>
      <c r="BP33" s="65">
        <v>37.19</v>
      </c>
      <c r="BQ33" s="65">
        <f>BP$34/BO33*100</f>
        <v>37.19425724433066</v>
      </c>
      <c r="BR33" s="51"/>
      <c r="BS33" s="51">
        <v>382.221</v>
      </c>
      <c r="BT33" s="65">
        <v>37.21</v>
      </c>
      <c r="BU33" s="65">
        <f>BT$34/BS33*100</f>
        <v>37.20622362455229</v>
      </c>
      <c r="BV33" s="51"/>
      <c r="BW33" s="51">
        <v>382.0496</v>
      </c>
      <c r="BX33" s="65">
        <v>37.12</v>
      </c>
      <c r="BY33" s="65">
        <f>BX$34/BW33*100</f>
        <v>37.11821711107668</v>
      </c>
      <c r="BZ33" s="51"/>
      <c r="CA33" s="51">
        <v>382.2639</v>
      </c>
      <c r="CB33" s="65">
        <v>37.01</v>
      </c>
      <c r="CC33" s="65">
        <f>CB$34/CA33*100</f>
        <v>37.0084645712033</v>
      </c>
      <c r="CD33" s="51"/>
      <c r="CE33" s="51">
        <v>379.3699</v>
      </c>
      <c r="CF33" s="65">
        <v>37.34</v>
      </c>
      <c r="CG33" s="65">
        <f>CF$34/CE33*100</f>
        <v>37.3435003673196</v>
      </c>
      <c r="CH33" s="51"/>
      <c r="CI33" s="51">
        <v>376.4777</v>
      </c>
      <c r="CJ33" s="65">
        <v>37.4</v>
      </c>
      <c r="CK33" s="65">
        <f>CJ$34/CI33*100</f>
        <v>37.39663730414842</v>
      </c>
      <c r="CL33" s="51"/>
      <c r="CM33" s="51">
        <v>376.6023</v>
      </c>
      <c r="CN33" s="65">
        <v>37.4</v>
      </c>
      <c r="CO33" s="65">
        <f>CN$34/CM33*100</f>
        <v>37.40019644064839</v>
      </c>
      <c r="CP33" s="51"/>
      <c r="CQ33" s="51">
        <f t="shared" si="0"/>
        <v>376.15886086956516</v>
      </c>
      <c r="CR33" s="51">
        <f t="shared" si="1"/>
        <v>37.59217391304348</v>
      </c>
      <c r="CS33" s="51">
        <f t="shared" si="2"/>
        <v>37.59180380974793</v>
      </c>
      <c r="CT33" s="51">
        <f>(F33+J33+N33+R33+V33+Z33+AD33+AH33+AL33+AP33+AT33+AX33+BB33+BF33+BJ33+BN33+BR33+BV33+BZ33+CD33+CH33+CL33+CP33)/23</f>
        <v>0</v>
      </c>
      <c r="CU33" s="56"/>
      <c r="CV33" s="56"/>
      <c r="CW33" s="56"/>
      <c r="CX33" s="56"/>
      <c r="CY33" s="86"/>
    </row>
    <row r="34" spans="1:103" ht="15" customHeight="1" thickBot="1">
      <c r="A34" s="72">
        <v>23</v>
      </c>
      <c r="B34" s="73" t="s">
        <v>60</v>
      </c>
      <c r="C34" s="97">
        <v>1</v>
      </c>
      <c r="D34" s="98">
        <v>141.58</v>
      </c>
      <c r="E34" s="99">
        <f>D$34/C34</f>
        <v>141.58</v>
      </c>
      <c r="F34" s="74"/>
      <c r="G34" s="74">
        <v>1</v>
      </c>
      <c r="H34" s="75">
        <v>141.38</v>
      </c>
      <c r="I34" s="76">
        <f>H$34/G34</f>
        <v>141.38</v>
      </c>
      <c r="J34" s="74"/>
      <c r="K34" s="74">
        <v>1</v>
      </c>
      <c r="L34" s="75">
        <v>140.83</v>
      </c>
      <c r="M34" s="76">
        <f>L$34/K34</f>
        <v>140.83</v>
      </c>
      <c r="N34" s="74"/>
      <c r="O34" s="74">
        <v>1</v>
      </c>
      <c r="P34" s="75">
        <v>141.16</v>
      </c>
      <c r="Q34" s="76">
        <f>P$34/O34</f>
        <v>141.16</v>
      </c>
      <c r="R34" s="74"/>
      <c r="S34" s="74">
        <v>1</v>
      </c>
      <c r="T34" s="75">
        <v>141.49</v>
      </c>
      <c r="U34" s="76">
        <f>T$34/S34</f>
        <v>141.49</v>
      </c>
      <c r="V34" s="74"/>
      <c r="W34" s="74">
        <v>1</v>
      </c>
      <c r="X34" s="75">
        <v>141.05</v>
      </c>
      <c r="Y34" s="76">
        <f>X$34/W34</f>
        <v>141.05</v>
      </c>
      <c r="Z34" s="74"/>
      <c r="AA34" s="74">
        <v>1</v>
      </c>
      <c r="AB34" s="75">
        <v>140.66</v>
      </c>
      <c r="AC34" s="76">
        <f>AB$34/AA34</f>
        <v>140.66</v>
      </c>
      <c r="AD34" s="74"/>
      <c r="AE34" s="74">
        <v>1</v>
      </c>
      <c r="AF34" s="75">
        <v>140.8</v>
      </c>
      <c r="AG34" s="76">
        <f>AF$34/AE34</f>
        <v>140.8</v>
      </c>
      <c r="AH34" s="74"/>
      <c r="AI34" s="74">
        <v>1</v>
      </c>
      <c r="AJ34" s="75">
        <v>141.48</v>
      </c>
      <c r="AK34" s="76">
        <f>AJ$34/AI34</f>
        <v>141.48</v>
      </c>
      <c r="AL34" s="74"/>
      <c r="AM34" s="74">
        <v>1</v>
      </c>
      <c r="AN34" s="75">
        <v>141.37</v>
      </c>
      <c r="AO34" s="76">
        <f>AN$34/AM34</f>
        <v>141.37</v>
      </c>
      <c r="AP34" s="74"/>
      <c r="AQ34" s="74">
        <v>1</v>
      </c>
      <c r="AR34" s="75">
        <v>141.04</v>
      </c>
      <c r="AS34" s="76">
        <f>AR$34/AQ34</f>
        <v>141.04</v>
      </c>
      <c r="AT34" s="74"/>
      <c r="AU34" s="74">
        <v>1</v>
      </c>
      <c r="AV34" s="75">
        <v>141.13</v>
      </c>
      <c r="AW34" s="76">
        <f>AV$34/AU34</f>
        <v>141.13</v>
      </c>
      <c r="AX34" s="74"/>
      <c r="AY34" s="74">
        <v>1</v>
      </c>
      <c r="AZ34" s="75">
        <v>141.39</v>
      </c>
      <c r="BA34" s="76">
        <f>AZ$34/AY34</f>
        <v>141.39</v>
      </c>
      <c r="BB34" s="74"/>
      <c r="BC34" s="74">
        <v>1</v>
      </c>
      <c r="BD34" s="75">
        <v>141.59</v>
      </c>
      <c r="BE34" s="76">
        <f>BD$34/BC34</f>
        <v>141.59</v>
      </c>
      <c r="BF34" s="74"/>
      <c r="BG34" s="74">
        <v>1</v>
      </c>
      <c r="BH34" s="75">
        <v>141.72</v>
      </c>
      <c r="BI34" s="76">
        <f>BH$34/BG34</f>
        <v>141.72</v>
      </c>
      <c r="BJ34" s="74"/>
      <c r="BK34" s="74">
        <v>1</v>
      </c>
      <c r="BL34" s="75">
        <v>142.31</v>
      </c>
      <c r="BM34" s="76">
        <f>BL$34/BK34</f>
        <v>142.31</v>
      </c>
      <c r="BN34" s="74"/>
      <c r="BO34" s="74">
        <v>1</v>
      </c>
      <c r="BP34" s="75">
        <v>142.26</v>
      </c>
      <c r="BQ34" s="76">
        <f>BP$34/BO34</f>
        <v>142.26</v>
      </c>
      <c r="BR34" s="74"/>
      <c r="BS34" s="74">
        <v>1</v>
      </c>
      <c r="BT34" s="75">
        <v>142.21</v>
      </c>
      <c r="BU34" s="76">
        <f>BT$34/BS34</f>
        <v>142.21</v>
      </c>
      <c r="BV34" s="74"/>
      <c r="BW34" s="74">
        <v>1</v>
      </c>
      <c r="BX34" s="75">
        <v>141.81</v>
      </c>
      <c r="BY34" s="76">
        <f>BX$34/BW34</f>
        <v>141.81</v>
      </c>
      <c r="BZ34" s="74"/>
      <c r="CA34" s="74">
        <v>1</v>
      </c>
      <c r="CB34" s="75">
        <v>141.47</v>
      </c>
      <c r="CC34" s="76">
        <f>CB$34/CA34</f>
        <v>141.47</v>
      </c>
      <c r="CD34" s="74"/>
      <c r="CE34" s="74">
        <v>1</v>
      </c>
      <c r="CF34" s="75">
        <v>141.67</v>
      </c>
      <c r="CG34" s="76">
        <f>CF$34/CE34</f>
        <v>141.67</v>
      </c>
      <c r="CH34" s="74"/>
      <c r="CI34" s="74">
        <v>1</v>
      </c>
      <c r="CJ34" s="75">
        <v>140.79</v>
      </c>
      <c r="CK34" s="76">
        <f>CJ$34/CI34</f>
        <v>140.79</v>
      </c>
      <c r="CL34" s="74"/>
      <c r="CM34" s="74">
        <v>1</v>
      </c>
      <c r="CN34" s="75">
        <v>140.85</v>
      </c>
      <c r="CO34" s="76">
        <f>CN$34/CM34</f>
        <v>140.85</v>
      </c>
      <c r="CP34" s="74"/>
      <c r="CQ34" s="77">
        <f t="shared" si="0"/>
        <v>1</v>
      </c>
      <c r="CR34" s="77">
        <f t="shared" si="1"/>
        <v>141.39304347826084</v>
      </c>
      <c r="CS34" s="77">
        <f>(+I34+M34+Q34+U34+Y34+AC34+AG34+AK34+AO34+AS34+AW34+BA34+BE34+BI34+BM34+BQ34+BU34+BY34+CC34+CG34+CK34+CO34)/22</f>
        <v>141.38454545454545</v>
      </c>
      <c r="CT34" s="77">
        <f>(F34+J34+N34+R34+V34+Z34+AD34+AH34+AL34+AP34+AT34+AX34+BB34+BF34+BJ34+BN34+BR34+BV34+BZ34+CD34+CH34+CL34+CP34)/23</f>
        <v>0</v>
      </c>
      <c r="CU34" s="56"/>
      <c r="CV34" s="56"/>
      <c r="CW34" s="56"/>
      <c r="CX34" s="56"/>
      <c r="CY34" s="86"/>
    </row>
    <row r="35" spans="1:103" ht="15" customHeight="1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5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CA35" s="81"/>
      <c r="CB35" s="81"/>
      <c r="CC35" s="81"/>
      <c r="CE35" s="81"/>
      <c r="CF35" s="81"/>
      <c r="CG35" s="81"/>
      <c r="CI35" s="81"/>
      <c r="CJ35" s="81"/>
      <c r="CK35" s="81"/>
      <c r="CM35" s="81"/>
      <c r="CN35" s="81"/>
      <c r="CO35" s="81"/>
      <c r="CQ35" s="81"/>
      <c r="CR35" s="81"/>
      <c r="CS35" s="81"/>
      <c r="CU35" s="89"/>
      <c r="CV35" s="89"/>
      <c r="CW35" s="89"/>
      <c r="CX35" s="86"/>
      <c r="CY35" s="86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1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36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3" sqref="B3"/>
    </sheetView>
  </sheetViews>
  <sheetFormatPr defaultColWidth="9.140625" defaultRowHeight="12.75"/>
  <cols>
    <col min="1" max="1" width="4.421875" style="0" customWidth="1"/>
    <col min="2" max="2" width="27.8515625" style="0" customWidth="1"/>
    <col min="8" max="8" width="9.00390625" style="0" customWidth="1"/>
    <col min="39" max="39" width="9.00390625" style="0" customWidth="1"/>
  </cols>
  <sheetData>
    <row r="1" spans="1:90" ht="15.75">
      <c r="A1" s="2"/>
      <c r="B1" s="3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5" t="s">
        <v>1</v>
      </c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15"/>
      <c r="CB1" s="15"/>
      <c r="CC1" s="17"/>
      <c r="CD1" s="15"/>
      <c r="CE1" s="15"/>
      <c r="CF1" s="15"/>
      <c r="CG1" s="15"/>
      <c r="CH1" s="15"/>
      <c r="CI1" s="15"/>
      <c r="CJ1" s="15"/>
      <c r="CK1" s="15"/>
      <c r="CL1" s="15"/>
    </row>
    <row r="2" spans="1:90" ht="15.75">
      <c r="A2" s="4"/>
      <c r="B2" s="33" t="s">
        <v>273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23"/>
      <c r="CB2" s="2"/>
      <c r="CC2" s="23"/>
      <c r="CD2" s="23"/>
      <c r="CE2" s="23"/>
      <c r="CF2" s="23"/>
      <c r="CG2" s="23"/>
      <c r="CH2" s="23"/>
      <c r="CI2" s="23"/>
      <c r="CJ2" s="23"/>
      <c r="CK2" s="23"/>
      <c r="CL2" s="23"/>
    </row>
    <row r="3" spans="1:103" ht="12.75">
      <c r="A3" s="5" t="s">
        <v>3</v>
      </c>
      <c r="B3" s="4"/>
      <c r="C3" s="3"/>
      <c r="D3" s="2" t="s">
        <v>274</v>
      </c>
      <c r="E3" s="3"/>
      <c r="F3" s="3"/>
      <c r="G3" s="3"/>
      <c r="H3" s="2" t="s">
        <v>275</v>
      </c>
      <c r="I3" s="3"/>
      <c r="J3" s="3"/>
      <c r="K3" s="3"/>
      <c r="L3" s="2" t="s">
        <v>276</v>
      </c>
      <c r="M3" s="3"/>
      <c r="N3" s="3"/>
      <c r="O3" s="3"/>
      <c r="P3" s="2" t="s">
        <v>277</v>
      </c>
      <c r="Q3" s="3"/>
      <c r="R3" s="3"/>
      <c r="S3" s="3"/>
      <c r="T3" s="2" t="s">
        <v>278</v>
      </c>
      <c r="U3" s="3"/>
      <c r="V3" s="3"/>
      <c r="W3" s="3"/>
      <c r="X3" s="2" t="s">
        <v>279</v>
      </c>
      <c r="Y3" s="3"/>
      <c r="Z3" s="3"/>
      <c r="AA3" s="3"/>
      <c r="AB3" s="2" t="s">
        <v>280</v>
      </c>
      <c r="AC3" s="3"/>
      <c r="AD3" s="3"/>
      <c r="AE3" s="3"/>
      <c r="AF3" s="2" t="s">
        <v>281</v>
      </c>
      <c r="AG3" s="3"/>
      <c r="AH3" s="3"/>
      <c r="AI3" s="3"/>
      <c r="AJ3" s="2" t="s">
        <v>282</v>
      </c>
      <c r="AK3" s="3"/>
      <c r="AL3" s="3"/>
      <c r="AM3" s="3"/>
      <c r="AN3" s="2" t="s">
        <v>283</v>
      </c>
      <c r="AO3" s="3"/>
      <c r="AP3" s="3"/>
      <c r="AQ3" s="3"/>
      <c r="AR3" s="2" t="s">
        <v>284</v>
      </c>
      <c r="AS3" s="3"/>
      <c r="AT3" s="3"/>
      <c r="AU3" s="3"/>
      <c r="AV3" s="2" t="s">
        <v>285</v>
      </c>
      <c r="AW3" s="3"/>
      <c r="AX3" s="3"/>
      <c r="AY3" s="3"/>
      <c r="AZ3" s="2" t="s">
        <v>286</v>
      </c>
      <c r="BA3" s="3"/>
      <c r="BB3" s="3"/>
      <c r="BC3" s="3"/>
      <c r="BD3" s="2" t="s">
        <v>287</v>
      </c>
      <c r="BE3" s="3"/>
      <c r="BF3" s="3"/>
      <c r="BG3" s="3"/>
      <c r="BH3" s="2" t="s">
        <v>288</v>
      </c>
      <c r="BI3" s="3"/>
      <c r="BJ3" s="3"/>
      <c r="BK3" s="3"/>
      <c r="BL3" s="2" t="s">
        <v>289</v>
      </c>
      <c r="BM3" s="3"/>
      <c r="BN3" s="3"/>
      <c r="BO3" s="3"/>
      <c r="BP3" s="2" t="s">
        <v>290</v>
      </c>
      <c r="BQ3" s="3"/>
      <c r="BR3" s="3"/>
      <c r="BS3" s="3"/>
      <c r="BT3" s="2" t="s">
        <v>291</v>
      </c>
      <c r="BU3" s="3"/>
      <c r="BV3" s="3"/>
      <c r="BW3" s="3"/>
      <c r="BX3" s="2" t="s">
        <v>292</v>
      </c>
      <c r="BY3" s="3"/>
      <c r="BZ3" s="3"/>
      <c r="CA3" s="6"/>
      <c r="CB3" s="2" t="s">
        <v>293</v>
      </c>
      <c r="CC3" s="3"/>
      <c r="CD3" s="6"/>
      <c r="CE3" s="6"/>
      <c r="CF3" s="2" t="s">
        <v>25</v>
      </c>
      <c r="CG3" s="3"/>
      <c r="CH3" s="6"/>
      <c r="CI3" s="19"/>
      <c r="CJ3" s="18"/>
      <c r="CK3" s="19"/>
      <c r="CL3" s="19"/>
      <c r="CM3" s="20"/>
      <c r="CN3" s="18"/>
      <c r="CO3" s="19"/>
      <c r="CP3" s="20"/>
      <c r="CQ3" s="20"/>
      <c r="CR3" s="18"/>
      <c r="CS3" s="19"/>
      <c r="CT3" s="20"/>
      <c r="CU3" s="20"/>
      <c r="CV3" s="18"/>
      <c r="CW3" s="19"/>
      <c r="CX3" s="20"/>
      <c r="CY3" s="21"/>
    </row>
    <row r="4" spans="1:103" ht="13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6"/>
      <c r="CB4" s="6"/>
      <c r="CC4" s="6"/>
      <c r="CD4" s="6"/>
      <c r="CE4" s="6"/>
      <c r="CF4" s="6"/>
      <c r="CG4" s="6"/>
      <c r="CH4" s="6"/>
      <c r="CI4" s="23"/>
      <c r="CJ4" s="23"/>
      <c r="CK4" s="23"/>
      <c r="CL4" s="23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1"/>
    </row>
    <row r="5" spans="1:103" ht="13.5" thickTop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1"/>
    </row>
    <row r="6" spans="1:103" ht="12.75">
      <c r="A6" s="3"/>
      <c r="B6" s="4"/>
      <c r="C6" s="8" t="s">
        <v>26</v>
      </c>
      <c r="D6" s="8" t="s">
        <v>26</v>
      </c>
      <c r="E6" s="8" t="s">
        <v>26</v>
      </c>
      <c r="F6" s="8" t="s">
        <v>26</v>
      </c>
      <c r="G6" s="8" t="s">
        <v>26</v>
      </c>
      <c r="H6" s="8" t="s">
        <v>26</v>
      </c>
      <c r="I6" s="8" t="s">
        <v>26</v>
      </c>
      <c r="J6" s="8" t="s">
        <v>26</v>
      </c>
      <c r="K6" s="8" t="s">
        <v>26</v>
      </c>
      <c r="L6" s="8" t="s">
        <v>26</v>
      </c>
      <c r="M6" s="8" t="s">
        <v>26</v>
      </c>
      <c r="N6" s="8" t="s">
        <v>26</v>
      </c>
      <c r="O6" s="8" t="s">
        <v>26</v>
      </c>
      <c r="P6" s="8" t="s">
        <v>26</v>
      </c>
      <c r="Q6" s="8" t="s">
        <v>26</v>
      </c>
      <c r="R6" s="8" t="s">
        <v>26</v>
      </c>
      <c r="S6" s="8" t="s">
        <v>26</v>
      </c>
      <c r="T6" s="8" t="s">
        <v>26</v>
      </c>
      <c r="U6" s="8" t="s">
        <v>26</v>
      </c>
      <c r="V6" s="8" t="s">
        <v>26</v>
      </c>
      <c r="W6" s="8" t="s">
        <v>26</v>
      </c>
      <c r="X6" s="8" t="s">
        <v>26</v>
      </c>
      <c r="Y6" s="8" t="s">
        <v>26</v>
      </c>
      <c r="Z6" s="8" t="s">
        <v>26</v>
      </c>
      <c r="AA6" s="8" t="s">
        <v>26</v>
      </c>
      <c r="AB6" s="8" t="s">
        <v>26</v>
      </c>
      <c r="AC6" s="8" t="s">
        <v>26</v>
      </c>
      <c r="AD6" s="8" t="s">
        <v>26</v>
      </c>
      <c r="AE6" s="8" t="s">
        <v>26</v>
      </c>
      <c r="AF6" s="8" t="s">
        <v>26</v>
      </c>
      <c r="AG6" s="8" t="s">
        <v>26</v>
      </c>
      <c r="AH6" s="8" t="s">
        <v>26</v>
      </c>
      <c r="AI6" s="8" t="s">
        <v>26</v>
      </c>
      <c r="AJ6" s="8" t="s">
        <v>26</v>
      </c>
      <c r="AK6" s="8" t="s">
        <v>26</v>
      </c>
      <c r="AL6" s="8" t="s">
        <v>26</v>
      </c>
      <c r="AM6" s="8" t="s">
        <v>26</v>
      </c>
      <c r="AN6" s="8" t="s">
        <v>26</v>
      </c>
      <c r="AO6" s="8" t="s">
        <v>26</v>
      </c>
      <c r="AP6" s="8" t="s">
        <v>26</v>
      </c>
      <c r="AQ6" s="8" t="s">
        <v>26</v>
      </c>
      <c r="AR6" s="8" t="s">
        <v>26</v>
      </c>
      <c r="AS6" s="8" t="s">
        <v>26</v>
      </c>
      <c r="AT6" s="8" t="s">
        <v>26</v>
      </c>
      <c r="AU6" s="8" t="s">
        <v>26</v>
      </c>
      <c r="AV6" s="8" t="s">
        <v>26</v>
      </c>
      <c r="AW6" s="8" t="s">
        <v>26</v>
      </c>
      <c r="AX6" s="8" t="s">
        <v>26</v>
      </c>
      <c r="AY6" s="8" t="s">
        <v>26</v>
      </c>
      <c r="AZ6" s="8" t="s">
        <v>26</v>
      </c>
      <c r="BA6" s="8" t="s">
        <v>26</v>
      </c>
      <c r="BB6" s="8" t="s">
        <v>26</v>
      </c>
      <c r="BC6" s="8" t="s">
        <v>26</v>
      </c>
      <c r="BD6" s="8" t="s">
        <v>26</v>
      </c>
      <c r="BE6" s="8" t="s">
        <v>26</v>
      </c>
      <c r="BF6" s="8" t="s">
        <v>26</v>
      </c>
      <c r="BG6" s="8" t="s">
        <v>26</v>
      </c>
      <c r="BH6" s="8" t="s">
        <v>26</v>
      </c>
      <c r="BI6" s="8" t="s">
        <v>26</v>
      </c>
      <c r="BJ6" s="8" t="s">
        <v>26</v>
      </c>
      <c r="BK6" s="8" t="s">
        <v>26</v>
      </c>
      <c r="BL6" s="8" t="s">
        <v>26</v>
      </c>
      <c r="BM6" s="8" t="s">
        <v>26</v>
      </c>
      <c r="BN6" s="8" t="s">
        <v>26</v>
      </c>
      <c r="BO6" s="8" t="s">
        <v>26</v>
      </c>
      <c r="BP6" s="8" t="s">
        <v>26</v>
      </c>
      <c r="BQ6" s="8" t="s">
        <v>26</v>
      </c>
      <c r="BR6" s="8" t="s">
        <v>26</v>
      </c>
      <c r="BS6" s="8" t="s">
        <v>26</v>
      </c>
      <c r="BT6" s="8" t="s">
        <v>26</v>
      </c>
      <c r="BU6" s="8" t="s">
        <v>26</v>
      </c>
      <c r="BV6" s="8" t="s">
        <v>26</v>
      </c>
      <c r="BW6" s="8" t="s">
        <v>26</v>
      </c>
      <c r="BX6" s="8" t="s">
        <v>26</v>
      </c>
      <c r="BY6" s="8" t="s">
        <v>26</v>
      </c>
      <c r="BZ6" s="8" t="s">
        <v>26</v>
      </c>
      <c r="CA6" s="8" t="s">
        <v>27</v>
      </c>
      <c r="CB6" s="8" t="s">
        <v>27</v>
      </c>
      <c r="CC6" s="8" t="s">
        <v>26</v>
      </c>
      <c r="CD6" s="8" t="s">
        <v>26</v>
      </c>
      <c r="CE6" s="8" t="s">
        <v>27</v>
      </c>
      <c r="CF6" s="8" t="s">
        <v>27</v>
      </c>
      <c r="CG6" s="8" t="s">
        <v>26</v>
      </c>
      <c r="CH6" s="8" t="s">
        <v>26</v>
      </c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1"/>
    </row>
    <row r="7" spans="1:103" ht="12.75">
      <c r="A7" s="4"/>
      <c r="B7" s="9" t="s">
        <v>28</v>
      </c>
      <c r="C7" s="8" t="s">
        <v>29</v>
      </c>
      <c r="D7" s="8" t="s">
        <v>29</v>
      </c>
      <c r="E7" s="8" t="s">
        <v>29</v>
      </c>
      <c r="F7" s="8" t="s">
        <v>30</v>
      </c>
      <c r="G7" s="8" t="s">
        <v>29</v>
      </c>
      <c r="H7" s="8" t="s">
        <v>29</v>
      </c>
      <c r="I7" s="8" t="s">
        <v>29</v>
      </c>
      <c r="J7" s="8" t="s">
        <v>30</v>
      </c>
      <c r="K7" s="8" t="s">
        <v>29</v>
      </c>
      <c r="L7" s="8" t="s">
        <v>29</v>
      </c>
      <c r="M7" s="8" t="s">
        <v>29</v>
      </c>
      <c r="N7" s="8" t="s">
        <v>30</v>
      </c>
      <c r="O7" s="8" t="s">
        <v>29</v>
      </c>
      <c r="P7" s="8" t="s">
        <v>29</v>
      </c>
      <c r="Q7" s="8" t="s">
        <v>29</v>
      </c>
      <c r="R7" s="8" t="s">
        <v>30</v>
      </c>
      <c r="S7" s="8" t="s">
        <v>29</v>
      </c>
      <c r="T7" s="8" t="s">
        <v>29</v>
      </c>
      <c r="U7" s="8" t="s">
        <v>29</v>
      </c>
      <c r="V7" s="8" t="s">
        <v>30</v>
      </c>
      <c r="W7" s="8" t="s">
        <v>29</v>
      </c>
      <c r="X7" s="8" t="s">
        <v>29</v>
      </c>
      <c r="Y7" s="8" t="s">
        <v>29</v>
      </c>
      <c r="Z7" s="8" t="s">
        <v>30</v>
      </c>
      <c r="AA7" s="8" t="s">
        <v>29</v>
      </c>
      <c r="AB7" s="8" t="s">
        <v>29</v>
      </c>
      <c r="AC7" s="8" t="s">
        <v>29</v>
      </c>
      <c r="AD7" s="8" t="s">
        <v>30</v>
      </c>
      <c r="AE7" s="8" t="s">
        <v>29</v>
      </c>
      <c r="AF7" s="8" t="s">
        <v>29</v>
      </c>
      <c r="AG7" s="8" t="s">
        <v>29</v>
      </c>
      <c r="AH7" s="8" t="s">
        <v>30</v>
      </c>
      <c r="AI7" s="8" t="s">
        <v>29</v>
      </c>
      <c r="AJ7" s="8" t="s">
        <v>29</v>
      </c>
      <c r="AK7" s="8" t="s">
        <v>29</v>
      </c>
      <c r="AL7" s="8" t="s">
        <v>30</v>
      </c>
      <c r="AM7" s="8" t="s">
        <v>29</v>
      </c>
      <c r="AN7" s="8" t="s">
        <v>29</v>
      </c>
      <c r="AO7" s="8" t="s">
        <v>29</v>
      </c>
      <c r="AP7" s="8" t="s">
        <v>30</v>
      </c>
      <c r="AQ7" s="8" t="s">
        <v>29</v>
      </c>
      <c r="AR7" s="8" t="s">
        <v>29</v>
      </c>
      <c r="AS7" s="8" t="s">
        <v>29</v>
      </c>
      <c r="AT7" s="8" t="s">
        <v>30</v>
      </c>
      <c r="AU7" s="8" t="s">
        <v>29</v>
      </c>
      <c r="AV7" s="8" t="s">
        <v>29</v>
      </c>
      <c r="AW7" s="8" t="s">
        <v>29</v>
      </c>
      <c r="AX7" s="8" t="s">
        <v>30</v>
      </c>
      <c r="AY7" s="8" t="s">
        <v>29</v>
      </c>
      <c r="AZ7" s="8" t="s">
        <v>29</v>
      </c>
      <c r="BA7" s="8" t="s">
        <v>29</v>
      </c>
      <c r="BB7" s="8" t="s">
        <v>30</v>
      </c>
      <c r="BC7" s="8" t="s">
        <v>29</v>
      </c>
      <c r="BD7" s="8" t="s">
        <v>29</v>
      </c>
      <c r="BE7" s="8" t="s">
        <v>29</v>
      </c>
      <c r="BF7" s="8" t="s">
        <v>30</v>
      </c>
      <c r="BG7" s="8" t="s">
        <v>29</v>
      </c>
      <c r="BH7" s="8" t="s">
        <v>29</v>
      </c>
      <c r="BI7" s="8" t="s">
        <v>29</v>
      </c>
      <c r="BJ7" s="8" t="s">
        <v>30</v>
      </c>
      <c r="BK7" s="8" t="s">
        <v>29</v>
      </c>
      <c r="BL7" s="8" t="s">
        <v>29</v>
      </c>
      <c r="BM7" s="8" t="s">
        <v>29</v>
      </c>
      <c r="BN7" s="8" t="s">
        <v>30</v>
      </c>
      <c r="BO7" s="8" t="s">
        <v>29</v>
      </c>
      <c r="BP7" s="8" t="s">
        <v>29</v>
      </c>
      <c r="BQ7" s="8" t="s">
        <v>29</v>
      </c>
      <c r="BR7" s="8" t="s">
        <v>30</v>
      </c>
      <c r="BS7" s="8" t="s">
        <v>29</v>
      </c>
      <c r="BT7" s="8" t="s">
        <v>29</v>
      </c>
      <c r="BU7" s="8" t="s">
        <v>29</v>
      </c>
      <c r="BV7" s="8" t="s">
        <v>30</v>
      </c>
      <c r="BW7" s="8" t="s">
        <v>29</v>
      </c>
      <c r="BX7" s="8" t="s">
        <v>29</v>
      </c>
      <c r="BY7" s="8" t="s">
        <v>29</v>
      </c>
      <c r="BZ7" s="8" t="s">
        <v>30</v>
      </c>
      <c r="CA7" s="8" t="s">
        <v>31</v>
      </c>
      <c r="CB7" s="8" t="s">
        <v>32</v>
      </c>
      <c r="CC7" s="8" t="s">
        <v>32</v>
      </c>
      <c r="CD7" s="8" t="s">
        <v>30</v>
      </c>
      <c r="CE7" s="8" t="s">
        <v>31</v>
      </c>
      <c r="CF7" s="8" t="s">
        <v>32</v>
      </c>
      <c r="CG7" s="8" t="s">
        <v>32</v>
      </c>
      <c r="CH7" s="8" t="s">
        <v>30</v>
      </c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1"/>
    </row>
    <row r="8" spans="1:103" ht="12.75">
      <c r="A8" s="4"/>
      <c r="B8" s="4"/>
      <c r="C8" s="8" t="s">
        <v>33</v>
      </c>
      <c r="D8" s="8" t="s">
        <v>32</v>
      </c>
      <c r="E8" s="8" t="s">
        <v>32</v>
      </c>
      <c r="F8" s="8" t="s">
        <v>34</v>
      </c>
      <c r="G8" s="8" t="s">
        <v>33</v>
      </c>
      <c r="H8" s="8" t="s">
        <v>32</v>
      </c>
      <c r="I8" s="8" t="s">
        <v>32</v>
      </c>
      <c r="J8" s="8" t="s">
        <v>34</v>
      </c>
      <c r="K8" s="8" t="s">
        <v>33</v>
      </c>
      <c r="L8" s="8" t="s">
        <v>32</v>
      </c>
      <c r="M8" s="8" t="s">
        <v>32</v>
      </c>
      <c r="N8" s="8" t="s">
        <v>34</v>
      </c>
      <c r="O8" s="8" t="s">
        <v>33</v>
      </c>
      <c r="P8" s="8" t="s">
        <v>32</v>
      </c>
      <c r="Q8" s="8" t="s">
        <v>32</v>
      </c>
      <c r="R8" s="8" t="s">
        <v>34</v>
      </c>
      <c r="S8" s="8" t="s">
        <v>33</v>
      </c>
      <c r="T8" s="8" t="s">
        <v>32</v>
      </c>
      <c r="U8" s="8" t="s">
        <v>32</v>
      </c>
      <c r="V8" s="8" t="s">
        <v>34</v>
      </c>
      <c r="W8" s="8" t="s">
        <v>33</v>
      </c>
      <c r="X8" s="8" t="s">
        <v>32</v>
      </c>
      <c r="Y8" s="8" t="s">
        <v>32</v>
      </c>
      <c r="Z8" s="8" t="s">
        <v>34</v>
      </c>
      <c r="AA8" s="8" t="s">
        <v>33</v>
      </c>
      <c r="AB8" s="8" t="s">
        <v>32</v>
      </c>
      <c r="AC8" s="8" t="s">
        <v>32</v>
      </c>
      <c r="AD8" s="8" t="s">
        <v>34</v>
      </c>
      <c r="AE8" s="8" t="s">
        <v>33</v>
      </c>
      <c r="AF8" s="8" t="s">
        <v>32</v>
      </c>
      <c r="AG8" s="8" t="s">
        <v>32</v>
      </c>
      <c r="AH8" s="8" t="s">
        <v>34</v>
      </c>
      <c r="AI8" s="8" t="s">
        <v>33</v>
      </c>
      <c r="AJ8" s="8" t="s">
        <v>32</v>
      </c>
      <c r="AK8" s="8" t="s">
        <v>32</v>
      </c>
      <c r="AL8" s="8" t="s">
        <v>34</v>
      </c>
      <c r="AM8" s="8" t="s">
        <v>33</v>
      </c>
      <c r="AN8" s="8" t="s">
        <v>32</v>
      </c>
      <c r="AO8" s="8" t="s">
        <v>32</v>
      </c>
      <c r="AP8" s="8" t="s">
        <v>34</v>
      </c>
      <c r="AQ8" s="8" t="s">
        <v>33</v>
      </c>
      <c r="AR8" s="8" t="s">
        <v>32</v>
      </c>
      <c r="AS8" s="8" t="s">
        <v>32</v>
      </c>
      <c r="AT8" s="8" t="s">
        <v>34</v>
      </c>
      <c r="AU8" s="8" t="s">
        <v>33</v>
      </c>
      <c r="AV8" s="8" t="s">
        <v>32</v>
      </c>
      <c r="AW8" s="8" t="s">
        <v>32</v>
      </c>
      <c r="AX8" s="8" t="s">
        <v>34</v>
      </c>
      <c r="AY8" s="8" t="s">
        <v>33</v>
      </c>
      <c r="AZ8" s="8" t="s">
        <v>32</v>
      </c>
      <c r="BA8" s="8" t="s">
        <v>32</v>
      </c>
      <c r="BB8" s="8" t="s">
        <v>34</v>
      </c>
      <c r="BC8" s="8" t="s">
        <v>33</v>
      </c>
      <c r="BD8" s="8" t="s">
        <v>32</v>
      </c>
      <c r="BE8" s="8" t="s">
        <v>32</v>
      </c>
      <c r="BF8" s="8" t="s">
        <v>34</v>
      </c>
      <c r="BG8" s="8" t="s">
        <v>33</v>
      </c>
      <c r="BH8" s="8" t="s">
        <v>32</v>
      </c>
      <c r="BI8" s="8" t="s">
        <v>32</v>
      </c>
      <c r="BJ8" s="8" t="s">
        <v>34</v>
      </c>
      <c r="BK8" s="8" t="s">
        <v>33</v>
      </c>
      <c r="BL8" s="8" t="s">
        <v>32</v>
      </c>
      <c r="BM8" s="8" t="s">
        <v>32</v>
      </c>
      <c r="BN8" s="8" t="s">
        <v>34</v>
      </c>
      <c r="BO8" s="8" t="s">
        <v>33</v>
      </c>
      <c r="BP8" s="8" t="s">
        <v>32</v>
      </c>
      <c r="BQ8" s="8" t="s">
        <v>32</v>
      </c>
      <c r="BR8" s="8" t="s">
        <v>34</v>
      </c>
      <c r="BS8" s="8" t="s">
        <v>33</v>
      </c>
      <c r="BT8" s="8" t="s">
        <v>32</v>
      </c>
      <c r="BU8" s="8" t="s">
        <v>32</v>
      </c>
      <c r="BV8" s="8" t="s">
        <v>34</v>
      </c>
      <c r="BW8" s="8" t="s">
        <v>33</v>
      </c>
      <c r="BX8" s="8" t="s">
        <v>32</v>
      </c>
      <c r="BY8" s="8" t="s">
        <v>32</v>
      </c>
      <c r="BZ8" s="8" t="s">
        <v>34</v>
      </c>
      <c r="CA8" s="8" t="s">
        <v>29</v>
      </c>
      <c r="CB8" s="8" t="s">
        <v>35</v>
      </c>
      <c r="CC8" s="8" t="s">
        <v>35</v>
      </c>
      <c r="CD8" s="8" t="s">
        <v>34</v>
      </c>
      <c r="CE8" s="8" t="s">
        <v>29</v>
      </c>
      <c r="CF8" s="8" t="s">
        <v>35</v>
      </c>
      <c r="CG8" s="8" t="s">
        <v>35</v>
      </c>
      <c r="CH8" s="8" t="s">
        <v>34</v>
      </c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1"/>
    </row>
    <row r="9" spans="1:103" ht="12.75">
      <c r="A9" s="4"/>
      <c r="B9" s="4"/>
      <c r="C9" s="4"/>
      <c r="D9" s="4"/>
      <c r="E9" s="8" t="s">
        <v>36</v>
      </c>
      <c r="F9" s="4"/>
      <c r="G9" s="4"/>
      <c r="H9" s="4"/>
      <c r="I9" s="8" t="s">
        <v>36</v>
      </c>
      <c r="J9" s="4"/>
      <c r="K9" s="4"/>
      <c r="L9" s="4"/>
      <c r="M9" s="8" t="s">
        <v>36</v>
      </c>
      <c r="N9" s="4"/>
      <c r="O9" s="4"/>
      <c r="P9" s="4"/>
      <c r="Q9" s="8" t="s">
        <v>36</v>
      </c>
      <c r="R9" s="4"/>
      <c r="S9" s="4"/>
      <c r="T9" s="4"/>
      <c r="U9" s="8" t="s">
        <v>36</v>
      </c>
      <c r="V9" s="4"/>
      <c r="W9" s="4"/>
      <c r="X9" s="4"/>
      <c r="Y9" s="8" t="s">
        <v>36</v>
      </c>
      <c r="Z9" s="4"/>
      <c r="AA9" s="4"/>
      <c r="AB9" s="4"/>
      <c r="AC9" s="8" t="s">
        <v>36</v>
      </c>
      <c r="AD9" s="5" t="s">
        <v>37</v>
      </c>
      <c r="AE9" s="4"/>
      <c r="AF9" s="4"/>
      <c r="AG9" s="8" t="s">
        <v>36</v>
      </c>
      <c r="AH9" s="5" t="s">
        <v>37</v>
      </c>
      <c r="AI9" s="4"/>
      <c r="AJ9" s="4"/>
      <c r="AK9" s="8" t="s">
        <v>36</v>
      </c>
      <c r="AL9" s="4"/>
      <c r="AM9" s="4"/>
      <c r="AN9" s="4"/>
      <c r="AO9" s="8" t="s">
        <v>36</v>
      </c>
      <c r="AP9" s="4"/>
      <c r="AQ9" s="4"/>
      <c r="AR9" s="4"/>
      <c r="AS9" s="8" t="s">
        <v>36</v>
      </c>
      <c r="AT9" s="4"/>
      <c r="AU9" s="4"/>
      <c r="AV9" s="4"/>
      <c r="AW9" s="8" t="s">
        <v>36</v>
      </c>
      <c r="AX9" s="4"/>
      <c r="AY9" s="4"/>
      <c r="AZ9" s="4"/>
      <c r="BA9" s="8" t="s">
        <v>36</v>
      </c>
      <c r="BB9" s="4"/>
      <c r="BC9" s="4"/>
      <c r="BD9" s="4"/>
      <c r="BE9" s="8" t="s">
        <v>36</v>
      </c>
      <c r="BF9" s="4"/>
      <c r="BG9" s="4"/>
      <c r="BH9" s="4"/>
      <c r="BI9" s="8" t="s">
        <v>36</v>
      </c>
      <c r="BJ9" s="4"/>
      <c r="BK9" s="4"/>
      <c r="BL9" s="4"/>
      <c r="BM9" s="8" t="s">
        <v>36</v>
      </c>
      <c r="BN9" s="4"/>
      <c r="BO9" s="4"/>
      <c r="BP9" s="4"/>
      <c r="BQ9" s="8" t="s">
        <v>36</v>
      </c>
      <c r="BR9" s="4"/>
      <c r="BS9" s="4"/>
      <c r="BT9" s="4"/>
      <c r="BU9" s="8" t="s">
        <v>36</v>
      </c>
      <c r="BV9" s="4"/>
      <c r="BW9" s="4"/>
      <c r="BX9" s="4"/>
      <c r="BY9" s="8" t="s">
        <v>36</v>
      </c>
      <c r="BZ9" s="4"/>
      <c r="CA9" s="8" t="s">
        <v>33</v>
      </c>
      <c r="CB9" s="8" t="s">
        <v>31</v>
      </c>
      <c r="CC9" s="8" t="s">
        <v>31</v>
      </c>
      <c r="CD9" s="4"/>
      <c r="CE9" s="8" t="s">
        <v>33</v>
      </c>
      <c r="CF9" s="8" t="s">
        <v>31</v>
      </c>
      <c r="CG9" s="8" t="s">
        <v>31</v>
      </c>
      <c r="CH9" s="4"/>
      <c r="CI9" s="23"/>
      <c r="CJ9" s="23"/>
      <c r="CK9" s="22"/>
      <c r="CL9" s="23"/>
      <c r="CM9" s="22"/>
      <c r="CN9" s="22"/>
      <c r="CO9" s="22"/>
      <c r="CP9" s="23"/>
      <c r="CQ9" s="22"/>
      <c r="CR9" s="22"/>
      <c r="CS9" s="22"/>
      <c r="CT9" s="23"/>
      <c r="CU9" s="22"/>
      <c r="CV9" s="22"/>
      <c r="CW9" s="22"/>
      <c r="CX9" s="23"/>
      <c r="CY9" s="21"/>
    </row>
    <row r="10" spans="1:103" ht="13.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8" t="s">
        <v>36</v>
      </c>
      <c r="CD10" s="4"/>
      <c r="CE10" s="4"/>
      <c r="CF10" s="4"/>
      <c r="CG10" s="8" t="s">
        <v>36</v>
      </c>
      <c r="CH10" s="4"/>
      <c r="CI10" s="23"/>
      <c r="CJ10" s="23"/>
      <c r="CK10" s="23"/>
      <c r="CL10" s="23"/>
      <c r="CM10" s="23"/>
      <c r="CN10" s="23"/>
      <c r="CO10" s="22"/>
      <c r="CP10" s="23"/>
      <c r="CQ10" s="23"/>
      <c r="CR10" s="23"/>
      <c r="CS10" s="22"/>
      <c r="CT10" s="23"/>
      <c r="CU10" s="23"/>
      <c r="CV10" s="23"/>
      <c r="CW10" s="22"/>
      <c r="CX10" s="23"/>
      <c r="CY10" s="21"/>
    </row>
    <row r="11" spans="1:103" ht="13.5" thickTop="1">
      <c r="A11" s="10" t="s">
        <v>3</v>
      </c>
      <c r="B11" s="7"/>
      <c r="C11" s="31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1"/>
    </row>
    <row r="12" spans="1:103" ht="12.75">
      <c r="A12" s="26">
        <v>1</v>
      </c>
      <c r="B12" s="27" t="s">
        <v>38</v>
      </c>
      <c r="C12" s="43">
        <v>2.1602</v>
      </c>
      <c r="D12" s="44">
        <v>65.22</v>
      </c>
      <c r="E12" s="44">
        <f>D$34/C12</f>
        <v>65.22081288769557</v>
      </c>
      <c r="F12" s="4"/>
      <c r="G12" s="4">
        <v>2.1616</v>
      </c>
      <c r="H12" s="4">
        <v>65</v>
      </c>
      <c r="I12" s="16">
        <f>H$34/G12</f>
        <v>64.99814951887491</v>
      </c>
      <c r="J12" s="4"/>
      <c r="K12" s="4">
        <v>2.1807</v>
      </c>
      <c r="L12" s="16">
        <v>64.64</v>
      </c>
      <c r="M12" s="16">
        <f>L$34/K12</f>
        <v>64.63979456137938</v>
      </c>
      <c r="N12" s="4"/>
      <c r="O12" s="4">
        <v>2.1773</v>
      </c>
      <c r="P12" s="16">
        <v>64.78</v>
      </c>
      <c r="Q12" s="16">
        <f>P$34/O12</f>
        <v>64.78206953566345</v>
      </c>
      <c r="R12" s="4"/>
      <c r="S12" s="4">
        <v>2.1746</v>
      </c>
      <c r="T12" s="16">
        <v>64.68</v>
      </c>
      <c r="U12" s="16">
        <f>T$34/S12</f>
        <v>64.67396302768324</v>
      </c>
      <c r="V12" s="4"/>
      <c r="W12" s="12">
        <v>2.1804</v>
      </c>
      <c r="X12" s="16">
        <v>64.64</v>
      </c>
      <c r="Y12" s="16">
        <f>X$34/W12</f>
        <v>64.64410199963308</v>
      </c>
      <c r="Z12" s="4"/>
      <c r="AA12" s="4">
        <v>2.1902</v>
      </c>
      <c r="AB12" s="16">
        <v>64.37</v>
      </c>
      <c r="AC12" s="16">
        <f>AB$34/AA12</f>
        <v>64.36855081727695</v>
      </c>
      <c r="AD12" s="4"/>
      <c r="AE12" s="4">
        <v>2.1855</v>
      </c>
      <c r="AF12" s="16">
        <v>64.44</v>
      </c>
      <c r="AG12" s="16">
        <f>AF$34/AE12</f>
        <v>64.4383436284603</v>
      </c>
      <c r="AH12" s="4"/>
      <c r="AI12" s="4">
        <v>2.216</v>
      </c>
      <c r="AJ12" s="16">
        <v>63.78</v>
      </c>
      <c r="AK12" s="16">
        <f>AJ$34/AI12</f>
        <v>63.78158844765343</v>
      </c>
      <c r="AL12" s="4"/>
      <c r="AM12" s="4">
        <v>2.22</v>
      </c>
      <c r="AN12" s="16">
        <v>63.72</v>
      </c>
      <c r="AO12" s="16">
        <f>AN$34/AM12</f>
        <v>63.725225225225216</v>
      </c>
      <c r="AP12" s="4"/>
      <c r="AQ12" s="4">
        <v>2.216</v>
      </c>
      <c r="AR12" s="16">
        <v>63.58</v>
      </c>
      <c r="AS12" s="16">
        <f>AR$34/AQ12</f>
        <v>63.57851985559566</v>
      </c>
      <c r="AT12" s="4"/>
      <c r="AU12" s="4">
        <v>2.2112</v>
      </c>
      <c r="AV12" s="16">
        <v>63.63</v>
      </c>
      <c r="AW12" s="16">
        <f>AV$34/AU12</f>
        <v>63.62608538350217</v>
      </c>
      <c r="AX12" s="4"/>
      <c r="AY12" s="4">
        <v>2.2261</v>
      </c>
      <c r="AZ12" s="16">
        <v>63.04</v>
      </c>
      <c r="BA12" s="16">
        <f>AZ$34/AY12</f>
        <v>63.03849782130183</v>
      </c>
      <c r="BB12" s="4"/>
      <c r="BC12" s="4">
        <v>2.2167</v>
      </c>
      <c r="BD12" s="16">
        <v>62.78</v>
      </c>
      <c r="BE12" s="16">
        <f>BD$34/BC12</f>
        <v>62.7825145486534</v>
      </c>
      <c r="BF12" s="4"/>
      <c r="BG12" s="4">
        <v>2.223</v>
      </c>
      <c r="BH12" s="16">
        <v>61.69</v>
      </c>
      <c r="BI12" s="16">
        <f>BH$34/BG12</f>
        <v>61.686909581646425</v>
      </c>
      <c r="BJ12" s="4"/>
      <c r="BK12" s="4">
        <v>2.2253</v>
      </c>
      <c r="BL12" s="16">
        <v>62.03</v>
      </c>
      <c r="BM12" s="16">
        <f>BL$34/BK12</f>
        <v>62.032085561497325</v>
      </c>
      <c r="BN12" s="4"/>
      <c r="BO12" s="4">
        <v>2.2289</v>
      </c>
      <c r="BP12" s="16">
        <v>62.54</v>
      </c>
      <c r="BQ12" s="16">
        <f>BP$34/BO12</f>
        <v>62.54206110637535</v>
      </c>
      <c r="BR12" s="4"/>
      <c r="BS12" s="4">
        <v>2.223</v>
      </c>
      <c r="BT12" s="16">
        <v>62.81</v>
      </c>
      <c r="BU12" s="16">
        <f>BT$34/BS12</f>
        <v>62.81601439496176</v>
      </c>
      <c r="BV12" s="4"/>
      <c r="BW12" s="4">
        <v>2.2213</v>
      </c>
      <c r="BX12" s="16">
        <v>62.83</v>
      </c>
      <c r="BY12" s="16">
        <f>BX$34/BW12</f>
        <v>62.83257551884032</v>
      </c>
      <c r="BZ12" s="4"/>
      <c r="CA12" s="4">
        <v>2.208</v>
      </c>
      <c r="CB12" s="16">
        <v>62.87</v>
      </c>
      <c r="CC12" s="16">
        <f>CB$34/CA12</f>
        <v>62.86684782608695</v>
      </c>
      <c r="CD12" s="4"/>
      <c r="CE12" s="4">
        <f aca="true" t="shared" si="0" ref="CE12:CE28">(+C12+G12+K12+O12+S12+W12+AA12+AE12+AI12+AM12+AQ12+AU12+AY12+BC12+BG12+BK12+BO12+BS12+BW12+CA12)/20</f>
        <v>2.2023</v>
      </c>
      <c r="CF12" s="4">
        <f aca="true" t="shared" si="1" ref="CF12:CH27">(+D12+H12+L12+P12+T12+X12+AB12+AF12+AJ12+AN12+AR12+AV12+AZ12+BD12+BH12+BL12+BP12+BT12+BX12+CB12)/20</f>
        <v>63.65349999999999</v>
      </c>
      <c r="CG12" s="4">
        <f t="shared" si="1"/>
        <v>63.653735562400335</v>
      </c>
      <c r="CH12" s="4">
        <f t="shared" si="1"/>
        <v>0</v>
      </c>
      <c r="CI12" s="23"/>
      <c r="CJ12" s="42"/>
      <c r="CK12" s="42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1"/>
    </row>
    <row r="13" spans="1:103" ht="12.75">
      <c r="A13" s="26">
        <v>2</v>
      </c>
      <c r="B13" s="27" t="s">
        <v>39</v>
      </c>
      <c r="C13" s="43">
        <v>121.75</v>
      </c>
      <c r="D13" s="44">
        <v>115.72</v>
      </c>
      <c r="E13" s="44">
        <f>D$34/C13*100</f>
        <v>115.72073921971251</v>
      </c>
      <c r="F13" s="4"/>
      <c r="G13" s="4">
        <v>121.58</v>
      </c>
      <c r="H13" s="4">
        <v>115.56</v>
      </c>
      <c r="I13" s="16">
        <f>H$34/G13*100</f>
        <v>115.56177002796512</v>
      </c>
      <c r="J13" s="4"/>
      <c r="K13" s="4">
        <v>121.61</v>
      </c>
      <c r="L13" s="16">
        <v>115.91</v>
      </c>
      <c r="M13" s="16">
        <f>L$34/K13*100</f>
        <v>115.91152043417483</v>
      </c>
      <c r="N13" s="4"/>
      <c r="O13" s="4">
        <v>121.41</v>
      </c>
      <c r="P13" s="16">
        <v>116.18</v>
      </c>
      <c r="Q13" s="16">
        <f>P$34/O13*100</f>
        <v>116.17659171402686</v>
      </c>
      <c r="R13" s="4"/>
      <c r="S13" s="4">
        <v>121.1</v>
      </c>
      <c r="T13" s="16">
        <v>116.14</v>
      </c>
      <c r="U13" s="16">
        <f>T$34/S13*100</f>
        <v>116.13542526837324</v>
      </c>
      <c r="V13" s="4"/>
      <c r="W13" s="4">
        <v>120.75</v>
      </c>
      <c r="X13" s="16">
        <v>116.73</v>
      </c>
      <c r="Y13" s="16">
        <f>X$34/W13*100</f>
        <v>116.7287784679089</v>
      </c>
      <c r="Z13" s="4"/>
      <c r="AA13" s="4">
        <v>120.18</v>
      </c>
      <c r="AB13" s="16">
        <v>117.31</v>
      </c>
      <c r="AC13" s="16">
        <f>AB$34/AA13*100</f>
        <v>117.30737227492094</v>
      </c>
      <c r="AD13" s="4"/>
      <c r="AE13" s="4">
        <v>120.15</v>
      </c>
      <c r="AF13" s="16">
        <v>117.21</v>
      </c>
      <c r="AG13" s="16">
        <f>AF$34/AE13*100</f>
        <v>117.21181856013317</v>
      </c>
      <c r="AH13" s="4"/>
      <c r="AI13" s="4">
        <v>121.31</v>
      </c>
      <c r="AJ13" s="16">
        <v>116.51</v>
      </c>
      <c r="AK13" s="16">
        <f>AJ$34/AI13*100</f>
        <v>116.51141703074768</v>
      </c>
      <c r="AL13" s="4"/>
      <c r="AM13" s="4">
        <v>121.57</v>
      </c>
      <c r="AN13" s="16">
        <v>116.37</v>
      </c>
      <c r="AO13" s="16">
        <f>AN$34/AM13*100</f>
        <v>116.36917002549971</v>
      </c>
      <c r="AP13" s="4"/>
      <c r="AQ13" s="4">
        <v>122.19</v>
      </c>
      <c r="AR13" s="16">
        <v>115.3</v>
      </c>
      <c r="AS13" s="16">
        <f>AR$34/AQ13*100</f>
        <v>115.30403470005727</v>
      </c>
      <c r="AT13" s="4"/>
      <c r="AU13" s="4">
        <v>122.83</v>
      </c>
      <c r="AV13" s="16">
        <v>114.54</v>
      </c>
      <c r="AW13" s="16">
        <f>AV$34/AU13*100</f>
        <v>114.54042172107792</v>
      </c>
      <c r="AX13" s="4"/>
      <c r="AY13" s="4">
        <v>123.29</v>
      </c>
      <c r="AZ13" s="16">
        <v>113.82</v>
      </c>
      <c r="BA13" s="16">
        <f>AZ$34/AY13*100</f>
        <v>113.82107226863494</v>
      </c>
      <c r="BB13" s="4"/>
      <c r="BC13" s="4">
        <v>122.86</v>
      </c>
      <c r="BD13" s="16">
        <v>113.27</v>
      </c>
      <c r="BE13" s="16">
        <f>BD$34/BC13*100</f>
        <v>113.27527266807749</v>
      </c>
      <c r="BF13" s="4"/>
      <c r="BG13" s="4">
        <v>123.14</v>
      </c>
      <c r="BH13" s="16">
        <v>111.36</v>
      </c>
      <c r="BI13" s="16">
        <f>BH$34/BG13*100</f>
        <v>111.36105246061393</v>
      </c>
      <c r="BJ13" s="4"/>
      <c r="BK13" s="4">
        <v>123.79</v>
      </c>
      <c r="BL13" s="16">
        <v>111.51</v>
      </c>
      <c r="BM13" s="16">
        <f>BL$34/BK13*100</f>
        <v>111.51143064867921</v>
      </c>
      <c r="BN13" s="4"/>
      <c r="BO13" s="4">
        <v>124.28</v>
      </c>
      <c r="BP13" s="16">
        <v>112.17</v>
      </c>
      <c r="BQ13" s="16">
        <f>BP$34/BO13*100</f>
        <v>112.16607660122304</v>
      </c>
      <c r="BR13" s="4"/>
      <c r="BS13" s="4">
        <v>124.2</v>
      </c>
      <c r="BT13" s="16">
        <v>112.43</v>
      </c>
      <c r="BU13" s="16">
        <f>BT$34/BS13*100</f>
        <v>112.43156199677938</v>
      </c>
      <c r="BV13" s="4"/>
      <c r="BW13" s="4">
        <v>124.16</v>
      </c>
      <c r="BX13" s="16">
        <v>112.41</v>
      </c>
      <c r="BY13" s="16">
        <f>BX$34/BW13*100</f>
        <v>112.41140463917525</v>
      </c>
      <c r="BZ13" s="4"/>
      <c r="CA13" s="4">
        <v>123.89</v>
      </c>
      <c r="CB13" s="16">
        <v>112.04</v>
      </c>
      <c r="CC13" s="16">
        <f>CB$34/CA13*100</f>
        <v>112.04294131891194</v>
      </c>
      <c r="CD13" s="4"/>
      <c r="CE13" s="4">
        <f t="shared" si="0"/>
        <v>122.30199999999998</v>
      </c>
      <c r="CF13" s="4">
        <f t="shared" si="1"/>
        <v>114.62449999999997</v>
      </c>
      <c r="CG13" s="4">
        <f t="shared" si="1"/>
        <v>114.62499360233464</v>
      </c>
      <c r="CH13" s="4"/>
      <c r="CI13" s="23"/>
      <c r="CJ13" s="42"/>
      <c r="CK13" s="42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1"/>
    </row>
    <row r="14" spans="1:103" ht="12.75">
      <c r="A14" s="26">
        <v>3</v>
      </c>
      <c r="B14" s="27" t="s">
        <v>40</v>
      </c>
      <c r="C14" s="43">
        <f>1/1.4624</f>
        <v>0.6838074398249453</v>
      </c>
      <c r="D14" s="44">
        <v>206.03</v>
      </c>
      <c r="E14" s="44">
        <f>D$34/C14</f>
        <v>206.037536</v>
      </c>
      <c r="F14" s="4"/>
      <c r="G14" s="4">
        <f>1/1.4651</f>
        <v>0.6825472663981981</v>
      </c>
      <c r="H14" s="4">
        <v>205.85</v>
      </c>
      <c r="I14" s="16">
        <f>H$34/G14</f>
        <v>205.84655</v>
      </c>
      <c r="J14" s="4"/>
      <c r="K14" s="4">
        <f>1/1.4563</f>
        <v>0.68667170225915</v>
      </c>
      <c r="L14" s="16">
        <v>205.28</v>
      </c>
      <c r="M14" s="16">
        <f>L$34/K14</f>
        <v>205.280048</v>
      </c>
      <c r="N14" s="4"/>
      <c r="O14" s="4">
        <f>1/1.4577</f>
        <v>0.6860122110173561</v>
      </c>
      <c r="P14" s="16">
        <v>205.61</v>
      </c>
      <c r="Q14" s="16">
        <f>P$34/O14</f>
        <v>205.60858500000003</v>
      </c>
      <c r="R14" s="4"/>
      <c r="S14" s="4">
        <f>1/1.4646</f>
        <v>0.682780281305476</v>
      </c>
      <c r="T14" s="16">
        <v>205.98</v>
      </c>
      <c r="U14" s="16">
        <f>T$34/S14</f>
        <v>205.98134399999995</v>
      </c>
      <c r="V14" s="4"/>
      <c r="W14" s="4">
        <f>1/1.4639</f>
        <v>0.6831067695880866</v>
      </c>
      <c r="X14" s="16">
        <v>206.33</v>
      </c>
      <c r="Y14" s="16">
        <f>X$34/W14</f>
        <v>206.336705</v>
      </c>
      <c r="Z14" s="4"/>
      <c r="AA14" s="4">
        <f>1/1.4573</f>
        <v>0.6862005077883757</v>
      </c>
      <c r="AB14" s="16">
        <v>205.45</v>
      </c>
      <c r="AC14" s="16">
        <f>AB$34/AA14</f>
        <v>205.450154</v>
      </c>
      <c r="AD14" s="4"/>
      <c r="AE14" s="4">
        <f>1/1.4585</f>
        <v>0.6856359273225917</v>
      </c>
      <c r="AF14" s="16">
        <v>205.39</v>
      </c>
      <c r="AG14" s="16">
        <f>AF$34/AE14</f>
        <v>205.40055500000003</v>
      </c>
      <c r="AH14" s="4"/>
      <c r="AI14" s="4">
        <f>1/1.4444</f>
        <v>0.6923289947382997</v>
      </c>
      <c r="AJ14" s="16">
        <v>204.15</v>
      </c>
      <c r="AK14" s="16">
        <f>AJ$34/AI14</f>
        <v>204.151496</v>
      </c>
      <c r="AL14" s="4"/>
      <c r="AM14" s="4">
        <f>1/1.4393</f>
        <v>0.6947821857847565</v>
      </c>
      <c r="AN14" s="16">
        <v>203.61</v>
      </c>
      <c r="AO14" s="16">
        <f>AN$34/AM14</f>
        <v>203.617771</v>
      </c>
      <c r="AP14" s="4"/>
      <c r="AQ14" s="4">
        <f>1/1.4375</f>
        <v>0.6956521739130435</v>
      </c>
      <c r="AR14" s="16">
        <v>202.53</v>
      </c>
      <c r="AS14" s="16">
        <f>AR$34/AQ14</f>
        <v>202.529375</v>
      </c>
      <c r="AT14" s="4"/>
      <c r="AU14" s="4">
        <f>1/1.4306</f>
        <v>0.6990074094785405</v>
      </c>
      <c r="AV14" s="16">
        <v>201.27</v>
      </c>
      <c r="AW14" s="16">
        <f>AV$34/AU14</f>
        <v>201.271114</v>
      </c>
      <c r="AX14" s="4"/>
      <c r="AY14" s="4">
        <f>1/1.4133</f>
        <v>0.7075638576381519</v>
      </c>
      <c r="AZ14" s="16">
        <v>198.32</v>
      </c>
      <c r="BA14" s="16">
        <f>AZ$34/AY14</f>
        <v>198.32838900000002</v>
      </c>
      <c r="BB14" s="4"/>
      <c r="BC14" s="4">
        <f>1/1.4166</f>
        <v>0.7059155724975292</v>
      </c>
      <c r="BD14" s="16">
        <v>197.14</v>
      </c>
      <c r="BE14" s="16">
        <f>BD$34/BC14</f>
        <v>197.148222</v>
      </c>
      <c r="BF14" s="4"/>
      <c r="BG14" s="4">
        <f>1/1.4187</f>
        <v>0.7048706562345809</v>
      </c>
      <c r="BH14" s="16">
        <v>194.55</v>
      </c>
      <c r="BI14" s="16">
        <f>BH$34/BG14</f>
        <v>194.546331</v>
      </c>
      <c r="BJ14" s="4"/>
      <c r="BK14" s="4">
        <f>1/1.4108</f>
        <v>0.7088176920895946</v>
      </c>
      <c r="BL14" s="16">
        <v>194.75</v>
      </c>
      <c r="BM14" s="16">
        <f>BL$34/BK14</f>
        <v>194.74683199999998</v>
      </c>
      <c r="BN14" s="4"/>
      <c r="BO14" s="4">
        <f>1/1.4105</f>
        <v>0.7089684509039347</v>
      </c>
      <c r="BP14" s="16">
        <v>196.63</v>
      </c>
      <c r="BQ14" s="16">
        <f>BP$34/BO14</f>
        <v>196.62370000000004</v>
      </c>
      <c r="BR14" s="4"/>
      <c r="BS14" s="4">
        <f>1/1.4125</f>
        <v>0.7079646017699115</v>
      </c>
      <c r="BT14" s="16">
        <v>197.24</v>
      </c>
      <c r="BU14" s="16">
        <f>BT$34/BS14</f>
        <v>197.24149999999997</v>
      </c>
      <c r="BV14" s="4"/>
      <c r="BW14" s="4">
        <f>1/1.4108</f>
        <v>0.7088176920895946</v>
      </c>
      <c r="BX14" s="16">
        <v>196.9</v>
      </c>
      <c r="BY14" s="16">
        <f>BX$34/BW14</f>
        <v>196.90535599999998</v>
      </c>
      <c r="BZ14" s="4"/>
      <c r="CA14" s="4">
        <f>1/1.4241</f>
        <v>0.7021978793624044</v>
      </c>
      <c r="CB14" s="16">
        <v>197.68</v>
      </c>
      <c r="CC14" s="16">
        <f>CB$34/CA14</f>
        <v>197.679321</v>
      </c>
      <c r="CD14" s="4"/>
      <c r="CE14" s="4">
        <f t="shared" si="0"/>
        <v>0.6956824636002261</v>
      </c>
      <c r="CF14" s="4">
        <f t="shared" si="1"/>
        <v>201.53450000000004</v>
      </c>
      <c r="CG14" s="4">
        <f t="shared" si="1"/>
        <v>201.5365442</v>
      </c>
      <c r="CH14" s="4"/>
      <c r="CI14" s="23"/>
      <c r="CJ14" s="42"/>
      <c r="CK14" s="42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1"/>
    </row>
    <row r="15" spans="1:103" ht="12.75">
      <c r="A15" s="26">
        <v>4</v>
      </c>
      <c r="B15" s="27" t="s">
        <v>41</v>
      </c>
      <c r="C15" s="43">
        <v>1.6242</v>
      </c>
      <c r="D15" s="44">
        <v>86.74</v>
      </c>
      <c r="E15" s="44">
        <f>D$34/C15</f>
        <v>86.7442433197882</v>
      </c>
      <c r="F15" s="4"/>
      <c r="G15" s="4">
        <v>1.6279</v>
      </c>
      <c r="H15" s="4">
        <v>86.31</v>
      </c>
      <c r="I15" s="16">
        <f>H$34/G15</f>
        <v>86.3075127464832</v>
      </c>
      <c r="J15" s="4"/>
      <c r="K15" s="4">
        <v>1.6409</v>
      </c>
      <c r="L15" s="16">
        <v>85.9</v>
      </c>
      <c r="M15" s="16">
        <f>L$34/K15</f>
        <v>85.90407703089768</v>
      </c>
      <c r="N15" s="4"/>
      <c r="O15" s="4">
        <v>1.6384</v>
      </c>
      <c r="P15" s="16">
        <v>86.09</v>
      </c>
      <c r="Q15" s="16">
        <f>P$34/O15</f>
        <v>86.090087890625</v>
      </c>
      <c r="R15" s="4"/>
      <c r="S15" s="4">
        <v>1.6337</v>
      </c>
      <c r="T15" s="16">
        <v>86.09</v>
      </c>
      <c r="U15" s="16">
        <f>T$34/S15</f>
        <v>86.08679684152537</v>
      </c>
      <c r="V15" s="4"/>
      <c r="W15" s="4">
        <v>1.637</v>
      </c>
      <c r="X15" s="16">
        <v>86.1</v>
      </c>
      <c r="Y15" s="16">
        <f>X$34/W15</f>
        <v>86.10262675626144</v>
      </c>
      <c r="Z15" s="4"/>
      <c r="AA15" s="4">
        <v>1.6414</v>
      </c>
      <c r="AB15" s="16">
        <v>85.89</v>
      </c>
      <c r="AC15" s="16">
        <f>AB$34/AA15</f>
        <v>85.89009382234677</v>
      </c>
      <c r="AD15" s="4"/>
      <c r="AE15" s="4">
        <v>1.6338</v>
      </c>
      <c r="AF15" s="16">
        <v>86.2</v>
      </c>
      <c r="AG15" s="16">
        <f>AF$34/AE15</f>
        <v>86.19782103072593</v>
      </c>
      <c r="AH15" s="4"/>
      <c r="AI15" s="4">
        <v>1.6641</v>
      </c>
      <c r="AJ15" s="16">
        <v>84.93</v>
      </c>
      <c r="AK15" s="16">
        <f>AJ$34/AI15</f>
        <v>84.93479959137072</v>
      </c>
      <c r="AL15" s="4"/>
      <c r="AM15" s="4">
        <v>1.6674</v>
      </c>
      <c r="AN15" s="16">
        <v>84.84</v>
      </c>
      <c r="AO15" s="16">
        <f>AN$34/AM15</f>
        <v>84.84466834592779</v>
      </c>
      <c r="AP15" s="4"/>
      <c r="AQ15" s="4">
        <v>1.6681</v>
      </c>
      <c r="AR15" s="16">
        <v>84.46</v>
      </c>
      <c r="AS15" s="16">
        <f>AR$34/AQ15</f>
        <v>84.46136322762423</v>
      </c>
      <c r="AT15" s="4"/>
      <c r="AU15" s="4">
        <v>1.658</v>
      </c>
      <c r="AV15" s="16">
        <v>84.86</v>
      </c>
      <c r="AW15" s="16">
        <f>AV$34/AU15</f>
        <v>84.85524728588662</v>
      </c>
      <c r="AX15" s="4"/>
      <c r="AY15" s="4">
        <v>1.6629</v>
      </c>
      <c r="AZ15" s="16">
        <v>84.39</v>
      </c>
      <c r="BA15" s="16">
        <f>AZ$34/AY15</f>
        <v>84.38871850381864</v>
      </c>
      <c r="BB15" s="4"/>
      <c r="BC15" s="4">
        <v>1.6526</v>
      </c>
      <c r="BD15" s="16">
        <v>84.21</v>
      </c>
      <c r="BE15" s="16">
        <f>BD$34/BC15</f>
        <v>84.21275565775142</v>
      </c>
      <c r="BF15" s="4"/>
      <c r="BG15" s="4">
        <v>1.656</v>
      </c>
      <c r="BH15" s="16">
        <v>82.81</v>
      </c>
      <c r="BI15" s="16">
        <f>BH$34/BG15</f>
        <v>82.80797101449275</v>
      </c>
      <c r="BJ15" s="4"/>
      <c r="BK15" s="4">
        <v>1.6576</v>
      </c>
      <c r="BL15" s="16">
        <v>83.28</v>
      </c>
      <c r="BM15" s="16">
        <f>BL$34/BK15</f>
        <v>83.27702702702702</v>
      </c>
      <c r="BN15" s="4"/>
      <c r="BO15" s="4">
        <v>1.667</v>
      </c>
      <c r="BP15" s="16">
        <v>83.62</v>
      </c>
      <c r="BQ15" s="16">
        <f>BP$34/BO15</f>
        <v>83.62327534493102</v>
      </c>
      <c r="BR15" s="4"/>
      <c r="BS15" s="4">
        <v>1.6639</v>
      </c>
      <c r="BT15" s="16">
        <v>83.92</v>
      </c>
      <c r="BU15" s="16">
        <f>BT$34/BS15</f>
        <v>83.92331269908047</v>
      </c>
      <c r="BV15" s="4"/>
      <c r="BW15" s="4">
        <v>1.6636</v>
      </c>
      <c r="BX15" s="16">
        <v>83.89</v>
      </c>
      <c r="BY15" s="16">
        <f>BX$34/BW15</f>
        <v>83.89636931954797</v>
      </c>
      <c r="BZ15" s="4"/>
      <c r="CA15" s="4">
        <v>1.661</v>
      </c>
      <c r="CB15" s="16">
        <v>83.57</v>
      </c>
      <c r="CC15" s="16">
        <f>CB$34/CA15</f>
        <v>83.57013847080073</v>
      </c>
      <c r="CD15" s="4"/>
      <c r="CE15" s="4">
        <f t="shared" si="0"/>
        <v>1.6509749999999996</v>
      </c>
      <c r="CF15" s="4">
        <f t="shared" si="1"/>
        <v>84.90500000000002</v>
      </c>
      <c r="CG15" s="4">
        <f t="shared" si="1"/>
        <v>84.90594529634565</v>
      </c>
      <c r="CH15" s="4"/>
      <c r="CI15" s="23"/>
      <c r="CJ15" s="42"/>
      <c r="CK15" s="42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1"/>
    </row>
    <row r="16" spans="1:103" ht="12.75">
      <c r="A16" s="26">
        <v>5</v>
      </c>
      <c r="B16" s="27" t="s">
        <v>42</v>
      </c>
      <c r="C16" s="43">
        <v>7.2449</v>
      </c>
      <c r="D16" s="44">
        <v>19.45</v>
      </c>
      <c r="E16" s="44">
        <f>D$34/C16</f>
        <v>19.44678325442725</v>
      </c>
      <c r="F16" s="4"/>
      <c r="G16" s="4">
        <v>7.2497</v>
      </c>
      <c r="H16" s="4">
        <v>19.38</v>
      </c>
      <c r="I16" s="16">
        <f>H$34/G16</f>
        <v>19.38011228050816</v>
      </c>
      <c r="J16" s="4"/>
      <c r="K16" s="4">
        <v>7.3136</v>
      </c>
      <c r="L16" s="16">
        <v>19.27</v>
      </c>
      <c r="M16" s="16">
        <f>L$34/K16</f>
        <v>19.273681907678846</v>
      </c>
      <c r="N16" s="4"/>
      <c r="O16" s="4">
        <v>7.3022</v>
      </c>
      <c r="P16" s="16">
        <v>19.32</v>
      </c>
      <c r="Q16" s="16">
        <f>P$34/O16</f>
        <v>19.316096518857332</v>
      </c>
      <c r="R16" s="4"/>
      <c r="S16" s="4">
        <v>7.2933</v>
      </c>
      <c r="T16" s="16">
        <v>19.28</v>
      </c>
      <c r="U16" s="16">
        <f>T$34/S16</f>
        <v>19.28345193533791</v>
      </c>
      <c r="V16" s="4"/>
      <c r="W16" s="4">
        <v>7.3128</v>
      </c>
      <c r="X16" s="16">
        <v>19.27</v>
      </c>
      <c r="Y16" s="16">
        <f>X$34/W16</f>
        <v>19.274422929657586</v>
      </c>
      <c r="Z16" s="4"/>
      <c r="AA16" s="4">
        <v>7.3455</v>
      </c>
      <c r="AB16" s="16">
        <v>19.19</v>
      </c>
      <c r="AC16" s="16">
        <f>AB$34/AA16</f>
        <v>19.192703015451634</v>
      </c>
      <c r="AD16" s="4"/>
      <c r="AE16" s="4">
        <v>7.3299</v>
      </c>
      <c r="AF16" s="16">
        <v>19.21</v>
      </c>
      <c r="AG16" s="16">
        <f>AF$34/AE16</f>
        <v>19.213086126686587</v>
      </c>
      <c r="AH16" s="4"/>
      <c r="AI16" s="4">
        <v>7.4321</v>
      </c>
      <c r="AJ16" s="16">
        <v>19.02</v>
      </c>
      <c r="AK16" s="16">
        <f>AJ$34/AI16</f>
        <v>19.01750514659383</v>
      </c>
      <c r="AL16" s="4"/>
      <c r="AM16" s="4">
        <v>7.4456</v>
      </c>
      <c r="AN16" s="16">
        <v>19</v>
      </c>
      <c r="AO16" s="16">
        <f>AN$34/AM16</f>
        <v>19.000483507037714</v>
      </c>
      <c r="AP16" s="4"/>
      <c r="AQ16" s="4">
        <v>7.4321</v>
      </c>
      <c r="AR16" s="16">
        <v>18.96</v>
      </c>
      <c r="AS16" s="16">
        <f>AR$34/AQ16</f>
        <v>18.956956983894187</v>
      </c>
      <c r="AT16" s="4"/>
      <c r="AU16" s="4">
        <v>7.4161</v>
      </c>
      <c r="AV16" s="16">
        <v>18.97</v>
      </c>
      <c r="AW16" s="16">
        <f>AV$34/AU16</f>
        <v>18.970887663327083</v>
      </c>
      <c r="AX16" s="4"/>
      <c r="AY16" s="4">
        <v>7.4659</v>
      </c>
      <c r="AZ16" s="16">
        <v>18.8</v>
      </c>
      <c r="BA16" s="16">
        <f>AZ$34/AY16</f>
        <v>18.79612638797734</v>
      </c>
      <c r="BB16" s="4"/>
      <c r="BC16" s="4">
        <v>7.4346</v>
      </c>
      <c r="BD16" s="16">
        <v>18.72</v>
      </c>
      <c r="BE16" s="16">
        <f>BD$34/BC16</f>
        <v>18.71923170042773</v>
      </c>
      <c r="BF16" s="4"/>
      <c r="BG16" s="4">
        <v>7.4558</v>
      </c>
      <c r="BH16" s="16">
        <v>18.39</v>
      </c>
      <c r="BI16" s="16">
        <f>BH$34/BG16</f>
        <v>18.392392499798813</v>
      </c>
      <c r="BJ16" s="4"/>
      <c r="BK16" s="4">
        <v>7.4634</v>
      </c>
      <c r="BL16" s="16">
        <v>18.5</v>
      </c>
      <c r="BM16" s="16">
        <f>BL$34/BK16</f>
        <v>18.495591821421872</v>
      </c>
      <c r="BN16" s="4"/>
      <c r="BO16" s="4">
        <v>7.4753</v>
      </c>
      <c r="BP16" s="16">
        <v>18.65</v>
      </c>
      <c r="BQ16" s="16">
        <f>BP$34/BO16</f>
        <v>18.64808101347103</v>
      </c>
      <c r="BR16" s="4"/>
      <c r="BS16" s="4">
        <v>7.4558</v>
      </c>
      <c r="BT16" s="16">
        <v>18.73</v>
      </c>
      <c r="BU16" s="16">
        <f>BT$34/BS16</f>
        <v>18.729043161028997</v>
      </c>
      <c r="BV16" s="4"/>
      <c r="BW16" s="4">
        <v>7.4498</v>
      </c>
      <c r="BX16" s="16">
        <v>18.73</v>
      </c>
      <c r="BY16" s="16">
        <f>BX$34/BW16</f>
        <v>18.73473113372171</v>
      </c>
      <c r="BZ16" s="4"/>
      <c r="CA16" s="4">
        <v>7.4052</v>
      </c>
      <c r="CB16" s="16">
        <v>18.74</v>
      </c>
      <c r="CC16" s="16">
        <f>CB$34/CA16</f>
        <v>18.744935990925295</v>
      </c>
      <c r="CD16" s="4"/>
      <c r="CE16" s="4">
        <f t="shared" si="0"/>
        <v>7.386180000000003</v>
      </c>
      <c r="CF16" s="4">
        <f t="shared" si="1"/>
        <v>18.979000000000003</v>
      </c>
      <c r="CG16" s="4">
        <f t="shared" si="1"/>
        <v>18.979315248911547</v>
      </c>
      <c r="CH16" s="4"/>
      <c r="CI16" s="23"/>
      <c r="CJ16" s="42"/>
      <c r="CK16" s="42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1"/>
    </row>
    <row r="17" spans="1:103" ht="12.75">
      <c r="A17" s="26">
        <v>6</v>
      </c>
      <c r="B17" s="27" t="s">
        <v>43</v>
      </c>
      <c r="C17" s="43">
        <v>2.434</v>
      </c>
      <c r="D17" s="44">
        <v>57.88</v>
      </c>
      <c r="E17" s="44">
        <f>D$34/C17</f>
        <v>57.884141331142146</v>
      </c>
      <c r="F17" s="4"/>
      <c r="G17" s="4">
        <v>2.4356</v>
      </c>
      <c r="H17" s="4">
        <v>57.69</v>
      </c>
      <c r="I17" s="16">
        <f>H$34/G17</f>
        <v>57.6859911315487</v>
      </c>
      <c r="J17" s="4"/>
      <c r="K17" s="4">
        <v>2.457</v>
      </c>
      <c r="L17" s="16">
        <v>57.37</v>
      </c>
      <c r="M17" s="16">
        <f>L$34/K17</f>
        <v>57.370777370777375</v>
      </c>
      <c r="N17" s="4"/>
      <c r="O17" s="4">
        <v>2.4532</v>
      </c>
      <c r="P17" s="16">
        <v>57.5</v>
      </c>
      <c r="Q17" s="16">
        <f>P$34/O17</f>
        <v>57.496331322354486</v>
      </c>
      <c r="R17" s="4"/>
      <c r="S17" s="4">
        <v>2.4502</v>
      </c>
      <c r="T17" s="16">
        <v>57.4</v>
      </c>
      <c r="U17" s="16">
        <f>T$34/S17</f>
        <v>57.3993959676761</v>
      </c>
      <c r="V17" s="4"/>
      <c r="W17" s="4">
        <v>2.4568</v>
      </c>
      <c r="X17" s="16">
        <v>57.37</v>
      </c>
      <c r="Y17" s="16">
        <f>X$34/W17</f>
        <v>57.37137740149788</v>
      </c>
      <c r="Z17" s="4"/>
      <c r="AA17" s="4">
        <v>2.4678</v>
      </c>
      <c r="AB17" s="16">
        <v>57.13</v>
      </c>
      <c r="AC17" s="16">
        <f>AB$34/AA17</f>
        <v>57.12780614312343</v>
      </c>
      <c r="AD17" s="4"/>
      <c r="AE17" s="4">
        <v>2.4625</v>
      </c>
      <c r="AF17" s="16">
        <v>57.19</v>
      </c>
      <c r="AG17" s="16">
        <f>AF$34/AE17</f>
        <v>57.18984771573605</v>
      </c>
      <c r="AH17" s="4"/>
      <c r="AI17" s="4">
        <v>2.4968</v>
      </c>
      <c r="AJ17" s="16">
        <v>56.61</v>
      </c>
      <c r="AK17" s="16">
        <f>AJ$34/AI17</f>
        <v>56.608458827298946</v>
      </c>
      <c r="AL17" s="4"/>
      <c r="AM17" s="4">
        <v>2.5014</v>
      </c>
      <c r="AN17" s="16">
        <v>56.55</v>
      </c>
      <c r="AO17" s="16">
        <f>AN$34/AM17</f>
        <v>56.556328456064605</v>
      </c>
      <c r="AP17" s="4"/>
      <c r="AQ17" s="4">
        <v>2.4968</v>
      </c>
      <c r="AR17" s="16">
        <v>56.43</v>
      </c>
      <c r="AS17" s="16">
        <f>AR$34/AQ17</f>
        <v>56.42822813200897</v>
      </c>
      <c r="AT17" s="4"/>
      <c r="AU17" s="4">
        <v>2.4915</v>
      </c>
      <c r="AV17" s="16">
        <v>56.47</v>
      </c>
      <c r="AW17" s="16">
        <f>AV$34/AU17</f>
        <v>56.46799116997793</v>
      </c>
      <c r="AX17" s="4"/>
      <c r="AY17" s="4">
        <v>2.5082</v>
      </c>
      <c r="AZ17" s="16">
        <v>55.95</v>
      </c>
      <c r="BA17" s="16">
        <f>AZ$34/AY17</f>
        <v>55.94848895622359</v>
      </c>
      <c r="BB17" s="4"/>
      <c r="BC17" s="4">
        <v>2.4977</v>
      </c>
      <c r="BD17" s="16">
        <v>55.72</v>
      </c>
      <c r="BE17" s="16">
        <f>BD$34/BC17</f>
        <v>55.719261720783116</v>
      </c>
      <c r="BF17" s="4"/>
      <c r="BG17" s="4">
        <v>2.5048</v>
      </c>
      <c r="BH17" s="16">
        <v>54.75</v>
      </c>
      <c r="BI17" s="16">
        <f>BH$34/BG17</f>
        <v>54.746885978920474</v>
      </c>
      <c r="BJ17" s="4"/>
      <c r="BK17" s="4">
        <v>2.5074</v>
      </c>
      <c r="BL17" s="16">
        <v>55.05</v>
      </c>
      <c r="BM17" s="16">
        <f>BL$34/BK17</f>
        <v>55.05304299274148</v>
      </c>
      <c r="BN17" s="4"/>
      <c r="BO17" s="4">
        <v>2.5114</v>
      </c>
      <c r="BP17" s="16">
        <v>55.51</v>
      </c>
      <c r="BQ17" s="16">
        <f>BP$34/BO17</f>
        <v>55.50688858803854</v>
      </c>
      <c r="BR17" s="4"/>
      <c r="BS17" s="4">
        <v>2.5048</v>
      </c>
      <c r="BT17" s="16">
        <v>55.75</v>
      </c>
      <c r="BU17" s="16">
        <f>BT$34/BS17</f>
        <v>55.748961992973484</v>
      </c>
      <c r="BV17" s="4"/>
      <c r="BW17" s="4">
        <v>2.5028</v>
      </c>
      <c r="BX17" s="16">
        <v>55.76</v>
      </c>
      <c r="BY17" s="16">
        <f>BX$34/BW17</f>
        <v>55.76554259229662</v>
      </c>
      <c r="BZ17" s="4"/>
      <c r="CA17" s="4">
        <v>2.4878</v>
      </c>
      <c r="CB17" s="16">
        <v>55.8</v>
      </c>
      <c r="CC17" s="16">
        <f>CB$34/CA17</f>
        <v>55.796285875070346</v>
      </c>
      <c r="CD17" s="4"/>
      <c r="CE17" s="4">
        <f t="shared" si="0"/>
        <v>2.481425</v>
      </c>
      <c r="CF17" s="4">
        <f t="shared" si="1"/>
        <v>56.49399999999999</v>
      </c>
      <c r="CG17" s="4">
        <f t="shared" si="1"/>
        <v>56.493601683312725</v>
      </c>
      <c r="CH17" s="4"/>
      <c r="CI17" s="23"/>
      <c r="CJ17" s="42"/>
      <c r="CK17" s="42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1"/>
    </row>
    <row r="18" spans="1:103" ht="12.75">
      <c r="A18" s="26">
        <v>7</v>
      </c>
      <c r="B18" s="27" t="s">
        <v>44</v>
      </c>
      <c r="C18" s="43">
        <v>2138.5796</v>
      </c>
      <c r="D18" s="44">
        <v>65.8</v>
      </c>
      <c r="E18" s="44">
        <f>D$34/C18*1000</f>
        <v>65.88017579518666</v>
      </c>
      <c r="F18" s="4"/>
      <c r="G18" s="4">
        <v>2139.9978</v>
      </c>
      <c r="H18" s="4">
        <v>65.66</v>
      </c>
      <c r="I18" s="16">
        <f>H$34/G18*1000</f>
        <v>65.65427310252375</v>
      </c>
      <c r="J18" s="4"/>
      <c r="K18" s="4">
        <v>2158.8471</v>
      </c>
      <c r="L18" s="16">
        <v>65.29</v>
      </c>
      <c r="M18" s="16">
        <f>L$34/K18*1000</f>
        <v>65.29410999046667</v>
      </c>
      <c r="N18" s="4"/>
      <c r="O18" s="4">
        <v>2155.4826</v>
      </c>
      <c r="P18" s="16">
        <v>65.44</v>
      </c>
      <c r="Q18" s="16">
        <f>P$34/O18*1000</f>
        <v>65.43778177564506</v>
      </c>
      <c r="R18" s="4"/>
      <c r="S18" s="4">
        <v>2152.8463</v>
      </c>
      <c r="T18" s="16">
        <v>65.33</v>
      </c>
      <c r="U18" s="16">
        <f>T$34/S18*1000</f>
        <v>65.32746903483076</v>
      </c>
      <c r="V18" s="4"/>
      <c r="W18" s="4">
        <v>2158.6065</v>
      </c>
      <c r="X18" s="16">
        <v>65.3</v>
      </c>
      <c r="Y18" s="16">
        <f>X$34/W18*1000</f>
        <v>65.29675510566655</v>
      </c>
      <c r="Z18" s="4"/>
      <c r="AA18" s="4">
        <v>2168.2755</v>
      </c>
      <c r="AB18" s="16">
        <v>65.02</v>
      </c>
      <c r="AC18" s="16">
        <f>AB$34/AA18*1000</f>
        <v>65.0194128928727</v>
      </c>
      <c r="AD18" s="4"/>
      <c r="AE18" s="4">
        <v>2163.6719</v>
      </c>
      <c r="AF18" s="16">
        <v>65.09</v>
      </c>
      <c r="AG18" s="16">
        <f>AF$34/AE18*1000</f>
        <v>65.0884267619319</v>
      </c>
      <c r="AH18" s="4"/>
      <c r="AI18" s="4">
        <v>2193.8251</v>
      </c>
      <c r="AJ18" s="16">
        <v>64.43</v>
      </c>
      <c r="AK18" s="16">
        <f>AJ$34/AI18*1000</f>
        <v>64.4262844836628</v>
      </c>
      <c r="AL18" s="4"/>
      <c r="AM18" s="4">
        <v>2197.8093</v>
      </c>
      <c r="AN18" s="16">
        <v>64.37</v>
      </c>
      <c r="AO18" s="16">
        <f>AN$34/AM18*1000</f>
        <v>64.3686419927334</v>
      </c>
      <c r="AP18" s="4"/>
      <c r="AQ18" s="4">
        <v>2193.8251</v>
      </c>
      <c r="AR18" s="16">
        <v>64.22</v>
      </c>
      <c r="AS18" s="16">
        <f>AR$34/AQ18*1000</f>
        <v>64.22116330057487</v>
      </c>
      <c r="AT18" s="4"/>
      <c r="AU18" s="4">
        <v>2189.1125</v>
      </c>
      <c r="AV18" s="16">
        <v>64.27</v>
      </c>
      <c r="AW18" s="16">
        <f>AV$34/AU18*1000</f>
        <v>64.26805383460191</v>
      </c>
      <c r="AX18" s="4"/>
      <c r="AY18" s="4">
        <v>2203.8129</v>
      </c>
      <c r="AZ18" s="16">
        <v>63.67</v>
      </c>
      <c r="BA18" s="16">
        <f>AZ$34/AY18*1000</f>
        <v>63.676004437581796</v>
      </c>
      <c r="BB18" s="4"/>
      <c r="BC18" s="4">
        <v>2194.571</v>
      </c>
      <c r="BD18" s="16">
        <v>63.41</v>
      </c>
      <c r="BE18" s="16">
        <f>BD$34/BC18*1000</f>
        <v>63.41558327345071</v>
      </c>
      <c r="BF18" s="4"/>
      <c r="BG18" s="4">
        <v>2200.807</v>
      </c>
      <c r="BH18" s="16">
        <v>62.31</v>
      </c>
      <c r="BI18" s="16">
        <f>BH$34/BG18*1000</f>
        <v>62.308962121621754</v>
      </c>
      <c r="BJ18" s="4"/>
      <c r="BK18" s="4">
        <v>2203.0606</v>
      </c>
      <c r="BL18" s="16">
        <v>62.66</v>
      </c>
      <c r="BM18" s="16">
        <f>BL$34/BK18*1000</f>
        <v>62.658285477939195</v>
      </c>
      <c r="BN18" s="4"/>
      <c r="BO18" s="4">
        <v>2206.5755</v>
      </c>
      <c r="BP18" s="16">
        <v>63.18</v>
      </c>
      <c r="BQ18" s="16">
        <f>BP$34/BO18*1000</f>
        <v>63.17481545498897</v>
      </c>
      <c r="BR18" s="4"/>
      <c r="BS18" s="4">
        <v>2200.807</v>
      </c>
      <c r="BT18" s="16">
        <v>63.45</v>
      </c>
      <c r="BU18" s="16">
        <f>BT$34/BS18*1000</f>
        <v>63.44945285979188</v>
      </c>
      <c r="BV18" s="4"/>
      <c r="BW18" s="4">
        <v>2199.0574</v>
      </c>
      <c r="BX18" s="16">
        <v>63.47</v>
      </c>
      <c r="BY18" s="16">
        <f>BX$34/BW18*1000</f>
        <v>63.46810228782568</v>
      </c>
      <c r="BZ18" s="4"/>
      <c r="CA18" s="4">
        <v>2185.8998</v>
      </c>
      <c r="CB18" s="16">
        <v>63.5</v>
      </c>
      <c r="CC18" s="16">
        <f>CB$34/CA18*1000</f>
        <v>63.502453314648726</v>
      </c>
      <c r="CD18" s="4"/>
      <c r="CE18" s="4">
        <f t="shared" si="0"/>
        <v>2180.273525</v>
      </c>
      <c r="CF18" s="4">
        <f t="shared" si="1"/>
        <v>64.29350000000001</v>
      </c>
      <c r="CG18" s="4">
        <f t="shared" si="1"/>
        <v>64.29681036492727</v>
      </c>
      <c r="CH18" s="4">
        <f t="shared" si="1"/>
        <v>0</v>
      </c>
      <c r="CI18" s="23"/>
      <c r="CJ18" s="42"/>
      <c r="CK18" s="42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1"/>
    </row>
    <row r="19" spans="1:103" ht="12.75">
      <c r="A19" s="26">
        <v>8</v>
      </c>
      <c r="B19" s="27" t="s">
        <v>45</v>
      </c>
      <c r="C19" s="43">
        <v>44.5548</v>
      </c>
      <c r="D19" s="44">
        <v>3.16</v>
      </c>
      <c r="E19" s="44">
        <f>D$34/C19</f>
        <v>3.162173323637408</v>
      </c>
      <c r="F19" s="4"/>
      <c r="G19" s="4">
        <v>44.5843</v>
      </c>
      <c r="H19" s="4">
        <v>3.15</v>
      </c>
      <c r="I19" s="16">
        <f>H$34/G19</f>
        <v>3.151333541179294</v>
      </c>
      <c r="J19" s="4"/>
      <c r="K19" s="4">
        <v>44.977</v>
      </c>
      <c r="L19" s="16">
        <v>3.13</v>
      </c>
      <c r="M19" s="16">
        <f>L$34/K19</f>
        <v>3.134046290326167</v>
      </c>
      <c r="N19" s="4"/>
      <c r="O19" s="4">
        <v>44.9069</v>
      </c>
      <c r="P19" s="16">
        <v>3.14</v>
      </c>
      <c r="Q19" s="16">
        <f>P$34/O19</f>
        <v>3.140942705909337</v>
      </c>
      <c r="R19" s="4"/>
      <c r="S19" s="4">
        <v>44.852</v>
      </c>
      <c r="T19" s="16">
        <v>3.14</v>
      </c>
      <c r="U19" s="16">
        <f>T$34/S19</f>
        <v>3.135646125033443</v>
      </c>
      <c r="V19" s="4"/>
      <c r="W19" s="4">
        <v>44.972</v>
      </c>
      <c r="X19" s="16">
        <v>3.13</v>
      </c>
      <c r="Y19" s="16">
        <f>X$34/W19</f>
        <v>3.134172373921551</v>
      </c>
      <c r="Z19" s="4"/>
      <c r="AA19" s="4">
        <v>45.1735</v>
      </c>
      <c r="AB19" s="16">
        <v>3.12</v>
      </c>
      <c r="AC19" s="16">
        <f>AB$34/AA19</f>
        <v>3.120856254219841</v>
      </c>
      <c r="AD19" s="4"/>
      <c r="AE19" s="4">
        <v>45.0776</v>
      </c>
      <c r="AF19" s="16">
        <v>3.12</v>
      </c>
      <c r="AG19" s="16">
        <f>AF$34/AE19</f>
        <v>3.1241681012298796</v>
      </c>
      <c r="AH19" s="4"/>
      <c r="AI19" s="4">
        <v>45.7058</v>
      </c>
      <c r="AJ19" s="16">
        <v>3.09</v>
      </c>
      <c r="AK19" s="16">
        <f>AJ$34/AI19</f>
        <v>3.0923865242485635</v>
      </c>
      <c r="AL19" s="4"/>
      <c r="AM19" s="4">
        <v>45.7888</v>
      </c>
      <c r="AN19" s="16">
        <v>3.09</v>
      </c>
      <c r="AO19" s="16">
        <f>AN$34/AM19</f>
        <v>3.089620169124327</v>
      </c>
      <c r="AP19" s="4"/>
      <c r="AQ19" s="4">
        <v>45.7058</v>
      </c>
      <c r="AR19" s="16">
        <v>3.08</v>
      </c>
      <c r="AS19" s="16">
        <f>AR$34/AQ19</f>
        <v>3.0825409466632236</v>
      </c>
      <c r="AT19" s="4"/>
      <c r="AU19" s="4">
        <v>45.6076</v>
      </c>
      <c r="AV19" s="16">
        <v>3.08</v>
      </c>
      <c r="AW19" s="16">
        <f>AV$34/AU19</f>
        <v>3.084792885396294</v>
      </c>
      <c r="AX19" s="4"/>
      <c r="AY19" s="4">
        <v>45.9138</v>
      </c>
      <c r="AZ19" s="16">
        <v>3.06</v>
      </c>
      <c r="BA19" s="16">
        <f>AZ$34/AY19</f>
        <v>3.0563795634427993</v>
      </c>
      <c r="BB19" s="4"/>
      <c r="BC19" s="4">
        <v>45.7213</v>
      </c>
      <c r="BD19" s="16">
        <v>3.04</v>
      </c>
      <c r="BE19" s="16">
        <f>BD$34/BC19</f>
        <v>3.0438767051680506</v>
      </c>
      <c r="BF19" s="4"/>
      <c r="BG19" s="4">
        <v>45.8512</v>
      </c>
      <c r="BH19" s="16">
        <v>2.99</v>
      </c>
      <c r="BI19" s="16">
        <f>BH$34/BG19</f>
        <v>2.9907614195484524</v>
      </c>
      <c r="BJ19" s="4"/>
      <c r="BK19" s="4">
        <v>45.8789</v>
      </c>
      <c r="BL19" s="16">
        <v>3.01</v>
      </c>
      <c r="BM19" s="16">
        <f>BL$34/BK19</f>
        <v>3.0087905333388547</v>
      </c>
      <c r="BN19" s="4"/>
      <c r="BO19" s="4">
        <v>45.9714</v>
      </c>
      <c r="BP19" s="16">
        <v>3.03</v>
      </c>
      <c r="BQ19" s="16">
        <f>BP$34/BO19</f>
        <v>3.032320094667554</v>
      </c>
      <c r="BR19" s="4"/>
      <c r="BS19" s="4">
        <v>45.8512</v>
      </c>
      <c r="BT19" s="16">
        <v>3.05</v>
      </c>
      <c r="BU19" s="16">
        <f>BT$34/BS19</f>
        <v>3.045503716369473</v>
      </c>
      <c r="BV19" s="4"/>
      <c r="BW19" s="4">
        <v>45.8148</v>
      </c>
      <c r="BX19" s="16">
        <v>3.05</v>
      </c>
      <c r="BY19" s="16">
        <f>BX$34/BW19</f>
        <v>3.046395487920934</v>
      </c>
      <c r="BZ19" s="4"/>
      <c r="CA19" s="4">
        <v>45.5406</v>
      </c>
      <c r="CB19" s="16">
        <v>3.05</v>
      </c>
      <c r="CC19" s="16">
        <f>CB$34/CA19</f>
        <v>3.048049432813797</v>
      </c>
      <c r="CD19" s="4"/>
      <c r="CE19" s="4">
        <f t="shared" si="0"/>
        <v>45.422465</v>
      </c>
      <c r="CF19" s="4">
        <f t="shared" si="1"/>
        <v>3.0854999999999997</v>
      </c>
      <c r="CG19" s="4">
        <f t="shared" si="1"/>
        <v>3.0862378097079626</v>
      </c>
      <c r="CH19" s="4"/>
      <c r="CI19" s="23"/>
      <c r="CJ19" s="42"/>
      <c r="CK19" s="42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1"/>
    </row>
    <row r="20" spans="1:103" ht="12.75">
      <c r="A20" s="26">
        <v>9</v>
      </c>
      <c r="B20" s="27" t="s">
        <v>46</v>
      </c>
      <c r="C20" s="43">
        <f>1/0.9054</f>
        <v>1.104484205875856</v>
      </c>
      <c r="D20" s="44">
        <v>127.56</v>
      </c>
      <c r="E20" s="44">
        <f>D$34/C20</f>
        <v>127.56180599999999</v>
      </c>
      <c r="F20" s="4"/>
      <c r="G20" s="4">
        <f>1/0.9048</f>
        <v>1.1052166224580018</v>
      </c>
      <c r="H20" s="4">
        <v>127.13</v>
      </c>
      <c r="I20" s="16">
        <f>H$34/G20</f>
        <v>127.1244</v>
      </c>
      <c r="J20" s="4"/>
      <c r="K20" s="4">
        <f>1/0.8969</f>
        <v>1.114951499609767</v>
      </c>
      <c r="L20" s="16">
        <v>126.43</v>
      </c>
      <c r="M20" s="16">
        <f>L$34/K20</f>
        <v>126.42702400000002</v>
      </c>
      <c r="N20" s="4"/>
      <c r="O20" s="4">
        <f>1/0.8983</f>
        <v>1.1132138483802738</v>
      </c>
      <c r="P20" s="16">
        <v>126.71</v>
      </c>
      <c r="Q20" s="16">
        <f>P$34/O20</f>
        <v>126.70521500000001</v>
      </c>
      <c r="R20" s="4"/>
      <c r="S20" s="4">
        <f>1/0.8994</f>
        <v>1.1118523460084502</v>
      </c>
      <c r="T20" s="16">
        <v>126.49</v>
      </c>
      <c r="U20" s="16">
        <f>T$34/S20</f>
        <v>126.49161599999998</v>
      </c>
      <c r="V20" s="4"/>
      <c r="W20" s="4">
        <f>1/0.897</f>
        <v>1.1148272017837235</v>
      </c>
      <c r="X20" s="16">
        <v>126.43</v>
      </c>
      <c r="Y20" s="16">
        <f>X$34/W20</f>
        <v>126.43215</v>
      </c>
      <c r="Z20" s="4"/>
      <c r="AA20" s="4">
        <f>1/0.893</f>
        <v>1.1198208286674132</v>
      </c>
      <c r="AB20" s="16">
        <v>125.09</v>
      </c>
      <c r="AC20" s="16">
        <f>AB$34/AA20</f>
        <v>125.89514</v>
      </c>
      <c r="AD20" s="4"/>
      <c r="AE20" s="4">
        <f>1/0.8949</f>
        <v>1.117443289753045</v>
      </c>
      <c r="AF20" s="16">
        <v>126.02</v>
      </c>
      <c r="AG20" s="16">
        <f>AF$34/AE20</f>
        <v>126.028767</v>
      </c>
      <c r="AH20" s="4"/>
      <c r="AI20" s="4">
        <f>1/0.8826</f>
        <v>1.1330160888284613</v>
      </c>
      <c r="AJ20" s="16">
        <v>124.74</v>
      </c>
      <c r="AK20" s="16">
        <f>AJ$34/AI20</f>
        <v>124.74668400000002</v>
      </c>
      <c r="AL20" s="4"/>
      <c r="AM20" s="4">
        <f>1/0.881</f>
        <v>1.1350737797956867</v>
      </c>
      <c r="AN20" s="16">
        <v>124.63</v>
      </c>
      <c r="AO20" s="16">
        <f>AN$34/AM20</f>
        <v>124.63507</v>
      </c>
      <c r="AP20" s="4"/>
      <c r="AQ20" s="4">
        <f>1/0.8826</f>
        <v>1.1330160888284613</v>
      </c>
      <c r="AR20" s="16">
        <v>124.35</v>
      </c>
      <c r="AS20" s="16">
        <f>AR$34/AQ20</f>
        <v>124.349514</v>
      </c>
      <c r="AT20" s="4"/>
      <c r="AU20" s="4">
        <f>1/0.8845</f>
        <v>1.1305822498586773</v>
      </c>
      <c r="AV20" s="16">
        <v>124.44</v>
      </c>
      <c r="AW20" s="16">
        <f>AV$34/AU20</f>
        <v>124.440305</v>
      </c>
      <c r="AX20" s="4"/>
      <c r="AY20" s="25">
        <f>1/0.8786</f>
        <v>1.1381743683132255</v>
      </c>
      <c r="AZ20" s="16">
        <v>123.29</v>
      </c>
      <c r="BA20" s="16">
        <f>AZ$34/AY20</f>
        <v>123.29393800000003</v>
      </c>
      <c r="BB20" s="4"/>
      <c r="BC20" s="25">
        <f>1/0.8823</f>
        <v>1.1334013374135783</v>
      </c>
      <c r="BD20" s="16">
        <v>122.79</v>
      </c>
      <c r="BE20" s="16">
        <f>BD$34/BC20</f>
        <v>122.78969099999998</v>
      </c>
      <c r="BF20" s="4"/>
      <c r="BG20" s="4">
        <f>1/0.8798</f>
        <v>1.136621959536258</v>
      </c>
      <c r="BH20" s="16">
        <v>120.65</v>
      </c>
      <c r="BI20" s="16">
        <f>BH$34/BG20</f>
        <v>120.64697400000001</v>
      </c>
      <c r="BJ20" s="4"/>
      <c r="BK20" s="4">
        <f>1/0.8789</f>
        <v>1.1377858686995108</v>
      </c>
      <c r="BL20" s="16">
        <v>121.32</v>
      </c>
      <c r="BM20" s="16">
        <f>BL$34/BK20</f>
        <v>121.32335599999999</v>
      </c>
      <c r="BN20" s="4"/>
      <c r="BO20" s="4">
        <f>1/0.8775</f>
        <v>1.1396011396011396</v>
      </c>
      <c r="BP20" s="16">
        <v>122.33</v>
      </c>
      <c r="BQ20" s="16">
        <f>BP$34/BO20</f>
        <v>122.3235</v>
      </c>
      <c r="BR20" s="4"/>
      <c r="BS20" s="4">
        <f>1/0.8798</f>
        <v>1.136621959536258</v>
      </c>
      <c r="BT20" s="16">
        <v>122.85</v>
      </c>
      <c r="BU20" s="16">
        <f>BT$34/BS20</f>
        <v>122.855272</v>
      </c>
      <c r="BV20" s="4"/>
      <c r="BW20" s="4">
        <f>1/0.8805</f>
        <v>1.135718341851221</v>
      </c>
      <c r="BX20" s="16">
        <v>122.89</v>
      </c>
      <c r="BY20" s="16">
        <f>BX$34/BW20</f>
        <v>122.891385</v>
      </c>
      <c r="BZ20" s="4"/>
      <c r="CA20" s="4">
        <f>1/0.8858</f>
        <v>1.1289230074508918</v>
      </c>
      <c r="CB20" s="16">
        <v>122.96</v>
      </c>
      <c r="CC20" s="16">
        <f>CB$34/CA20</f>
        <v>122.957898</v>
      </c>
      <c r="CD20" s="4"/>
      <c r="CE20" s="4">
        <f t="shared" si="0"/>
        <v>1.1260173016124948</v>
      </c>
      <c r="CF20" s="4">
        <f t="shared" si="1"/>
        <v>124.455</v>
      </c>
      <c r="CG20" s="4">
        <f t="shared" si="1"/>
        <v>124.49598524999999</v>
      </c>
      <c r="CH20" s="4"/>
      <c r="CI20" s="23"/>
      <c r="CJ20" s="42"/>
      <c r="CK20" s="42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1"/>
    </row>
    <row r="21" spans="1:103" ht="12.75">
      <c r="A21" s="26">
        <v>10</v>
      </c>
      <c r="B21" s="27" t="s">
        <v>47</v>
      </c>
      <c r="C21" s="43">
        <v>279.8</v>
      </c>
      <c r="D21" s="44">
        <v>39419.96</v>
      </c>
      <c r="E21" s="44">
        <f>D$34*C21</f>
        <v>39421.022</v>
      </c>
      <c r="F21" s="4"/>
      <c r="G21" s="4">
        <v>280.15</v>
      </c>
      <c r="H21" s="4">
        <v>39361.83</v>
      </c>
      <c r="I21" s="16">
        <f>H$34*G21</f>
        <v>39361.075</v>
      </c>
      <c r="J21" s="4"/>
      <c r="K21" s="4">
        <v>278.2</v>
      </c>
      <c r="L21" s="16">
        <v>39215.12</v>
      </c>
      <c r="M21" s="16">
        <f>L$34*K21</f>
        <v>39215.072</v>
      </c>
      <c r="N21" s="4"/>
      <c r="O21" s="4">
        <v>278.65</v>
      </c>
      <c r="P21" s="16">
        <v>39303.96</v>
      </c>
      <c r="Q21" s="16">
        <f>P$34*O21</f>
        <v>39303.5825</v>
      </c>
      <c r="R21" s="4"/>
      <c r="S21" s="4">
        <v>279.3</v>
      </c>
      <c r="T21" s="16">
        <v>39281.4</v>
      </c>
      <c r="U21" s="16">
        <f>T$34*S21</f>
        <v>39280.752</v>
      </c>
      <c r="V21" s="4"/>
      <c r="W21" s="4">
        <v>280.1</v>
      </c>
      <c r="X21" s="16">
        <v>39479.25</v>
      </c>
      <c r="Y21" s="16">
        <f>X$34*W21</f>
        <v>39480.095</v>
      </c>
      <c r="Z21" s="4"/>
      <c r="AA21" s="4">
        <v>276.9</v>
      </c>
      <c r="AB21" s="16">
        <v>39037.83</v>
      </c>
      <c r="AC21" s="16">
        <f>AB$34*AA21</f>
        <v>39037.361999999994</v>
      </c>
      <c r="AD21" s="4"/>
      <c r="AE21" s="4">
        <v>279.4</v>
      </c>
      <c r="AF21" s="16">
        <v>39346.65</v>
      </c>
      <c r="AG21" s="16">
        <f>AF$34*AE21</f>
        <v>39347.902</v>
      </c>
      <c r="AH21" s="4"/>
      <c r="AI21" s="4">
        <v>277.1</v>
      </c>
      <c r="AJ21" s="16">
        <v>39164.56</v>
      </c>
      <c r="AK21" s="16">
        <f>AJ$34*AI21</f>
        <v>39165.314000000006</v>
      </c>
      <c r="AL21" s="4"/>
      <c r="AM21" s="4">
        <v>278.1</v>
      </c>
      <c r="AN21" s="16">
        <v>39341.46</v>
      </c>
      <c r="AO21" s="16">
        <f>AN$34*AM21</f>
        <v>39342.807</v>
      </c>
      <c r="AP21" s="4"/>
      <c r="AQ21" s="4">
        <v>276</v>
      </c>
      <c r="AR21" s="16">
        <v>38885.84</v>
      </c>
      <c r="AS21" s="16">
        <f>AR$34*AQ21</f>
        <v>38885.64</v>
      </c>
      <c r="AT21" s="4"/>
      <c r="AU21" s="4">
        <v>274</v>
      </c>
      <c r="AV21" s="16">
        <v>38549.06</v>
      </c>
      <c r="AW21" s="16">
        <f>AV$34*AU21</f>
        <v>38549.06</v>
      </c>
      <c r="AX21" s="4"/>
      <c r="AY21" s="4">
        <v>273.1</v>
      </c>
      <c r="AZ21" s="16">
        <v>38323.39</v>
      </c>
      <c r="BA21" s="16">
        <f>AZ$34*AY21</f>
        <v>38324.12300000001</v>
      </c>
      <c r="BB21" s="4"/>
      <c r="BC21" s="4">
        <v>273.2</v>
      </c>
      <c r="BD21" s="16">
        <v>38020.61</v>
      </c>
      <c r="BE21" s="16">
        <f>BD$34*BC21</f>
        <v>38021.24399999999</v>
      </c>
      <c r="BF21" s="4"/>
      <c r="BG21" s="4">
        <v>273.3</v>
      </c>
      <c r="BH21" s="16">
        <v>37477.55</v>
      </c>
      <c r="BI21" s="16">
        <f>BH$34*BG21</f>
        <v>37477.629</v>
      </c>
      <c r="BJ21" s="4"/>
      <c r="BK21" s="4">
        <v>272.6</v>
      </c>
      <c r="BL21" s="16">
        <v>37630.1</v>
      </c>
      <c r="BM21" s="16">
        <f>BL$34*BK21</f>
        <v>37629.704</v>
      </c>
      <c r="BN21" s="4"/>
      <c r="BO21" s="4">
        <v>273</v>
      </c>
      <c r="BP21" s="16">
        <v>38056.71</v>
      </c>
      <c r="BQ21" s="16">
        <f>BP$34*BO21</f>
        <v>38056.200000000004</v>
      </c>
      <c r="BR21" s="4"/>
      <c r="BS21" s="4">
        <v>272.6</v>
      </c>
      <c r="BT21" s="16">
        <v>38065.2</v>
      </c>
      <c r="BU21" s="16">
        <f>BT$34*BS21</f>
        <v>38065.864</v>
      </c>
      <c r="BV21" s="4"/>
      <c r="BW21" s="4">
        <v>273</v>
      </c>
      <c r="BX21" s="16">
        <v>38101.88</v>
      </c>
      <c r="BY21" s="16">
        <f>BX$34*BW21</f>
        <v>38102.61</v>
      </c>
      <c r="BZ21" s="4"/>
      <c r="CA21" s="4">
        <v>274.4</v>
      </c>
      <c r="CB21" s="16">
        <v>38089.04</v>
      </c>
      <c r="CC21" s="16">
        <f>CB$34*CA21</f>
        <v>38089.464</v>
      </c>
      <c r="CD21" s="4"/>
      <c r="CE21" s="4">
        <f t="shared" si="0"/>
        <v>276.14500000000004</v>
      </c>
      <c r="CF21" s="4">
        <f t="shared" si="1"/>
        <v>38707.57</v>
      </c>
      <c r="CG21" s="4">
        <f t="shared" si="1"/>
        <v>38707.826075000004</v>
      </c>
      <c r="CH21" s="4"/>
      <c r="CI21" s="23"/>
      <c r="CJ21" s="42"/>
      <c r="CK21" s="42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1"/>
    </row>
    <row r="22" spans="1:103" ht="12.75">
      <c r="A22" s="26">
        <v>11</v>
      </c>
      <c r="B22" s="28" t="s">
        <v>48</v>
      </c>
      <c r="C22" s="43">
        <v>4.22</v>
      </c>
      <c r="D22" s="44">
        <v>594.54</v>
      </c>
      <c r="E22" s="44">
        <f>D$34*C22</f>
        <v>594.5557999999999</v>
      </c>
      <c r="F22" s="4"/>
      <c r="G22" s="4">
        <v>4.21</v>
      </c>
      <c r="H22" s="4">
        <v>591.52</v>
      </c>
      <c r="I22" s="16">
        <f>H$34*G22</f>
        <v>591.505</v>
      </c>
      <c r="J22" s="4"/>
      <c r="K22" s="4">
        <v>4.13</v>
      </c>
      <c r="L22" s="16">
        <v>582.17</v>
      </c>
      <c r="M22" s="16">
        <f>L$34*K22</f>
        <v>582.1648</v>
      </c>
      <c r="N22" s="4"/>
      <c r="O22" s="4">
        <v>4.11</v>
      </c>
      <c r="P22" s="16">
        <v>579.72</v>
      </c>
      <c r="Q22" s="16">
        <f>P$34*O22</f>
        <v>579.7155000000001</v>
      </c>
      <c r="R22" s="4"/>
      <c r="S22" s="4">
        <v>4.13</v>
      </c>
      <c r="T22" s="16">
        <v>580.85</v>
      </c>
      <c r="U22" s="16">
        <f>T$34*S22</f>
        <v>580.8431999999999</v>
      </c>
      <c r="V22" s="4"/>
      <c r="W22" s="4">
        <v>4.12</v>
      </c>
      <c r="X22" s="16">
        <v>580.7</v>
      </c>
      <c r="Y22" s="16">
        <f>X$34*W22</f>
        <v>580.7139999999999</v>
      </c>
      <c r="Z22" s="4"/>
      <c r="AA22" s="4">
        <v>4.07</v>
      </c>
      <c r="AB22" s="16">
        <v>573.8</v>
      </c>
      <c r="AC22" s="16">
        <f>AB$34*AA22</f>
        <v>573.7886</v>
      </c>
      <c r="AD22" s="4"/>
      <c r="AE22" s="4">
        <v>4.17</v>
      </c>
      <c r="AF22" s="16">
        <v>587.24</v>
      </c>
      <c r="AG22" s="16">
        <f>AF$34*AE22</f>
        <v>587.2611</v>
      </c>
      <c r="AH22" s="4"/>
      <c r="AI22" s="4">
        <v>4.13</v>
      </c>
      <c r="AJ22" s="16">
        <v>583.72</v>
      </c>
      <c r="AK22" s="16">
        <f>AJ$34*AI22</f>
        <v>583.7342</v>
      </c>
      <c r="AL22" s="4"/>
      <c r="AM22" s="4">
        <v>4.18</v>
      </c>
      <c r="AN22" s="16">
        <v>591.32</v>
      </c>
      <c r="AO22" s="16">
        <f>AN$34*AM22</f>
        <v>591.3445999999999</v>
      </c>
      <c r="AP22" s="4"/>
      <c r="AQ22" s="4">
        <v>4.13</v>
      </c>
      <c r="AR22" s="16">
        <v>581.88</v>
      </c>
      <c r="AS22" s="16">
        <f>AR$34*AQ22</f>
        <v>581.8756999999999</v>
      </c>
      <c r="AT22" s="4"/>
      <c r="AU22" s="4">
        <v>4.13</v>
      </c>
      <c r="AV22" s="16">
        <v>581.05</v>
      </c>
      <c r="AW22" s="16">
        <f>AV$34*AU22</f>
        <v>581.0497</v>
      </c>
      <c r="AX22" s="4"/>
      <c r="AY22" s="4">
        <v>4.1</v>
      </c>
      <c r="AZ22" s="16">
        <v>575.34</v>
      </c>
      <c r="BA22" s="16">
        <f>AZ$34*AY22</f>
        <v>575.353</v>
      </c>
      <c r="BB22" s="4"/>
      <c r="BC22" s="4">
        <v>4.08</v>
      </c>
      <c r="BD22" s="16">
        <v>567.8</v>
      </c>
      <c r="BE22" s="16">
        <f>BD$34*BC22</f>
        <v>567.8136</v>
      </c>
      <c r="BF22" s="4"/>
      <c r="BG22" s="4">
        <v>4.08</v>
      </c>
      <c r="BH22" s="16">
        <v>559.49</v>
      </c>
      <c r="BI22" s="16">
        <f>BH$34*BG22</f>
        <v>559.4904</v>
      </c>
      <c r="BJ22" s="4"/>
      <c r="BK22" s="4">
        <v>4.05</v>
      </c>
      <c r="BL22" s="16">
        <v>559.07</v>
      </c>
      <c r="BM22" s="16">
        <f>BL$34*BK22</f>
        <v>559.0619999999999</v>
      </c>
      <c r="BN22" s="4"/>
      <c r="BO22" s="4">
        <v>4.09</v>
      </c>
      <c r="BP22" s="16">
        <v>570.15</v>
      </c>
      <c r="BQ22" s="16">
        <f>BP$34*BO22</f>
        <v>570.146</v>
      </c>
      <c r="BR22" s="4"/>
      <c r="BS22" s="4">
        <v>4.06</v>
      </c>
      <c r="BT22" s="16">
        <v>566.93</v>
      </c>
      <c r="BU22" s="16">
        <f>BT$34*BS22</f>
        <v>566.9383999999999</v>
      </c>
      <c r="BV22" s="4"/>
      <c r="BW22" s="4">
        <v>4.07</v>
      </c>
      <c r="BX22" s="16">
        <v>568.04</v>
      </c>
      <c r="BY22" s="16">
        <f>BX$34*BW22</f>
        <v>568.0499</v>
      </c>
      <c r="BZ22" s="4"/>
      <c r="CA22" s="4">
        <v>4.14</v>
      </c>
      <c r="CB22" s="16">
        <v>574.67</v>
      </c>
      <c r="CC22" s="16">
        <f>CB$34*CA22</f>
        <v>574.6734</v>
      </c>
      <c r="CD22" s="4"/>
      <c r="CE22" s="4">
        <f t="shared" si="0"/>
        <v>4.120000000000001</v>
      </c>
      <c r="CF22" s="4">
        <f t="shared" si="1"/>
        <v>577.5000000000001</v>
      </c>
      <c r="CG22" s="4">
        <f t="shared" si="1"/>
        <v>577.503945</v>
      </c>
      <c r="CH22" s="4"/>
      <c r="CI22" s="23"/>
      <c r="CJ22" s="42"/>
      <c r="CK22" s="42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1"/>
    </row>
    <row r="23" spans="1:103" ht="12.75">
      <c r="A23" s="26">
        <v>12</v>
      </c>
      <c r="B23" s="27" t="s">
        <v>49</v>
      </c>
      <c r="C23" s="43">
        <f>1/0.5085</f>
        <v>1.9665683382497543</v>
      </c>
      <c r="D23" s="44">
        <v>71.64</v>
      </c>
      <c r="E23" s="44">
        <f>D$34/C23</f>
        <v>71.64256499999999</v>
      </c>
      <c r="F23" s="4"/>
      <c r="G23" s="4">
        <f>1/0.5073</f>
        <v>1.9712201852946976</v>
      </c>
      <c r="H23" s="4">
        <v>71.28</v>
      </c>
      <c r="I23" s="16">
        <f>H$34/G23</f>
        <v>71.27565</v>
      </c>
      <c r="J23" s="4"/>
      <c r="K23" s="4">
        <f>1/0.5075</f>
        <v>1.9704433497536948</v>
      </c>
      <c r="L23" s="16">
        <v>71.54</v>
      </c>
      <c r="M23" s="16">
        <f>L$34/K23</f>
        <v>71.5372</v>
      </c>
      <c r="N23" s="4"/>
      <c r="O23" s="4">
        <f>1/0.5115</f>
        <v>1.9550342130987295</v>
      </c>
      <c r="P23" s="16">
        <v>72.15</v>
      </c>
      <c r="Q23" s="16">
        <f>P$34/O23</f>
        <v>72.147075</v>
      </c>
      <c r="R23" s="4"/>
      <c r="S23" s="4">
        <f>1/0.5146</f>
        <v>1.94325689856199</v>
      </c>
      <c r="T23" s="16">
        <v>72.37</v>
      </c>
      <c r="U23" s="16">
        <f>T$34/S23</f>
        <v>72.37334399999999</v>
      </c>
      <c r="V23" s="4"/>
      <c r="W23" s="4">
        <f>1/0.5137</f>
        <v>1.9466614755693983</v>
      </c>
      <c r="X23" s="16">
        <v>72.4</v>
      </c>
      <c r="Y23" s="16">
        <f>X$34/W23</f>
        <v>72.406015</v>
      </c>
      <c r="Z23" s="4"/>
      <c r="AA23" s="4">
        <f>1/0.5131</f>
        <v>1.9489378288832586</v>
      </c>
      <c r="AB23" s="16">
        <v>72.34</v>
      </c>
      <c r="AC23" s="16">
        <f>AB$34/AA23</f>
        <v>72.336838</v>
      </c>
      <c r="AD23" s="4"/>
      <c r="AE23" s="4">
        <f>1/0.5181</f>
        <v>1.9301293186643504</v>
      </c>
      <c r="AF23" s="16">
        <v>72.96</v>
      </c>
      <c r="AG23" s="16">
        <f>AF$34/AE23</f>
        <v>72.96402300000001</v>
      </c>
      <c r="AH23" s="4"/>
      <c r="AI23" s="4">
        <f>1/0.5188</f>
        <v>1.9275250578257517</v>
      </c>
      <c r="AJ23" s="16">
        <v>73.33</v>
      </c>
      <c r="AK23" s="16">
        <f>AJ$34/AI23</f>
        <v>73.32719200000001</v>
      </c>
      <c r="AL23" s="4"/>
      <c r="AM23" s="4">
        <f>1/0.5216</f>
        <v>1.9171779141104297</v>
      </c>
      <c r="AN23" s="16">
        <v>73.79</v>
      </c>
      <c r="AO23" s="16">
        <f>AN$34/AM23</f>
        <v>73.79075199999998</v>
      </c>
      <c r="AP23" s="4"/>
      <c r="AQ23" s="4">
        <f>1/0.5192</f>
        <v>1.926040061633282</v>
      </c>
      <c r="AR23" s="16">
        <v>73.15</v>
      </c>
      <c r="AS23" s="16">
        <f>AR$34/AQ23</f>
        <v>73.150088</v>
      </c>
      <c r="AT23" s="4"/>
      <c r="AU23" s="4">
        <f>1/0.5232</f>
        <v>1.9113149847094801</v>
      </c>
      <c r="AV23" s="16">
        <v>73.61</v>
      </c>
      <c r="AW23" s="16">
        <f>AV$34/AU23</f>
        <v>73.609008</v>
      </c>
      <c r="AX23" s="4"/>
      <c r="AY23" s="4">
        <f>1/0.5203</f>
        <v>1.9219680953296177</v>
      </c>
      <c r="AZ23" s="16">
        <v>73.01</v>
      </c>
      <c r="BA23" s="16">
        <f>AZ$34/AY23</f>
        <v>73.013699</v>
      </c>
      <c r="BB23" s="4"/>
      <c r="BC23" s="4">
        <f>1/0.5212</f>
        <v>1.918649270913277</v>
      </c>
      <c r="BD23" s="16">
        <v>72.53</v>
      </c>
      <c r="BE23" s="16">
        <f>BD$34/BC23</f>
        <v>72.535404</v>
      </c>
      <c r="BF23" s="4"/>
      <c r="BG23" s="4">
        <f>1/0.5177</f>
        <v>1.9316206297083252</v>
      </c>
      <c r="BH23" s="16">
        <v>70.99</v>
      </c>
      <c r="BI23" s="16">
        <f>BH$34/BG23</f>
        <v>70.99220100000001</v>
      </c>
      <c r="BJ23" s="4"/>
      <c r="BK23" s="4">
        <f>1/0.5162</f>
        <v>1.9372336303758233</v>
      </c>
      <c r="BL23" s="16">
        <v>71.26</v>
      </c>
      <c r="BM23" s="16">
        <f>BL$34/BK23</f>
        <v>71.256248</v>
      </c>
      <c r="BN23" s="4"/>
      <c r="BO23" s="4">
        <f>1/0.5174</f>
        <v>1.932740626207963</v>
      </c>
      <c r="BP23" s="16">
        <v>72.13</v>
      </c>
      <c r="BQ23" s="16">
        <f>BP$34/BO23</f>
        <v>72.12556000000001</v>
      </c>
      <c r="BR23" s="4"/>
      <c r="BS23" s="4">
        <f>1/0.5179</f>
        <v>1.9308746862328634</v>
      </c>
      <c r="BT23" s="16">
        <v>72.32</v>
      </c>
      <c r="BU23" s="16">
        <f>BT$34/BS23</f>
        <v>72.31955599999999</v>
      </c>
      <c r="BV23" s="4"/>
      <c r="BW23" s="4">
        <f>1/0.5196</f>
        <v>1.9245573518090842</v>
      </c>
      <c r="BX23" s="16">
        <v>72.52</v>
      </c>
      <c r="BY23" s="16">
        <f>BX$34/BW23</f>
        <v>72.52057199999999</v>
      </c>
      <c r="BZ23" s="4"/>
      <c r="CA23" s="4">
        <f>1/0.5187</f>
        <v>1.9278966647387699</v>
      </c>
      <c r="CB23" s="16">
        <v>72</v>
      </c>
      <c r="CC23" s="16">
        <f>CB$34/CA23</f>
        <v>72.000747</v>
      </c>
      <c r="CD23" s="4"/>
      <c r="CE23" s="4">
        <f t="shared" si="0"/>
        <v>1.9369925290835268</v>
      </c>
      <c r="CF23" s="4">
        <f t="shared" si="1"/>
        <v>72.366</v>
      </c>
      <c r="CG23" s="4">
        <f t="shared" si="1"/>
        <v>72.36618684999999</v>
      </c>
      <c r="CH23" s="4"/>
      <c r="CI23" s="23"/>
      <c r="CJ23" s="42"/>
      <c r="CK23" s="42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1"/>
    </row>
    <row r="24" spans="1:103" ht="12.75">
      <c r="A24" s="26">
        <v>13</v>
      </c>
      <c r="B24" s="27" t="s">
        <v>50</v>
      </c>
      <c r="C24" s="43">
        <v>1.5901</v>
      </c>
      <c r="D24" s="44">
        <v>88.6</v>
      </c>
      <c r="E24" s="44">
        <f>D$34/C24</f>
        <v>88.60449028362994</v>
      </c>
      <c r="F24" s="4"/>
      <c r="G24" s="4">
        <v>1.5948</v>
      </c>
      <c r="H24" s="4">
        <v>88.1</v>
      </c>
      <c r="I24" s="16">
        <f>H$34/G24</f>
        <v>88.0988211687986</v>
      </c>
      <c r="J24" s="4"/>
      <c r="K24" s="4">
        <v>1.5944</v>
      </c>
      <c r="L24" s="16">
        <v>88.41</v>
      </c>
      <c r="M24" s="16">
        <f>L$34/K24</f>
        <v>88.40943301555444</v>
      </c>
      <c r="N24" s="4"/>
      <c r="O24" s="4">
        <v>1.5932</v>
      </c>
      <c r="P24" s="16">
        <v>88.53</v>
      </c>
      <c r="Q24" s="16">
        <f>P$34/O24</f>
        <v>88.53251318101934</v>
      </c>
      <c r="R24" s="4"/>
      <c r="S24" s="4">
        <v>1.5923</v>
      </c>
      <c r="T24" s="16">
        <v>88.33</v>
      </c>
      <c r="U24" s="16">
        <f>T$34/S24</f>
        <v>88.32506437229165</v>
      </c>
      <c r="V24" s="4"/>
      <c r="W24" s="4">
        <v>1.595</v>
      </c>
      <c r="X24" s="16">
        <v>88.37</v>
      </c>
      <c r="Y24" s="16">
        <f>X$34/W24</f>
        <v>88.36990595611285</v>
      </c>
      <c r="Z24" s="4"/>
      <c r="AA24" s="4">
        <v>1.6025</v>
      </c>
      <c r="AB24" s="16">
        <v>87.98</v>
      </c>
      <c r="AC24" s="16">
        <f>AB$34/AA24</f>
        <v>87.97503900156005</v>
      </c>
      <c r="AD24" s="4"/>
      <c r="AE24" s="4">
        <v>1.6033</v>
      </c>
      <c r="AF24" s="16">
        <v>87.83</v>
      </c>
      <c r="AG24" s="16">
        <f>AF$34/AE24</f>
        <v>87.83758498097674</v>
      </c>
      <c r="AH24" s="4"/>
      <c r="AI24" s="4">
        <v>1.5975</v>
      </c>
      <c r="AJ24" s="16">
        <v>88.47</v>
      </c>
      <c r="AK24" s="16">
        <f>AJ$34/AI24</f>
        <v>88.47574334898279</v>
      </c>
      <c r="AL24" s="4"/>
      <c r="AM24" s="4">
        <v>1.5909</v>
      </c>
      <c r="AN24" s="16">
        <v>88.92</v>
      </c>
      <c r="AO24" s="16">
        <f>AN$34/AM24</f>
        <v>88.92450814004651</v>
      </c>
      <c r="AP24" s="4"/>
      <c r="AQ24" s="4">
        <v>1.5913</v>
      </c>
      <c r="AR24" s="16">
        <v>88.54</v>
      </c>
      <c r="AS24" s="16">
        <f>AR$34/AQ24</f>
        <v>88.53767360020109</v>
      </c>
      <c r="AT24" s="4"/>
      <c r="AU24" s="4">
        <v>1.5918</v>
      </c>
      <c r="AV24" s="16">
        <v>88.38</v>
      </c>
      <c r="AW24" s="16">
        <f>AV$34/AU24</f>
        <v>88.3842191230054</v>
      </c>
      <c r="AX24" s="4"/>
      <c r="AY24" s="4">
        <v>1.5828</v>
      </c>
      <c r="AZ24" s="16">
        <v>88.66</v>
      </c>
      <c r="BA24" s="16">
        <f>AZ$34/AY24</f>
        <v>88.65933788223403</v>
      </c>
      <c r="BB24" s="4"/>
      <c r="BC24" s="4">
        <v>1.591</v>
      </c>
      <c r="BD24" s="16">
        <v>87.47</v>
      </c>
      <c r="BE24" s="16">
        <f>BD$34/BC24</f>
        <v>87.47328724072909</v>
      </c>
      <c r="BF24" s="4"/>
      <c r="BG24" s="4">
        <v>1.5971</v>
      </c>
      <c r="BH24" s="16">
        <v>85.86</v>
      </c>
      <c r="BI24" s="16">
        <f>BH$34/BG24</f>
        <v>85.86187464779914</v>
      </c>
      <c r="BJ24" s="4"/>
      <c r="BK24" s="4">
        <v>1.5994</v>
      </c>
      <c r="BL24" s="16">
        <v>86.31</v>
      </c>
      <c r="BM24" s="16">
        <f>BL$34/BK24</f>
        <v>86.30736526197325</v>
      </c>
      <c r="BN24" s="4"/>
      <c r="BO24" s="4">
        <v>1.5968</v>
      </c>
      <c r="BP24" s="16">
        <v>87.3</v>
      </c>
      <c r="BQ24" s="16">
        <f>BP$34/BO24</f>
        <v>87.29959919839679</v>
      </c>
      <c r="BR24" s="4"/>
      <c r="BS24" s="4">
        <v>1.5993</v>
      </c>
      <c r="BT24" s="16">
        <v>87.31</v>
      </c>
      <c r="BU24" s="16">
        <f>BT$34/BS24</f>
        <v>87.3131995247921</v>
      </c>
      <c r="BV24" s="4"/>
      <c r="BW24" s="4">
        <v>1.5941</v>
      </c>
      <c r="BX24" s="16">
        <v>87.55</v>
      </c>
      <c r="BY24" s="16">
        <f>BX$34/BW24</f>
        <v>87.55410576500846</v>
      </c>
      <c r="BZ24" s="4"/>
      <c r="CA24" s="4">
        <v>1.5782</v>
      </c>
      <c r="CB24" s="16">
        <v>87.95</v>
      </c>
      <c r="CC24" s="16">
        <f>CB$34/CA24</f>
        <v>87.95463185907997</v>
      </c>
      <c r="CD24" s="4"/>
      <c r="CE24" s="4">
        <f t="shared" si="0"/>
        <v>1.5937899999999998</v>
      </c>
      <c r="CF24" s="4">
        <f t="shared" si="1"/>
        <v>87.9435</v>
      </c>
      <c r="CG24" s="4">
        <f t="shared" si="1"/>
        <v>87.9449198776096</v>
      </c>
      <c r="CH24" s="4"/>
      <c r="CI24" s="23"/>
      <c r="CJ24" s="42"/>
      <c r="CK24" s="42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1"/>
    </row>
    <row r="25" spans="1:103" ht="12.75">
      <c r="A25" s="26">
        <v>14</v>
      </c>
      <c r="B25" s="27" t="s">
        <v>51</v>
      </c>
      <c r="C25" s="43">
        <v>15.198</v>
      </c>
      <c r="D25" s="44">
        <v>9.27</v>
      </c>
      <c r="E25" s="44">
        <f>D$34/C25</f>
        <v>9.270298723516252</v>
      </c>
      <c r="F25" s="4"/>
      <c r="G25" s="4">
        <v>15.2081</v>
      </c>
      <c r="H25" s="4">
        <v>9.24</v>
      </c>
      <c r="I25" s="16">
        <f>H$34/G25</f>
        <v>9.238497905721294</v>
      </c>
      <c r="J25" s="4"/>
      <c r="K25" s="4">
        <v>15.3421</v>
      </c>
      <c r="L25" s="16">
        <v>9.19</v>
      </c>
      <c r="M25" s="16">
        <f>L$34/K25</f>
        <v>9.187790458933263</v>
      </c>
      <c r="N25" s="4"/>
      <c r="O25" s="4">
        <v>15.3182</v>
      </c>
      <c r="P25" s="16">
        <v>9.21</v>
      </c>
      <c r="Q25" s="16">
        <f>P$34/O25</f>
        <v>9.208000940058232</v>
      </c>
      <c r="R25" s="4"/>
      <c r="S25" s="4">
        <v>15.2994</v>
      </c>
      <c r="T25" s="16">
        <v>9.19</v>
      </c>
      <c r="U25" s="16">
        <f>T$34/S25</f>
        <v>9.19251735362171</v>
      </c>
      <c r="V25" s="4"/>
      <c r="W25" s="4">
        <v>15.3404</v>
      </c>
      <c r="X25" s="16">
        <v>9.19</v>
      </c>
      <c r="Y25" s="16">
        <f>X$34/W25</f>
        <v>9.188156762535526</v>
      </c>
      <c r="Z25" s="4"/>
      <c r="AA25" s="4">
        <v>15.4091</v>
      </c>
      <c r="AB25" s="16">
        <v>9.15</v>
      </c>
      <c r="AC25" s="16">
        <f>AB$34/AA25</f>
        <v>9.14913914505065</v>
      </c>
      <c r="AD25" s="4"/>
      <c r="AE25" s="4">
        <v>15.3764</v>
      </c>
      <c r="AF25" s="16">
        <v>9.16</v>
      </c>
      <c r="AG25" s="16">
        <f>AF$34/AE25</f>
        <v>9.158840820998414</v>
      </c>
      <c r="AH25" s="4"/>
      <c r="AI25" s="4">
        <v>15.5906</v>
      </c>
      <c r="AJ25" s="16">
        <v>9.07</v>
      </c>
      <c r="AK25" s="16">
        <f>AJ$34/AI25</f>
        <v>9.065719087142252</v>
      </c>
      <c r="AL25" s="4"/>
      <c r="AM25" s="4">
        <v>15.619</v>
      </c>
      <c r="AN25" s="16">
        <v>9.06</v>
      </c>
      <c r="AO25" s="16">
        <f>AN$34/AM25</f>
        <v>9.057558102311287</v>
      </c>
      <c r="AP25" s="4"/>
      <c r="AQ25" s="4">
        <v>15.5906</v>
      </c>
      <c r="AR25" s="16">
        <v>9.04</v>
      </c>
      <c r="AS25" s="16">
        <f>AR$34/AQ25</f>
        <v>9.036855541159415</v>
      </c>
      <c r="AT25" s="4"/>
      <c r="AU25" s="4">
        <v>15.5572</v>
      </c>
      <c r="AV25" s="16">
        <v>9.04</v>
      </c>
      <c r="AW25" s="16">
        <f>AV$34/AU25</f>
        <v>9.043401126166662</v>
      </c>
      <c r="AX25" s="4"/>
      <c r="AY25" s="4">
        <v>15.6616</v>
      </c>
      <c r="AZ25" s="16">
        <v>8.96</v>
      </c>
      <c r="BA25" s="16">
        <f>AZ$34/AY25</f>
        <v>8.960131787301426</v>
      </c>
      <c r="BB25" s="4"/>
      <c r="BC25" s="4">
        <v>15.5959</v>
      </c>
      <c r="BD25" s="16">
        <v>8.92</v>
      </c>
      <c r="BE25" s="16">
        <f>BD$34/BC25</f>
        <v>8.92349912476997</v>
      </c>
      <c r="BF25" s="4"/>
      <c r="BG25" s="4">
        <v>15.6403</v>
      </c>
      <c r="BH25" s="16">
        <v>8.77</v>
      </c>
      <c r="BI25" s="16">
        <f>BH$34/BG25</f>
        <v>8.767734634246146</v>
      </c>
      <c r="BJ25" s="4"/>
      <c r="BK25" s="4">
        <v>15.6563</v>
      </c>
      <c r="BL25" s="16">
        <v>8.82</v>
      </c>
      <c r="BM25" s="16">
        <f>BL$34/BK25</f>
        <v>8.816897989946538</v>
      </c>
      <c r="BN25" s="4"/>
      <c r="BO25" s="4">
        <v>15.6813</v>
      </c>
      <c r="BP25" s="16">
        <v>8.89</v>
      </c>
      <c r="BQ25" s="16">
        <f>BP$34/BO25</f>
        <v>8.889569104602296</v>
      </c>
      <c r="BR25" s="4"/>
      <c r="BS25" s="4">
        <v>15.6403</v>
      </c>
      <c r="BT25" s="16">
        <v>8.93</v>
      </c>
      <c r="BU25" s="16">
        <f>BT$34/BS25</f>
        <v>8.928217489434346</v>
      </c>
      <c r="BV25" s="4"/>
      <c r="BW25" s="4">
        <v>15.6278</v>
      </c>
      <c r="BX25" s="16">
        <v>8.93</v>
      </c>
      <c r="BY25" s="16">
        <f>BX$34/BW25</f>
        <v>8.93087958637812</v>
      </c>
      <c r="BZ25" s="4"/>
      <c r="CA25" s="4">
        <v>15.5343</v>
      </c>
      <c r="CB25" s="16">
        <v>8.94</v>
      </c>
      <c r="CC25" s="16">
        <f>CB$34/CA25</f>
        <v>8.93571000946293</v>
      </c>
      <c r="CD25" s="4"/>
      <c r="CE25" s="4">
        <f t="shared" si="0"/>
        <v>15.494345</v>
      </c>
      <c r="CF25" s="4">
        <f t="shared" si="1"/>
        <v>9.048499999999999</v>
      </c>
      <c r="CG25" s="4">
        <f t="shared" si="1"/>
        <v>9.047470784667837</v>
      </c>
      <c r="CH25" s="4"/>
      <c r="CI25" s="23"/>
      <c r="CJ25" s="42"/>
      <c r="CK25" s="42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1"/>
    </row>
    <row r="26" spans="1:103" ht="12.75">
      <c r="A26" s="26">
        <v>15</v>
      </c>
      <c r="B26" s="27" t="s">
        <v>64</v>
      </c>
      <c r="C26" s="43">
        <v>183.7707</v>
      </c>
      <c r="D26" s="44">
        <v>76.66</v>
      </c>
      <c r="E26" s="44">
        <f>D$34/C26*100</f>
        <v>76.66619325061068</v>
      </c>
      <c r="F26" s="4"/>
      <c r="G26" s="4">
        <v>183.8926</v>
      </c>
      <c r="H26" s="44">
        <v>76.4</v>
      </c>
      <c r="I26" s="44">
        <f>H$34/G26*100</f>
        <v>76.40329192148026</v>
      </c>
      <c r="J26" s="4"/>
      <c r="K26" s="4">
        <v>185.5123</v>
      </c>
      <c r="L26" s="16">
        <v>75.98</v>
      </c>
      <c r="M26" s="44">
        <f>L$34/K26*100</f>
        <v>75.98418002472074</v>
      </c>
      <c r="N26" s="4"/>
      <c r="O26" s="4">
        <v>185.2232</v>
      </c>
      <c r="P26" s="16">
        <v>76.15</v>
      </c>
      <c r="Q26" s="44">
        <f>P$34/O26*100</f>
        <v>76.15136764724937</v>
      </c>
      <c r="R26" s="4"/>
      <c r="S26" s="4">
        <v>184.9967</v>
      </c>
      <c r="T26" s="16">
        <v>76.02</v>
      </c>
      <c r="U26" s="44">
        <f>T$34/S26*100</f>
        <v>76.0229777071699</v>
      </c>
      <c r="V26" s="4"/>
      <c r="W26" s="4">
        <v>185.4916</v>
      </c>
      <c r="X26" s="16">
        <v>75.99</v>
      </c>
      <c r="Y26" s="44">
        <f>X$34/W26*100</f>
        <v>75.98726842617131</v>
      </c>
      <c r="Z26" s="4"/>
      <c r="AA26" s="4">
        <v>186.3225</v>
      </c>
      <c r="AB26" s="16">
        <v>75.67</v>
      </c>
      <c r="AC26" s="44">
        <f>AB$34/AA26*100</f>
        <v>75.6645064337372</v>
      </c>
      <c r="AD26" s="4"/>
      <c r="AE26" s="4">
        <v>185.9269</v>
      </c>
      <c r="AF26" s="41">
        <v>75.74</v>
      </c>
      <c r="AG26" s="44">
        <f>AF$34/AE26*100</f>
        <v>75.7448222930625</v>
      </c>
      <c r="AH26" s="4"/>
      <c r="AI26" s="4">
        <v>188.518</v>
      </c>
      <c r="AJ26" s="16">
        <v>74.97</v>
      </c>
      <c r="AK26" s="44">
        <f>AJ$34/AI26*100</f>
        <v>74.97427301371754</v>
      </c>
      <c r="AL26" s="4"/>
      <c r="AM26" s="4">
        <v>188.8604</v>
      </c>
      <c r="AN26" s="16">
        <v>74.9</v>
      </c>
      <c r="AO26" s="44">
        <f>AN$34/AM26*100</f>
        <v>74.90718011822489</v>
      </c>
      <c r="AP26" s="4"/>
      <c r="AQ26" s="4">
        <v>188.518</v>
      </c>
      <c r="AR26" s="16">
        <v>74.74</v>
      </c>
      <c r="AS26" s="44">
        <f>AR$34/AQ26*100</f>
        <v>74.73556901728216</v>
      </c>
      <c r="AT26" s="4"/>
      <c r="AU26" s="4">
        <v>188.1131</v>
      </c>
      <c r="AV26" s="16">
        <v>74.79</v>
      </c>
      <c r="AW26" s="44">
        <f>AV$34/AU26*100</f>
        <v>74.7901129692722</v>
      </c>
      <c r="AX26" s="4"/>
      <c r="AY26" s="4">
        <v>189.3763</v>
      </c>
      <c r="AZ26" s="16">
        <v>74.1</v>
      </c>
      <c r="BA26" s="44">
        <f>AZ$34/AY26*100</f>
        <v>74.10114148391325</v>
      </c>
      <c r="BB26" s="4"/>
      <c r="BC26" s="4">
        <v>188.5821</v>
      </c>
      <c r="BD26" s="16">
        <v>73.8</v>
      </c>
      <c r="BE26" s="44">
        <f>BD$34/BC26*100</f>
        <v>73.7980964259068</v>
      </c>
      <c r="BF26" s="4"/>
      <c r="BG26" s="4">
        <v>189.118</v>
      </c>
      <c r="BH26" s="16">
        <v>72.51</v>
      </c>
      <c r="BI26" s="44">
        <f>BH$34/BG26*100</f>
        <v>72.51028458422783</v>
      </c>
      <c r="BJ26" s="4"/>
      <c r="BK26" s="4">
        <v>189.3116</v>
      </c>
      <c r="BL26" s="16">
        <v>72.92</v>
      </c>
      <c r="BM26" s="44">
        <f>BL$34/BK26*100</f>
        <v>72.9168207336476</v>
      </c>
      <c r="BN26" s="4"/>
      <c r="BO26" s="4">
        <v>189.6137</v>
      </c>
      <c r="BP26" s="16">
        <v>73.52</v>
      </c>
      <c r="BQ26" s="44">
        <f>BP$34/BO26*100</f>
        <v>73.51789454032067</v>
      </c>
      <c r="BR26" s="4"/>
      <c r="BS26" s="4">
        <v>189.118</v>
      </c>
      <c r="BT26" s="16">
        <v>73.84</v>
      </c>
      <c r="BU26" s="44">
        <f>BT$34/BS26*100</f>
        <v>73.83749828149621</v>
      </c>
      <c r="BV26" s="4"/>
      <c r="BW26" s="4">
        <v>188.9676</v>
      </c>
      <c r="BX26" s="16">
        <v>73.86</v>
      </c>
      <c r="BY26" s="44">
        <f>BX$34/BW26*100</f>
        <v>73.85922242754842</v>
      </c>
      <c r="BZ26" s="4"/>
      <c r="CA26" s="4">
        <v>187.837</v>
      </c>
      <c r="CB26" s="16">
        <v>73.9</v>
      </c>
      <c r="CC26" s="44">
        <f>CB$34/CA26*100</f>
        <v>73.89917854309854</v>
      </c>
      <c r="CD26" s="4"/>
      <c r="CE26" s="4">
        <f t="shared" si="0"/>
        <v>187.353515</v>
      </c>
      <c r="CF26" s="4">
        <f t="shared" si="1"/>
        <v>74.82300000000001</v>
      </c>
      <c r="CG26" s="4">
        <f t="shared" si="1"/>
        <v>74.8235939921429</v>
      </c>
      <c r="CH26" s="4"/>
      <c r="CI26" s="23"/>
      <c r="CJ26" s="42"/>
      <c r="CK26" s="48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1"/>
    </row>
    <row r="27" spans="1:103" ht="12.75">
      <c r="A27" s="26">
        <v>16</v>
      </c>
      <c r="B27" s="27" t="s">
        <v>53</v>
      </c>
      <c r="C27" s="43">
        <v>10.5751</v>
      </c>
      <c r="D27" s="44">
        <v>13.32</v>
      </c>
      <c r="E27" s="44">
        <f>D$34/C27</f>
        <v>13.322805458104412</v>
      </c>
      <c r="F27" s="4"/>
      <c r="G27" s="4">
        <v>10.5254</v>
      </c>
      <c r="H27" s="4">
        <v>13.35</v>
      </c>
      <c r="I27" s="16">
        <f>H$34/G27</f>
        <v>13.348661333536018</v>
      </c>
      <c r="J27" s="4"/>
      <c r="K27" s="4">
        <v>10.5864</v>
      </c>
      <c r="L27" s="16">
        <v>13.32</v>
      </c>
      <c r="M27" s="16">
        <f>L$34/K27</f>
        <v>13.31519685634399</v>
      </c>
      <c r="N27" s="4"/>
      <c r="O27" s="4">
        <v>10.5466</v>
      </c>
      <c r="P27" s="16">
        <v>13.37</v>
      </c>
      <c r="Q27" s="16">
        <f>P$34/O27</f>
        <v>13.37397834373163</v>
      </c>
      <c r="R27" s="4"/>
      <c r="S27" s="4">
        <v>10.4815</v>
      </c>
      <c r="T27" s="16">
        <v>13.42</v>
      </c>
      <c r="U27" s="16">
        <f>T$34/S27</f>
        <v>13.41792682345084</v>
      </c>
      <c r="V27" s="4"/>
      <c r="W27" s="4">
        <v>10.4559</v>
      </c>
      <c r="X27" s="16">
        <v>13.48</v>
      </c>
      <c r="Y27" s="16">
        <f>X$34/W27</f>
        <v>13.480427318547422</v>
      </c>
      <c r="Z27" s="4"/>
      <c r="AA27" s="4">
        <v>10.553</v>
      </c>
      <c r="AB27" s="16">
        <v>13.36</v>
      </c>
      <c r="AC27" s="16">
        <f>AB$34/AA27</f>
        <v>13.3592343409457</v>
      </c>
      <c r="AD27" s="4"/>
      <c r="AE27" s="4">
        <v>10.5261</v>
      </c>
      <c r="AF27" s="16">
        <v>13.38</v>
      </c>
      <c r="AG27" s="16">
        <f>AF$34/AE27</f>
        <v>13.379124272047578</v>
      </c>
      <c r="AH27" s="4"/>
      <c r="AI27" s="4">
        <v>10.6095</v>
      </c>
      <c r="AJ27" s="16">
        <v>13.32</v>
      </c>
      <c r="AK27" s="16">
        <f>AJ$34/AI27</f>
        <v>13.322022715490833</v>
      </c>
      <c r="AL27" s="4"/>
      <c r="AM27" s="4">
        <v>10.5788</v>
      </c>
      <c r="AN27" s="16">
        <v>13.37</v>
      </c>
      <c r="AO27" s="16">
        <f>AN$34/AM27</f>
        <v>13.372972359813968</v>
      </c>
      <c r="AP27" s="4"/>
      <c r="AQ27" s="4">
        <v>10.5358</v>
      </c>
      <c r="AR27" s="16">
        <v>13.37</v>
      </c>
      <c r="AS27" s="16">
        <f>AR$34/AQ27</f>
        <v>13.372501376259988</v>
      </c>
      <c r="AT27" s="4"/>
      <c r="AU27" s="4">
        <v>10.592</v>
      </c>
      <c r="AV27" s="16">
        <v>13.28</v>
      </c>
      <c r="AW27" s="16">
        <f>AV$34/AU27</f>
        <v>13.282666163141993</v>
      </c>
      <c r="AX27" s="4"/>
      <c r="AY27" s="4">
        <v>10.6731</v>
      </c>
      <c r="AZ27" s="16">
        <v>13.15</v>
      </c>
      <c r="BA27" s="16">
        <f>AZ$34/AY27</f>
        <v>13.14800760791148</v>
      </c>
      <c r="BB27" s="4"/>
      <c r="BC27" s="4">
        <v>10.61</v>
      </c>
      <c r="BD27" s="16">
        <v>13.12</v>
      </c>
      <c r="BE27" s="16">
        <f>BD$34/BC27</f>
        <v>13.116870876531573</v>
      </c>
      <c r="BF27" s="4"/>
      <c r="BG27" s="4">
        <v>10.6903</v>
      </c>
      <c r="BH27" s="16">
        <v>12.83</v>
      </c>
      <c r="BI27" s="16">
        <f>BH$34/BG27</f>
        <v>12.827516533680065</v>
      </c>
      <c r="BJ27" s="4"/>
      <c r="BK27" s="4">
        <v>10.6656</v>
      </c>
      <c r="BL27" s="16">
        <v>12.94</v>
      </c>
      <c r="BM27" s="16">
        <f>BL$34/BK27</f>
        <v>12.942544254425442</v>
      </c>
      <c r="BN27" s="4"/>
      <c r="BO27" s="4">
        <v>10.6534</v>
      </c>
      <c r="BP27" s="16">
        <v>13.09</v>
      </c>
      <c r="BQ27" s="16">
        <f>BP$34/BO27</f>
        <v>13.085024499220907</v>
      </c>
      <c r="BR27" s="4"/>
      <c r="BS27" s="4">
        <v>10.6131</v>
      </c>
      <c r="BT27" s="16">
        <v>13.16</v>
      </c>
      <c r="BU27" s="16">
        <f>BT$34/BS27</f>
        <v>13.157324438665423</v>
      </c>
      <c r="BV27" s="4"/>
      <c r="BW27" s="4">
        <v>10.6043</v>
      </c>
      <c r="BX27" s="16">
        <v>13.16</v>
      </c>
      <c r="BY27" s="16">
        <f>BX$34/BW27</f>
        <v>13.161641975425063</v>
      </c>
      <c r="BZ27" s="4"/>
      <c r="CA27" s="4">
        <v>10.6722</v>
      </c>
      <c r="CB27" s="16">
        <v>13.01</v>
      </c>
      <c r="CC27" s="16">
        <f>CB$34/CA27</f>
        <v>13.006690279417553</v>
      </c>
      <c r="CD27" s="4"/>
      <c r="CE27" s="4">
        <f t="shared" si="0"/>
        <v>10.587405</v>
      </c>
      <c r="CF27" s="4">
        <f t="shared" si="1"/>
        <v>13.24</v>
      </c>
      <c r="CG27" s="4">
        <f t="shared" si="1"/>
        <v>13.239656891334594</v>
      </c>
      <c r="CH27" s="4"/>
      <c r="CI27" s="23"/>
      <c r="CJ27" s="42"/>
      <c r="CK27" s="42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1"/>
    </row>
    <row r="28" spans="1:103" ht="12.75">
      <c r="A28" s="26">
        <v>17</v>
      </c>
      <c r="B28" s="27" t="s">
        <v>54</v>
      </c>
      <c r="C28" s="43">
        <v>8.8059</v>
      </c>
      <c r="D28" s="44">
        <v>16</v>
      </c>
      <c r="E28" s="44">
        <f>D$34/C28</f>
        <v>15.999500335002669</v>
      </c>
      <c r="F28" s="4"/>
      <c r="G28" s="4">
        <v>8.8015</v>
      </c>
      <c r="H28" s="4">
        <v>15.96</v>
      </c>
      <c r="I28" s="16">
        <f>H$34/G28</f>
        <v>15.963188092938703</v>
      </c>
      <c r="J28" s="4"/>
      <c r="K28" s="4">
        <v>8.8371</v>
      </c>
      <c r="L28" s="16">
        <v>15.95</v>
      </c>
      <c r="M28" s="16">
        <f>L$34/K28</f>
        <v>15.950934129974767</v>
      </c>
      <c r="N28" s="4"/>
      <c r="O28" s="4">
        <v>8.8232</v>
      </c>
      <c r="P28" s="16">
        <v>15.99</v>
      </c>
      <c r="Q28" s="16">
        <f>P$34/O28</f>
        <v>15.98626348717019</v>
      </c>
      <c r="R28" s="4"/>
      <c r="S28" s="4">
        <v>8.8237</v>
      </c>
      <c r="T28" s="16">
        <v>15.94</v>
      </c>
      <c r="U28" s="16">
        <f>T$34/S28</f>
        <v>15.938891848090934</v>
      </c>
      <c r="V28" s="4"/>
      <c r="W28" s="4">
        <v>8.8349</v>
      </c>
      <c r="X28" s="16">
        <v>15.95</v>
      </c>
      <c r="Y28" s="16">
        <f>X$34/W28</f>
        <v>15.95377423626753</v>
      </c>
      <c r="Z28" s="4"/>
      <c r="AA28" s="4">
        <v>8.8343</v>
      </c>
      <c r="AB28" s="16">
        <v>15.96</v>
      </c>
      <c r="AC28" s="16">
        <f>AB$34/AA28</f>
        <v>15.95825362507499</v>
      </c>
      <c r="AD28" s="4"/>
      <c r="AE28" s="4">
        <v>8.8227</v>
      </c>
      <c r="AF28" s="16">
        <v>15.96</v>
      </c>
      <c r="AG28" s="16">
        <f>AF$34/AE28</f>
        <v>15.962233783308967</v>
      </c>
      <c r="AH28" s="4"/>
      <c r="AI28" s="4">
        <v>8.9081</v>
      </c>
      <c r="AJ28" s="16">
        <v>15.87</v>
      </c>
      <c r="AK28" s="16">
        <f>AJ$34/AI28</f>
        <v>15.866458616315489</v>
      </c>
      <c r="AL28" s="4"/>
      <c r="AM28" s="4">
        <v>8.8998</v>
      </c>
      <c r="AN28" s="16">
        <v>15.9</v>
      </c>
      <c r="AO28" s="16">
        <f>AN$34/AM28</f>
        <v>15.895862828378164</v>
      </c>
      <c r="AP28" s="4"/>
      <c r="AQ28" s="4">
        <v>8.93</v>
      </c>
      <c r="AR28" s="16">
        <v>15.78</v>
      </c>
      <c r="AS28" s="16">
        <f>AR$34/AQ28</f>
        <v>15.777155655095184</v>
      </c>
      <c r="AT28" s="4"/>
      <c r="AU28" s="4">
        <v>8.9538</v>
      </c>
      <c r="AV28" s="16">
        <v>15.71</v>
      </c>
      <c r="AW28" s="16">
        <f>AV$34/AU28</f>
        <v>15.712881681520695</v>
      </c>
      <c r="AX28" s="4"/>
      <c r="AY28" s="4">
        <v>9.0281</v>
      </c>
      <c r="AZ28" s="16">
        <v>15.54</v>
      </c>
      <c r="BA28" s="16">
        <f>AZ$34/AY28</f>
        <v>15.54369136363133</v>
      </c>
      <c r="BB28" s="4"/>
      <c r="BC28" s="4">
        <v>8.9641</v>
      </c>
      <c r="BD28" s="16">
        <v>15.53</v>
      </c>
      <c r="BE28" s="16">
        <f>BD$34/BC28</f>
        <v>15.525261877935318</v>
      </c>
      <c r="BF28" s="4"/>
      <c r="BG28" s="4">
        <v>8.9761</v>
      </c>
      <c r="BH28" s="16">
        <v>15.28</v>
      </c>
      <c r="BI28" s="16">
        <f>BH$34/BG28</f>
        <v>15.27723621617406</v>
      </c>
      <c r="BJ28" s="4"/>
      <c r="BK28" s="4">
        <v>8.9848</v>
      </c>
      <c r="BL28" s="16">
        <v>15.36</v>
      </c>
      <c r="BM28" s="16">
        <f>BL$34/BK28</f>
        <v>15.363725402902679</v>
      </c>
      <c r="BN28" s="4"/>
      <c r="BO28" s="4">
        <v>9.0254</v>
      </c>
      <c r="BP28" s="16">
        <v>15.45</v>
      </c>
      <c r="BQ28" s="16">
        <f>BP$34/BO28</f>
        <v>15.44529882332085</v>
      </c>
      <c r="BR28" s="4"/>
      <c r="BS28" s="4">
        <v>9.0465</v>
      </c>
      <c r="BT28" s="16">
        <v>15.44</v>
      </c>
      <c r="BU28" s="16">
        <f>BT$34/BS28</f>
        <v>15.435803902061568</v>
      </c>
      <c r="BV28" s="4"/>
      <c r="BW28" s="4">
        <v>9.0354</v>
      </c>
      <c r="BX28" s="16">
        <v>15.45</v>
      </c>
      <c r="BY28" s="16">
        <f>BX$34/BW28</f>
        <v>15.447019501073555</v>
      </c>
      <c r="BZ28" s="4"/>
      <c r="CA28" s="4">
        <v>8.9632</v>
      </c>
      <c r="CB28" s="16">
        <v>15.49</v>
      </c>
      <c r="CC28" s="16">
        <f>CB$34/CA28</f>
        <v>15.486656551231702</v>
      </c>
      <c r="CD28" s="4"/>
      <c r="CE28" s="4">
        <f t="shared" si="0"/>
        <v>8.914930000000002</v>
      </c>
      <c r="CF28" s="4">
        <f>(+D28+H28+L28+P28+T28+X28+AB28+AF28+AJ28+AN28+AR28+AV28+AZ28+BD28+BH28+BL28+BP28+BT28+BX28+CB28)/20</f>
        <v>15.7255</v>
      </c>
      <c r="CG28" s="4">
        <f>(+E28+I28+M28+Q28+U28+Y28+AC28+AG28+AK28+AO28+AS28+AW28+BA28+BE28+BI28+BM28+BQ28+BU28+BY28+CC28)/20</f>
        <v>15.724504597873468</v>
      </c>
      <c r="CH28" s="4"/>
      <c r="CI28" s="23"/>
      <c r="CJ28" s="42"/>
      <c r="CK28" s="42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1"/>
    </row>
    <row r="29" spans="1:103" ht="12.75">
      <c r="A29" s="26">
        <v>18</v>
      </c>
      <c r="B29" s="27" t="s">
        <v>55</v>
      </c>
      <c r="C29" s="43">
        <v>8.2197</v>
      </c>
      <c r="D29" s="44">
        <v>17.14</v>
      </c>
      <c r="E29" s="44">
        <f>D$34/C29</f>
        <v>17.140528243123228</v>
      </c>
      <c r="F29" s="4"/>
      <c r="G29" s="4">
        <v>8.2286</v>
      </c>
      <c r="H29" s="4">
        <v>17.07</v>
      </c>
      <c r="I29" s="16">
        <f>H$34/G29</f>
        <v>17.074593490994822</v>
      </c>
      <c r="J29" s="4"/>
      <c r="K29" s="4">
        <v>8.3016</v>
      </c>
      <c r="L29" s="16">
        <v>16.98</v>
      </c>
      <c r="M29" s="16">
        <f>L$34/K29</f>
        <v>16.97985930423051</v>
      </c>
      <c r="N29" s="4"/>
      <c r="O29" s="4">
        <v>8.2875</v>
      </c>
      <c r="P29" s="16">
        <v>17.02</v>
      </c>
      <c r="Q29" s="16">
        <f>P$34/O29</f>
        <v>17.01960784313726</v>
      </c>
      <c r="R29" s="4"/>
      <c r="S29" s="4">
        <v>8.278</v>
      </c>
      <c r="T29" s="16">
        <v>16.99</v>
      </c>
      <c r="U29" s="16">
        <f>T$34/S29</f>
        <v>16.989611017153898</v>
      </c>
      <c r="V29" s="4"/>
      <c r="W29" s="4">
        <v>8.3015</v>
      </c>
      <c r="X29" s="16">
        <v>16.98</v>
      </c>
      <c r="Y29" s="16">
        <f>X$34/W29</f>
        <v>16.978859242305603</v>
      </c>
      <c r="Z29" s="4"/>
      <c r="AA29" s="4">
        <v>8.3397</v>
      </c>
      <c r="AB29" s="16">
        <v>16.9</v>
      </c>
      <c r="AC29" s="16">
        <f>AB$34/AA29</f>
        <v>16.90468482079691</v>
      </c>
      <c r="AD29" s="4"/>
      <c r="AE29" s="4">
        <v>8.3257</v>
      </c>
      <c r="AF29" s="16">
        <v>16.91</v>
      </c>
      <c r="AG29" s="16">
        <f>AF$34/AE29</f>
        <v>16.915094226311304</v>
      </c>
      <c r="AH29" s="4"/>
      <c r="AI29" s="4">
        <v>8.4356</v>
      </c>
      <c r="AJ29" s="16">
        <v>16.75</v>
      </c>
      <c r="AK29" s="16">
        <f>AJ$34/AI29</f>
        <v>16.755180425814405</v>
      </c>
      <c r="AL29" s="4"/>
      <c r="AM29" s="4">
        <v>8.4408</v>
      </c>
      <c r="AN29" s="16">
        <v>16.76</v>
      </c>
      <c r="AO29" s="16">
        <f>AN$34/AM29</f>
        <v>16.760259691024547</v>
      </c>
      <c r="AP29" s="4"/>
      <c r="AQ29" s="4">
        <v>8.4305</v>
      </c>
      <c r="AR29" s="16">
        <v>16.71</v>
      </c>
      <c r="AS29" s="16">
        <f>AR$34/AQ29</f>
        <v>16.711938793665855</v>
      </c>
      <c r="AT29" s="4"/>
      <c r="AU29" s="4">
        <v>8.4102</v>
      </c>
      <c r="AV29" s="16">
        <v>16.73</v>
      </c>
      <c r="AW29" s="16">
        <f>AV$34/AU29</f>
        <v>16.72849634967064</v>
      </c>
      <c r="AX29" s="4"/>
      <c r="AY29" s="4">
        <v>8.4716</v>
      </c>
      <c r="AZ29" s="16">
        <v>16.56</v>
      </c>
      <c r="BA29" s="16">
        <f>AZ$34/AY29</f>
        <v>16.564757542849048</v>
      </c>
      <c r="BB29" s="4"/>
      <c r="BC29" s="4">
        <v>8.437</v>
      </c>
      <c r="BD29" s="16">
        <v>16.49</v>
      </c>
      <c r="BE29" s="16">
        <f>BD$34/BC29</f>
        <v>16.4951997155387</v>
      </c>
      <c r="BF29" s="4"/>
      <c r="BG29" s="4">
        <v>8.4584</v>
      </c>
      <c r="BH29" s="16">
        <v>16.21</v>
      </c>
      <c r="BI29" s="16">
        <f>BH$34/BG29</f>
        <v>16.212286011538826</v>
      </c>
      <c r="BJ29" s="4"/>
      <c r="BK29" s="4">
        <v>8.4631</v>
      </c>
      <c r="BL29" s="16">
        <v>16.31</v>
      </c>
      <c r="BM29" s="16">
        <f>BL$34/BK29</f>
        <v>16.31080809632404</v>
      </c>
      <c r="BN29" s="4"/>
      <c r="BO29" s="4">
        <v>8.472</v>
      </c>
      <c r="BP29" s="16">
        <v>16.45</v>
      </c>
      <c r="BQ29" s="16">
        <f>BP$34/BO29</f>
        <v>16.454202077431543</v>
      </c>
      <c r="BR29" s="4"/>
      <c r="BS29" s="4">
        <v>8.4568</v>
      </c>
      <c r="BT29" s="16">
        <v>16.51</v>
      </c>
      <c r="BU29" s="16">
        <f>BT$34/BS29</f>
        <v>16.51215589821209</v>
      </c>
      <c r="BV29" s="4"/>
      <c r="BW29" s="4">
        <v>8.4475</v>
      </c>
      <c r="BX29" s="16">
        <v>16.52</v>
      </c>
      <c r="BY29" s="16">
        <f>BX$34/BW29</f>
        <v>16.522047943178453</v>
      </c>
      <c r="BZ29" s="4"/>
      <c r="CA29" s="4">
        <v>8.3696</v>
      </c>
      <c r="CB29" s="16">
        <v>16.58</v>
      </c>
      <c r="CC29" s="16">
        <f>CB$34/CA29</f>
        <v>16.58502198432422</v>
      </c>
      <c r="CD29" s="4"/>
      <c r="CE29" s="4">
        <f aca="true" t="shared" si="2" ref="CE29:CH34">(+C29+G29+K29+O29+S29+W29+AA29+AE29+AI29+AM29+AQ29+AU29+AY29+BC29+BG29+BK29+BO29+BS29+BW29+CA29)/20</f>
        <v>8.37877</v>
      </c>
      <c r="CF29" s="4">
        <f t="shared" si="2"/>
        <v>16.728499999999997</v>
      </c>
      <c r="CG29" s="4">
        <f t="shared" si="2"/>
        <v>16.73075963588129</v>
      </c>
      <c r="CH29" s="4"/>
      <c r="CI29" s="23"/>
      <c r="CJ29" s="42"/>
      <c r="CK29" s="42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1"/>
    </row>
    <row r="30" spans="1:103" ht="12.75">
      <c r="A30" s="26">
        <v>19</v>
      </c>
      <c r="B30" s="27" t="s">
        <v>56</v>
      </c>
      <c r="C30" s="43">
        <v>6.567</v>
      </c>
      <c r="D30" s="44">
        <v>21.45</v>
      </c>
      <c r="E30" s="44">
        <f>D$34/C30</f>
        <v>21.45424090147708</v>
      </c>
      <c r="F30" s="4"/>
      <c r="G30" s="4">
        <v>6.5713</v>
      </c>
      <c r="H30" s="4">
        <v>21.38</v>
      </c>
      <c r="I30" s="16">
        <f>H$34/G30</f>
        <v>21.38085310364768</v>
      </c>
      <c r="J30" s="4"/>
      <c r="K30" s="4">
        <v>6.6292</v>
      </c>
      <c r="L30" s="16">
        <v>21.26</v>
      </c>
      <c r="M30" s="16">
        <f>L$34/K30</f>
        <v>21.263500874917035</v>
      </c>
      <c r="N30" s="4"/>
      <c r="O30" s="4">
        <v>6.6189</v>
      </c>
      <c r="P30" s="16">
        <v>21.31</v>
      </c>
      <c r="Q30" s="16">
        <f>P$34/O30</f>
        <v>21.310187493390142</v>
      </c>
      <c r="R30" s="4"/>
      <c r="S30" s="4">
        <v>6.6108</v>
      </c>
      <c r="T30" s="16">
        <v>21.27</v>
      </c>
      <c r="U30" s="16">
        <f>T$34/S30</f>
        <v>21.274278453439823</v>
      </c>
      <c r="V30" s="4"/>
      <c r="W30" s="4">
        <v>6.6285</v>
      </c>
      <c r="X30" s="16">
        <v>21.26</v>
      </c>
      <c r="Y30" s="16">
        <f>X$34/W30</f>
        <v>21.26423776118277</v>
      </c>
      <c r="Z30" s="4"/>
      <c r="AA30" s="4">
        <v>6.6582</v>
      </c>
      <c r="AB30" s="16">
        <v>21.17</v>
      </c>
      <c r="AC30" s="16">
        <f>AB$34/AA30</f>
        <v>21.173890841368536</v>
      </c>
      <c r="AD30" s="4"/>
      <c r="AE30" s="4">
        <v>6.644</v>
      </c>
      <c r="AF30" s="16">
        <v>21.2</v>
      </c>
      <c r="AG30" s="16">
        <f>AF$34/AE30</f>
        <v>21.196568332329925</v>
      </c>
      <c r="AH30" s="4"/>
      <c r="AI30" s="4">
        <v>6.7366</v>
      </c>
      <c r="AJ30" s="16">
        <v>20.98</v>
      </c>
      <c r="AK30" s="16">
        <f>AJ$34/AI30</f>
        <v>20.980910251462163</v>
      </c>
      <c r="AL30" s="4"/>
      <c r="AM30" s="4">
        <v>6.7488</v>
      </c>
      <c r="AN30" s="16">
        <v>20.96</v>
      </c>
      <c r="AO30" s="16">
        <f>AN$34/AM30</f>
        <v>20.962245139876718</v>
      </c>
      <c r="AP30" s="4"/>
      <c r="AQ30" s="4">
        <v>6.7366</v>
      </c>
      <c r="AR30" s="16">
        <v>20.91</v>
      </c>
      <c r="AS30" s="16">
        <f>AR$34/AQ30</f>
        <v>20.914110975863192</v>
      </c>
      <c r="AT30" s="4"/>
      <c r="AU30" s="4">
        <v>6.7221</v>
      </c>
      <c r="AV30" s="16">
        <v>20.93</v>
      </c>
      <c r="AW30" s="16">
        <f>AV$34/AU30</f>
        <v>20.929471444935363</v>
      </c>
      <c r="AX30" s="4"/>
      <c r="AY30" s="4">
        <v>6.7673</v>
      </c>
      <c r="AZ30" s="16">
        <v>20.74</v>
      </c>
      <c r="BA30" s="16">
        <f>AZ$34/AY30</f>
        <v>20.736482792250975</v>
      </c>
      <c r="BB30" s="4"/>
      <c r="BC30" s="4">
        <v>6.7389</v>
      </c>
      <c r="BD30" s="16">
        <v>20.65</v>
      </c>
      <c r="BE30" s="16">
        <f>BD$34/BC30</f>
        <v>20.65173841428126</v>
      </c>
      <c r="BF30" s="4"/>
      <c r="BG30" s="4">
        <v>6.758</v>
      </c>
      <c r="BH30" s="16">
        <v>20.29</v>
      </c>
      <c r="BI30" s="16">
        <f>BH$34/BG30</f>
        <v>20.29150636282924</v>
      </c>
      <c r="BJ30" s="4"/>
      <c r="BK30" s="4">
        <v>6.765</v>
      </c>
      <c r="BL30" s="16">
        <v>20.41</v>
      </c>
      <c r="BM30" s="16">
        <f>BL$34/BK30</f>
        <v>20.405025868440504</v>
      </c>
      <c r="BN30" s="4"/>
      <c r="BO30" s="4">
        <v>6.7758</v>
      </c>
      <c r="BP30" s="16">
        <v>20.57</v>
      </c>
      <c r="BQ30" s="16">
        <f>BP$34/BO30</f>
        <v>20.573216446766434</v>
      </c>
      <c r="BR30" s="4"/>
      <c r="BS30" s="4">
        <v>6.758</v>
      </c>
      <c r="BT30" s="16">
        <v>20.66</v>
      </c>
      <c r="BU30" s="16">
        <f>BT$34/BS30</f>
        <v>20.66291802308375</v>
      </c>
      <c r="BV30" s="4"/>
      <c r="BW30" s="4">
        <v>6.7527</v>
      </c>
      <c r="BX30" s="16">
        <v>20.67</v>
      </c>
      <c r="BY30" s="16">
        <f>BX$34/BW30</f>
        <v>20.668769529225347</v>
      </c>
      <c r="BZ30" s="4"/>
      <c r="CA30" s="4">
        <v>6.7123</v>
      </c>
      <c r="CB30" s="16">
        <v>20.68</v>
      </c>
      <c r="CC30" s="16">
        <f>CB$34/CA30</f>
        <v>20.679945771196163</v>
      </c>
      <c r="CD30" s="4"/>
      <c r="CE30" s="4">
        <f t="shared" si="2"/>
        <v>6.695</v>
      </c>
      <c r="CF30" s="4">
        <f t="shared" si="2"/>
        <v>20.937500000000004</v>
      </c>
      <c r="CG30" s="4">
        <f t="shared" si="2"/>
        <v>20.93870493909821</v>
      </c>
      <c r="CH30" s="4"/>
      <c r="CI30" s="23"/>
      <c r="CJ30" s="42"/>
      <c r="CK30" s="42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1"/>
    </row>
    <row r="31" spans="1:103" ht="12.75">
      <c r="A31" s="26">
        <v>20</v>
      </c>
      <c r="B31" s="27" t="s">
        <v>57</v>
      </c>
      <c r="C31" s="43">
        <v>221.4292</v>
      </c>
      <c r="D31" s="44">
        <v>63.63</v>
      </c>
      <c r="E31" s="44">
        <f>D$34/C31*100</f>
        <v>63.62756131530981</v>
      </c>
      <c r="F31" s="4"/>
      <c r="G31" s="4">
        <v>221.576</v>
      </c>
      <c r="H31" s="4">
        <v>63.41</v>
      </c>
      <c r="I31" s="16">
        <f>H$34/G31*100</f>
        <v>63.40939451926202</v>
      </c>
      <c r="J31" s="4"/>
      <c r="K31" s="4">
        <v>223.5277</v>
      </c>
      <c r="L31" s="16">
        <v>63.06</v>
      </c>
      <c r="M31" s="16">
        <f>L$34/K31*100</f>
        <v>63.06153555018014</v>
      </c>
      <c r="N31" s="4"/>
      <c r="O31" s="4">
        <v>223.1793</v>
      </c>
      <c r="P31" s="16">
        <v>63.2</v>
      </c>
      <c r="Q31" s="16">
        <f>P$34/O31*100</f>
        <v>63.200305763124085</v>
      </c>
      <c r="R31" s="4"/>
      <c r="S31" s="4">
        <v>222.9064</v>
      </c>
      <c r="T31" s="16">
        <v>63.09</v>
      </c>
      <c r="U31" s="16">
        <f>T$34/S31*100</f>
        <v>63.09374697182315</v>
      </c>
      <c r="V31" s="4"/>
      <c r="W31" s="4">
        <v>223.5028</v>
      </c>
      <c r="X31" s="16">
        <v>63.06</v>
      </c>
      <c r="Y31" s="16">
        <f>X$34/W31*100</f>
        <v>63.06408689287113</v>
      </c>
      <c r="Z31" s="4"/>
      <c r="AA31" s="4">
        <v>224.5039</v>
      </c>
      <c r="AB31" s="16">
        <v>62.8</v>
      </c>
      <c r="AC31" s="16">
        <f>AB$34/AA31*100</f>
        <v>62.796236501904865</v>
      </c>
      <c r="AD31" s="4"/>
      <c r="AE31" s="4">
        <v>224.0273</v>
      </c>
      <c r="AF31" s="16">
        <v>62.86</v>
      </c>
      <c r="AG31" s="16">
        <f>AF$34/AE31*100</f>
        <v>62.86287430148023</v>
      </c>
      <c r="AH31" s="4"/>
      <c r="AI31" s="4">
        <v>227.1493</v>
      </c>
      <c r="AJ31" s="16">
        <v>62.22</v>
      </c>
      <c r="AK31" s="16">
        <f>AJ$34/AI31*100</f>
        <v>62.223392279879356</v>
      </c>
      <c r="AL31" s="4"/>
      <c r="AM31" s="4">
        <v>227.5619</v>
      </c>
      <c r="AN31" s="16">
        <v>62.17</v>
      </c>
      <c r="AO31" s="16">
        <f>AN$34/AM31*100</f>
        <v>62.16770030484013</v>
      </c>
      <c r="AP31" s="4"/>
      <c r="AQ31" s="4">
        <v>227.1493</v>
      </c>
      <c r="AR31" s="16">
        <v>62.03</v>
      </c>
      <c r="AS31" s="16">
        <f>AR$34/AQ31*100</f>
        <v>62.02528469161032</v>
      </c>
      <c r="AT31" s="4"/>
      <c r="AU31" s="4">
        <v>226.6614</v>
      </c>
      <c r="AV31" s="16">
        <v>62.07</v>
      </c>
      <c r="AW31" s="16">
        <f>AV$34/AU31*100</f>
        <v>62.070559874773565</v>
      </c>
      <c r="AX31" s="4"/>
      <c r="AY31" s="4">
        <v>228.1835</v>
      </c>
      <c r="AZ31" s="16">
        <v>61.5</v>
      </c>
      <c r="BA31" s="16">
        <f>AZ$34/AY31*100</f>
        <v>61.49874990961223</v>
      </c>
      <c r="BB31" s="4"/>
      <c r="BC31" s="4">
        <v>227.2266</v>
      </c>
      <c r="BD31" s="16">
        <v>61.25</v>
      </c>
      <c r="BE31" s="16">
        <f>BD$34/BC31*100</f>
        <v>61.247230737950574</v>
      </c>
      <c r="BF31" s="4"/>
      <c r="BG31" s="4">
        <v>227.8722</v>
      </c>
      <c r="BH31" s="16">
        <v>60.18</v>
      </c>
      <c r="BI31" s="16">
        <f>BH$34/BG31*100</f>
        <v>60.178468457319504</v>
      </c>
      <c r="BJ31" s="4"/>
      <c r="BK31" s="4">
        <v>228.1056</v>
      </c>
      <c r="BL31" s="16">
        <v>60.52</v>
      </c>
      <c r="BM31" s="16">
        <f>BL$34/BK31*100</f>
        <v>60.51583126411626</v>
      </c>
      <c r="BN31" s="4"/>
      <c r="BO31" s="4">
        <v>228.4695</v>
      </c>
      <c r="BP31" s="16">
        <v>61.02</v>
      </c>
      <c r="BQ31" s="16">
        <f>BP$34/BO31*100</f>
        <v>61.01470874668172</v>
      </c>
      <c r="BR31" s="4"/>
      <c r="BS31" s="4">
        <v>227.8722</v>
      </c>
      <c r="BT31" s="16">
        <v>61.28</v>
      </c>
      <c r="BU31" s="16">
        <f>BT$34/BS31*100</f>
        <v>61.279963067017384</v>
      </c>
      <c r="BV31" s="4"/>
      <c r="BW31" s="4">
        <v>227.6911</v>
      </c>
      <c r="BX31" s="16">
        <v>61.3</v>
      </c>
      <c r="BY31" s="16">
        <f>BX$34/BW31*100</f>
        <v>61.29796026282976</v>
      </c>
      <c r="BZ31" s="4"/>
      <c r="CA31" s="4">
        <v>226.3287</v>
      </c>
      <c r="CB31" s="16">
        <v>61.33</v>
      </c>
      <c r="CC31" s="16">
        <f>CB$34/CA31*100</f>
        <v>61.331152434490185</v>
      </c>
      <c r="CD31" s="4"/>
      <c r="CE31" s="4">
        <f t="shared" si="2"/>
        <v>225.746195</v>
      </c>
      <c r="CF31" s="4">
        <f t="shared" si="2"/>
        <v>62.09899999999999</v>
      </c>
      <c r="CG31" s="4">
        <f t="shared" si="2"/>
        <v>62.09833719235381</v>
      </c>
      <c r="CH31" s="4"/>
      <c r="CI31" s="23"/>
      <c r="CJ31" s="42"/>
      <c r="CK31" s="42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1"/>
    </row>
    <row r="32" spans="1:103" ht="12.75">
      <c r="A32" s="26">
        <v>21</v>
      </c>
      <c r="B32" s="27" t="s">
        <v>58</v>
      </c>
      <c r="C32" s="43">
        <f>1/1.281</f>
        <v>0.7806401249024201</v>
      </c>
      <c r="D32" s="44">
        <v>180.48</v>
      </c>
      <c r="E32" s="44">
        <f>D$34/C32</f>
        <v>180.48008999999996</v>
      </c>
      <c r="F32" s="4"/>
      <c r="G32" s="43">
        <f>1/1.27957</f>
        <v>0.7815125393686941</v>
      </c>
      <c r="H32" s="16">
        <v>179.78</v>
      </c>
      <c r="I32" s="16">
        <f>H$34/G32</f>
        <v>179.779585</v>
      </c>
      <c r="J32" s="4"/>
      <c r="K32" s="4">
        <f>1/1.27317</f>
        <v>0.7854410644297306</v>
      </c>
      <c r="L32" s="16">
        <v>179.47</v>
      </c>
      <c r="M32" s="16">
        <f>L$34/K32</f>
        <v>179.4660432</v>
      </c>
      <c r="N32" s="4"/>
      <c r="O32" s="4">
        <f>1/1.27604</f>
        <v>0.783674492962603</v>
      </c>
      <c r="P32" s="16">
        <v>179.99</v>
      </c>
      <c r="Q32" s="16">
        <f>P$34/O32</f>
        <v>179.985442</v>
      </c>
      <c r="R32" s="4"/>
      <c r="S32" s="4">
        <f>1/1.27946</f>
        <v>0.78157972894815</v>
      </c>
      <c r="T32" s="16">
        <v>179.95</v>
      </c>
      <c r="U32" s="16">
        <f>T$34/S32</f>
        <v>179.9432544</v>
      </c>
      <c r="V32" s="4"/>
      <c r="W32" s="4">
        <f>1/1.27674</f>
        <v>0.7832448266679198</v>
      </c>
      <c r="X32" s="16">
        <v>179.95</v>
      </c>
      <c r="Y32" s="16">
        <f>X$34/W32</f>
        <v>179.956503</v>
      </c>
      <c r="Z32" s="4"/>
      <c r="AA32" s="4">
        <f>1/1.27322</f>
        <v>0.7854102197577795</v>
      </c>
      <c r="AB32" s="16">
        <v>179.5</v>
      </c>
      <c r="AC32" s="16">
        <f>AB$34/AA32</f>
        <v>179.4985556</v>
      </c>
      <c r="AD32" s="4"/>
      <c r="AE32" s="4">
        <f>1/1.27421</f>
        <v>0.7847999937216</v>
      </c>
      <c r="AF32" s="16">
        <v>179.44</v>
      </c>
      <c r="AG32" s="16">
        <f>AF$34/AE32</f>
        <v>179.44699430000003</v>
      </c>
      <c r="AH32" s="4"/>
      <c r="AI32" s="4">
        <f>1/1.27421</f>
        <v>0.7847999937216</v>
      </c>
      <c r="AJ32" s="16">
        <v>180.09</v>
      </c>
      <c r="AK32" s="16">
        <f>AJ$34/AI32</f>
        <v>180.09684140000002</v>
      </c>
      <c r="AL32" s="4"/>
      <c r="AM32" s="4">
        <f>1/1.2652</f>
        <v>0.7903888713246917</v>
      </c>
      <c r="AN32" s="16">
        <v>178.98</v>
      </c>
      <c r="AO32" s="16">
        <f>AN$34/AM32</f>
        <v>178.987844</v>
      </c>
      <c r="AP32" s="4"/>
      <c r="AQ32" s="4">
        <f>1/1.26603</f>
        <v>0.7898706981667101</v>
      </c>
      <c r="AR32" s="16">
        <v>178.37</v>
      </c>
      <c r="AS32" s="16">
        <f>AR$34/AQ32</f>
        <v>178.3709667</v>
      </c>
      <c r="AT32" s="4"/>
      <c r="AU32" s="4">
        <f>1/1.26563</f>
        <v>0.7901203353270703</v>
      </c>
      <c r="AV32" s="16">
        <v>178.06</v>
      </c>
      <c r="AW32" s="16">
        <f>AV$34/AU32</f>
        <v>178.0614847</v>
      </c>
      <c r="AX32" s="4"/>
      <c r="AY32" s="4">
        <f>1/1.26563</f>
        <v>0.7901203353270703</v>
      </c>
      <c r="AZ32" s="16">
        <v>177.6</v>
      </c>
      <c r="BA32" s="16">
        <f>AZ$34/AY32</f>
        <v>177.60585790000002</v>
      </c>
      <c r="BB32" s="4"/>
      <c r="BC32" s="4">
        <f>1/1.26386</f>
        <v>0.7912268763945374</v>
      </c>
      <c r="BD32" s="16">
        <v>175.89</v>
      </c>
      <c r="BE32" s="16">
        <f>BD$34/BC32</f>
        <v>175.89139619999997</v>
      </c>
      <c r="BF32" s="4"/>
      <c r="BG32" s="4">
        <f>1/1.2625</f>
        <v>0.7920792079207921</v>
      </c>
      <c r="BH32" s="16">
        <v>173.13</v>
      </c>
      <c r="BI32" s="16">
        <f>BH$34/BG32</f>
        <v>173.126625</v>
      </c>
      <c r="BJ32" s="4"/>
      <c r="BK32" s="4">
        <f>1/1.2625</f>
        <v>0.7920792079207921</v>
      </c>
      <c r="BL32" s="16">
        <v>174.28</v>
      </c>
      <c r="BM32" s="16">
        <f>BL$34/BK32</f>
        <v>174.2755</v>
      </c>
      <c r="BN32" s="4"/>
      <c r="BO32" s="4">
        <f>1/1.2625</f>
        <v>0.7920792079207921</v>
      </c>
      <c r="BP32" s="16">
        <v>175.99</v>
      </c>
      <c r="BQ32" s="16">
        <f>BP$34/BO32</f>
        <v>175.9925</v>
      </c>
      <c r="BR32" s="4"/>
      <c r="BS32" s="4">
        <f>1/1.26148</f>
        <v>0.7927196626185117</v>
      </c>
      <c r="BT32" s="16">
        <v>176.15</v>
      </c>
      <c r="BU32" s="16">
        <f>BT$34/BS32</f>
        <v>176.15306719999995</v>
      </c>
      <c r="BV32" s="4"/>
      <c r="BW32" s="4">
        <f>1/1.25881</f>
        <v>0.7944010613198179</v>
      </c>
      <c r="BX32" s="16">
        <v>175.69</v>
      </c>
      <c r="BY32" s="16">
        <f>BX$34/BW32</f>
        <v>175.6921117</v>
      </c>
      <c r="BZ32" s="4"/>
      <c r="CA32" s="4">
        <f>1/1.26608</f>
        <v>0.7898395046126626</v>
      </c>
      <c r="CB32" s="16">
        <v>175.74</v>
      </c>
      <c r="CC32" s="16">
        <f>CB$34/CA32</f>
        <v>175.74456480000003</v>
      </c>
      <c r="CD32" s="4"/>
      <c r="CE32" s="4">
        <f t="shared" si="2"/>
        <v>0.7878013976666974</v>
      </c>
      <c r="CF32" s="4">
        <f t="shared" si="2"/>
        <v>177.92649999999998</v>
      </c>
      <c r="CG32" s="4">
        <f t="shared" si="2"/>
        <v>177.92776135500003</v>
      </c>
      <c r="CH32" s="4"/>
      <c r="CI32" s="23"/>
      <c r="CJ32" s="42"/>
      <c r="CK32" s="42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1"/>
    </row>
    <row r="33" spans="1:103" ht="12.75">
      <c r="A33" s="26">
        <v>22</v>
      </c>
      <c r="B33" s="27" t="s">
        <v>59</v>
      </c>
      <c r="C33" s="43">
        <v>376.353</v>
      </c>
      <c r="D33" s="44">
        <v>37.43</v>
      </c>
      <c r="E33" s="44">
        <f>D$34/C33*100</f>
        <v>37.435599025383084</v>
      </c>
      <c r="F33" s="4"/>
      <c r="G33" s="4">
        <v>376.6026</v>
      </c>
      <c r="H33" s="16">
        <v>37.21</v>
      </c>
      <c r="I33" s="16">
        <f>H$34/G33*100</f>
        <v>37.30723048645973</v>
      </c>
      <c r="J33" s="4"/>
      <c r="K33" s="4">
        <v>379.9197</v>
      </c>
      <c r="L33" s="16">
        <v>37.1</v>
      </c>
      <c r="M33" s="16">
        <f>L$34/K33*100</f>
        <v>37.102577202498324</v>
      </c>
      <c r="N33" s="4"/>
      <c r="O33" s="4">
        <v>379.3276</v>
      </c>
      <c r="P33" s="16">
        <v>37.18</v>
      </c>
      <c r="Q33" s="16">
        <f>P$34/O33*100</f>
        <v>37.184217547049045</v>
      </c>
      <c r="R33" s="4"/>
      <c r="S33" s="4">
        <v>378.8637</v>
      </c>
      <c r="T33" s="16">
        <v>37.12</v>
      </c>
      <c r="U33" s="16">
        <f>T$34/S33*100</f>
        <v>37.12152945769151</v>
      </c>
      <c r="V33" s="4"/>
      <c r="W33" s="4">
        <v>379.8774</v>
      </c>
      <c r="X33" s="16">
        <v>37.1</v>
      </c>
      <c r="Y33" s="16">
        <f>X$34/W33*100</f>
        <v>37.10407620985086</v>
      </c>
      <c r="Z33" s="4"/>
      <c r="AA33" s="4">
        <v>381.5789</v>
      </c>
      <c r="AB33" s="16">
        <v>36.95</v>
      </c>
      <c r="AC33" s="16">
        <f>AB$34/AA33*100</f>
        <v>36.94648734508119</v>
      </c>
      <c r="AD33" s="4"/>
      <c r="AE33" s="4">
        <v>380.7688</v>
      </c>
      <c r="AF33" s="16">
        <v>36.98</v>
      </c>
      <c r="AG33" s="16">
        <f>AF$34/AE33*100</f>
        <v>36.98569840806285</v>
      </c>
      <c r="AH33" s="4"/>
      <c r="AI33" s="4">
        <v>386.0752</v>
      </c>
      <c r="AJ33" s="16">
        <v>36.61</v>
      </c>
      <c r="AK33" s="16">
        <f>AJ$34/AI33*100</f>
        <v>36.60944810751895</v>
      </c>
      <c r="AL33" s="4"/>
      <c r="AM33" s="4">
        <v>386.7764</v>
      </c>
      <c r="AN33" s="16">
        <v>36.58</v>
      </c>
      <c r="AO33" s="16">
        <f>AN$34/AM33*100</f>
        <v>36.576688753502026</v>
      </c>
      <c r="AP33" s="4"/>
      <c r="AQ33" s="4">
        <v>386.0752</v>
      </c>
      <c r="AR33" s="16">
        <v>36.49</v>
      </c>
      <c r="AS33" s="16">
        <f>AR$34/AQ33*100</f>
        <v>36.49289050423337</v>
      </c>
      <c r="AT33" s="4"/>
      <c r="AU33" s="23">
        <v>385.2459</v>
      </c>
      <c r="AV33" s="16">
        <v>36.52</v>
      </c>
      <c r="AW33" s="16">
        <f>AV$34/AU33*100</f>
        <v>36.51953207029588</v>
      </c>
      <c r="AX33" s="4"/>
      <c r="AY33" s="4">
        <v>387.8329</v>
      </c>
      <c r="AZ33" s="16">
        <v>36.18</v>
      </c>
      <c r="BA33" s="16">
        <f>AZ$34/AY33*100</f>
        <v>36.1831087563742</v>
      </c>
      <c r="BB33" s="4"/>
      <c r="BC33" s="4">
        <v>386.2065</v>
      </c>
      <c r="BD33" s="16">
        <v>36.03</v>
      </c>
      <c r="BE33" s="16">
        <f>BD$34/BC33*100</f>
        <v>36.03512628606717</v>
      </c>
      <c r="BF33" s="4"/>
      <c r="BG33" s="4">
        <v>387.3039</v>
      </c>
      <c r="BH33" s="16">
        <v>35.41</v>
      </c>
      <c r="BI33" s="16">
        <f>BH$34/BG33*100</f>
        <v>35.40630497136745</v>
      </c>
      <c r="BJ33" s="4"/>
      <c r="BK33" s="4">
        <v>387.7005</v>
      </c>
      <c r="BL33" s="16">
        <v>35.61</v>
      </c>
      <c r="BM33" s="16">
        <f>BL$34/BK33*100</f>
        <v>35.60480319215477</v>
      </c>
      <c r="BN33" s="4"/>
      <c r="BO33" s="4">
        <v>388.3191</v>
      </c>
      <c r="BP33" s="16">
        <v>35.9</v>
      </c>
      <c r="BQ33" s="16">
        <f>BP$34/BO33*100</f>
        <v>35.898311466008245</v>
      </c>
      <c r="BR33" s="4"/>
      <c r="BS33" s="4">
        <v>387.3039</v>
      </c>
      <c r="BT33" s="16">
        <v>36.05</v>
      </c>
      <c r="BU33" s="16">
        <f>BT$34/BS33*100</f>
        <v>36.054374872032014</v>
      </c>
      <c r="BV33" s="4"/>
      <c r="BW33" s="4">
        <v>386.996</v>
      </c>
      <c r="BX33" s="16">
        <v>36.06</v>
      </c>
      <c r="BY33" s="16">
        <f>BX$34/BW33*100</f>
        <v>36.064972247775174</v>
      </c>
      <c r="BZ33" s="4"/>
      <c r="CA33" s="4">
        <v>384.6805</v>
      </c>
      <c r="CB33" s="16">
        <v>36.08</v>
      </c>
      <c r="CC33" s="16">
        <f>CB$34/CA33*100</f>
        <v>36.08449089569136</v>
      </c>
      <c r="CD33" s="4"/>
      <c r="CE33" s="4">
        <f t="shared" si="2"/>
        <v>383.690385</v>
      </c>
      <c r="CF33" s="4">
        <f t="shared" si="2"/>
        <v>36.5295</v>
      </c>
      <c r="CG33" s="4">
        <f t="shared" si="2"/>
        <v>36.535873390254864</v>
      </c>
      <c r="CH33" s="4">
        <f t="shared" si="2"/>
        <v>0</v>
      </c>
      <c r="CI33" s="23"/>
      <c r="CJ33" s="42"/>
      <c r="CK33" s="42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1"/>
    </row>
    <row r="34" spans="1:103" ht="13.5" thickBot="1">
      <c r="A34" s="29">
        <v>23</v>
      </c>
      <c r="B34" s="30" t="s">
        <v>60</v>
      </c>
      <c r="C34" s="45">
        <v>1</v>
      </c>
      <c r="D34" s="46">
        <v>140.89</v>
      </c>
      <c r="E34" s="47">
        <f>D$34/C34</f>
        <v>140.89</v>
      </c>
      <c r="F34" s="13"/>
      <c r="G34" s="13">
        <v>1</v>
      </c>
      <c r="H34" s="39">
        <v>140.5</v>
      </c>
      <c r="I34" s="40">
        <f>H$34/G34</f>
        <v>140.5</v>
      </c>
      <c r="J34" s="13"/>
      <c r="K34" s="13">
        <v>1</v>
      </c>
      <c r="L34" s="39">
        <v>140.96</v>
      </c>
      <c r="M34" s="40">
        <f>L$34/K34</f>
        <v>140.96</v>
      </c>
      <c r="N34" s="13"/>
      <c r="O34" s="13">
        <v>1</v>
      </c>
      <c r="P34" s="39">
        <v>141.05</v>
      </c>
      <c r="Q34" s="40">
        <f>P$34/O34</f>
        <v>141.05</v>
      </c>
      <c r="R34" s="13"/>
      <c r="S34" s="13">
        <v>1</v>
      </c>
      <c r="T34" s="39">
        <v>140.64</v>
      </c>
      <c r="U34" s="40">
        <f>T$34/S34</f>
        <v>140.64</v>
      </c>
      <c r="V34" s="13"/>
      <c r="W34" s="13">
        <v>1</v>
      </c>
      <c r="X34" s="39">
        <v>140.95</v>
      </c>
      <c r="Y34" s="40">
        <f>X$34/W34</f>
        <v>140.95</v>
      </c>
      <c r="Z34" s="13"/>
      <c r="AA34" s="13">
        <v>1</v>
      </c>
      <c r="AB34" s="39">
        <v>140.98</v>
      </c>
      <c r="AC34" s="40">
        <f>AB$34/AA34</f>
        <v>140.98</v>
      </c>
      <c r="AD34" s="13"/>
      <c r="AE34" s="13">
        <v>1</v>
      </c>
      <c r="AF34" s="39">
        <v>140.83</v>
      </c>
      <c r="AG34" s="40">
        <f>AF$34/AE34</f>
        <v>140.83</v>
      </c>
      <c r="AH34" s="13"/>
      <c r="AI34" s="13">
        <v>1</v>
      </c>
      <c r="AJ34" s="39">
        <v>141.34</v>
      </c>
      <c r="AK34" s="40">
        <f>AJ$34/AI34</f>
        <v>141.34</v>
      </c>
      <c r="AL34" s="13"/>
      <c r="AM34" s="13">
        <v>1</v>
      </c>
      <c r="AN34" s="39">
        <v>141.47</v>
      </c>
      <c r="AO34" s="40">
        <f>AN$34/AM34</f>
        <v>141.47</v>
      </c>
      <c r="AP34" s="13"/>
      <c r="AQ34" s="13">
        <v>1</v>
      </c>
      <c r="AR34" s="39">
        <v>140.89</v>
      </c>
      <c r="AS34" s="40">
        <f>AR$34/AQ34</f>
        <v>140.89</v>
      </c>
      <c r="AT34" s="13"/>
      <c r="AU34" s="13">
        <v>1</v>
      </c>
      <c r="AV34" s="39">
        <v>140.69</v>
      </c>
      <c r="AW34" s="40">
        <f>AV$34/AU34</f>
        <v>140.69</v>
      </c>
      <c r="AX34" s="13"/>
      <c r="AY34" s="13">
        <v>1</v>
      </c>
      <c r="AZ34" s="39">
        <v>140.33</v>
      </c>
      <c r="BA34" s="40">
        <f>AZ$34/AY34</f>
        <v>140.33</v>
      </c>
      <c r="BB34" s="13"/>
      <c r="BC34" s="13">
        <v>1</v>
      </c>
      <c r="BD34" s="39">
        <v>139.17</v>
      </c>
      <c r="BE34" s="40">
        <f>BD$34/BC34</f>
        <v>139.17</v>
      </c>
      <c r="BF34" s="13"/>
      <c r="BG34" s="13">
        <v>1</v>
      </c>
      <c r="BH34" s="39">
        <v>137.13</v>
      </c>
      <c r="BI34" s="40">
        <f>BH$34/BG34</f>
        <v>137.13</v>
      </c>
      <c r="BJ34" s="13"/>
      <c r="BK34" s="13">
        <v>1</v>
      </c>
      <c r="BL34" s="39">
        <v>138.04</v>
      </c>
      <c r="BM34" s="40">
        <f>BL$34/BK34</f>
        <v>138.04</v>
      </c>
      <c r="BN34" s="13"/>
      <c r="BO34" s="13">
        <v>1</v>
      </c>
      <c r="BP34" s="39">
        <v>139.4</v>
      </c>
      <c r="BQ34" s="40">
        <f>BP$34/BO34</f>
        <v>139.4</v>
      </c>
      <c r="BR34" s="13"/>
      <c r="BS34" s="13">
        <v>1</v>
      </c>
      <c r="BT34" s="39">
        <v>139.64</v>
      </c>
      <c r="BU34" s="40">
        <f>BT$34/BS34</f>
        <v>139.64</v>
      </c>
      <c r="BV34" s="13"/>
      <c r="BW34" s="13">
        <v>1</v>
      </c>
      <c r="BX34" s="39">
        <v>139.57</v>
      </c>
      <c r="BY34" s="40">
        <f>BX$34/BW34</f>
        <v>139.57</v>
      </c>
      <c r="BZ34" s="13"/>
      <c r="CA34" s="13">
        <v>1</v>
      </c>
      <c r="CB34" s="39">
        <v>138.81</v>
      </c>
      <c r="CC34" s="40">
        <f>CB$34/CA34</f>
        <v>138.81</v>
      </c>
      <c r="CD34" s="13"/>
      <c r="CE34" s="24">
        <f t="shared" si="2"/>
        <v>1</v>
      </c>
      <c r="CF34" s="24">
        <f t="shared" si="2"/>
        <v>140.16400000000002</v>
      </c>
      <c r="CG34" s="24">
        <f t="shared" si="2"/>
        <v>140.16400000000002</v>
      </c>
      <c r="CH34" s="24">
        <f t="shared" si="2"/>
        <v>0</v>
      </c>
      <c r="CI34" s="23"/>
      <c r="CJ34" s="42"/>
      <c r="CK34" s="42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1"/>
    </row>
    <row r="35" spans="1:10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4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34"/>
      <c r="CA35" s="1"/>
      <c r="CB35" s="1"/>
      <c r="CC35" s="1"/>
      <c r="CD35" s="34"/>
      <c r="CE35" s="1"/>
      <c r="CF35" s="1"/>
      <c r="CG35" s="1"/>
      <c r="CH35" s="34"/>
      <c r="CI35" s="14"/>
      <c r="CJ35" s="14"/>
      <c r="CK35" s="14"/>
      <c r="CL35" s="35"/>
      <c r="CM35" s="14"/>
      <c r="CN35" s="14"/>
      <c r="CO35" s="14"/>
      <c r="CP35" s="35"/>
      <c r="CQ35" s="14"/>
      <c r="CR35" s="14"/>
      <c r="CS35" s="14"/>
      <c r="CT35" s="35"/>
      <c r="CU35" s="14"/>
      <c r="CV35" s="14"/>
      <c r="CW35" s="14"/>
      <c r="CX35" s="35"/>
      <c r="CY35" s="21"/>
    </row>
    <row r="36" spans="87:94" ht="12.75">
      <c r="CI36" s="21"/>
      <c r="CJ36" s="21"/>
      <c r="CK36" s="21"/>
      <c r="CL36" s="21"/>
      <c r="CM36" s="21"/>
      <c r="CN36" s="21"/>
      <c r="CO36" s="21"/>
      <c r="CP36" s="21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1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36"/>
  <sheetViews>
    <sheetView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3" sqref="C3"/>
    </sheetView>
  </sheetViews>
  <sheetFormatPr defaultColWidth="9.140625" defaultRowHeight="12.75"/>
  <cols>
    <col min="1" max="1" width="4.421875" style="0" customWidth="1"/>
    <col min="2" max="2" width="27.8515625" style="0" customWidth="1"/>
    <col min="8" max="8" width="9.00390625" style="0" customWidth="1"/>
    <col min="11" max="11" width="9.00390625" style="0" customWidth="1"/>
  </cols>
  <sheetData>
    <row r="1" spans="1:90" ht="15.75">
      <c r="A1" s="2"/>
      <c r="B1" s="3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5" t="s">
        <v>1</v>
      </c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15"/>
      <c r="CB1" s="15"/>
      <c r="CC1" s="17"/>
      <c r="CD1" s="15"/>
      <c r="CE1" s="15"/>
      <c r="CF1" s="15"/>
      <c r="CG1" s="15"/>
      <c r="CH1" s="15"/>
      <c r="CI1" s="15"/>
      <c r="CJ1" s="15"/>
      <c r="CK1" s="15"/>
      <c r="CL1" s="15"/>
    </row>
    <row r="2" spans="1:90" ht="15.75">
      <c r="A2" s="4"/>
      <c r="B2" s="33" t="s">
        <v>294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23"/>
      <c r="CB2" s="2"/>
      <c r="CC2" s="23"/>
      <c r="CD2" s="23"/>
      <c r="CE2" s="23"/>
      <c r="CF2" s="23"/>
      <c r="CG2" s="23"/>
      <c r="CH2" s="23"/>
      <c r="CI2" s="23"/>
      <c r="CJ2" s="23"/>
      <c r="CK2" s="23"/>
      <c r="CL2" s="23"/>
    </row>
    <row r="3" spans="1:103" ht="12.75">
      <c r="A3" s="5" t="s">
        <v>3</v>
      </c>
      <c r="B3" s="4"/>
      <c r="C3" s="3"/>
      <c r="D3" s="2" t="s">
        <v>295</v>
      </c>
      <c r="E3" s="3"/>
      <c r="F3" s="3"/>
      <c r="G3" s="3"/>
      <c r="H3" s="2" t="s">
        <v>296</v>
      </c>
      <c r="I3" s="3"/>
      <c r="J3" s="3"/>
      <c r="K3" s="3"/>
      <c r="L3" s="2" t="s">
        <v>297</v>
      </c>
      <c r="M3" s="3"/>
      <c r="N3" s="3"/>
      <c r="O3" s="3"/>
      <c r="P3" s="2" t="s">
        <v>298</v>
      </c>
      <c r="Q3" s="3"/>
      <c r="R3" s="3"/>
      <c r="S3" s="3"/>
      <c r="T3" s="2" t="s">
        <v>299</v>
      </c>
      <c r="U3" s="3"/>
      <c r="V3" s="3"/>
      <c r="W3" s="3"/>
      <c r="X3" s="2" t="s">
        <v>300</v>
      </c>
      <c r="Y3" s="3"/>
      <c r="Z3" s="3"/>
      <c r="AA3" s="3"/>
      <c r="AB3" s="2" t="s">
        <v>65</v>
      </c>
      <c r="AC3" s="3"/>
      <c r="AD3" s="3"/>
      <c r="AE3" s="3"/>
      <c r="AF3" s="2" t="s">
        <v>66</v>
      </c>
      <c r="AG3" s="3"/>
      <c r="AH3" s="3"/>
      <c r="AI3" s="3"/>
      <c r="AJ3" s="2" t="s">
        <v>67</v>
      </c>
      <c r="AK3" s="3"/>
      <c r="AL3" s="3"/>
      <c r="AM3" s="3"/>
      <c r="AN3" s="2" t="s">
        <v>301</v>
      </c>
      <c r="AO3" s="3"/>
      <c r="AP3" s="3"/>
      <c r="AQ3" s="3"/>
      <c r="AR3" s="2" t="s">
        <v>302</v>
      </c>
      <c r="AS3" s="3"/>
      <c r="AT3" s="3"/>
      <c r="AU3" s="3"/>
      <c r="AV3" s="2" t="s">
        <v>303</v>
      </c>
      <c r="AW3" s="3"/>
      <c r="AX3" s="3"/>
      <c r="AY3" s="3"/>
      <c r="AZ3" s="2" t="s">
        <v>304</v>
      </c>
      <c r="BA3" s="3"/>
      <c r="BB3" s="3"/>
      <c r="BC3" s="3"/>
      <c r="BD3" s="2" t="s">
        <v>305</v>
      </c>
      <c r="BE3" s="3"/>
      <c r="BF3" s="3"/>
      <c r="BG3" s="3"/>
      <c r="BH3" s="2" t="s">
        <v>306</v>
      </c>
      <c r="BI3" s="3"/>
      <c r="BJ3" s="3"/>
      <c r="BK3" s="3"/>
      <c r="BL3" s="2" t="s">
        <v>307</v>
      </c>
      <c r="BM3" s="3"/>
      <c r="BN3" s="3"/>
      <c r="BO3" s="3"/>
      <c r="BP3" s="2" t="s">
        <v>308</v>
      </c>
      <c r="BQ3" s="3"/>
      <c r="BR3" s="3"/>
      <c r="BS3" s="3"/>
      <c r="BT3" s="2" t="s">
        <v>309</v>
      </c>
      <c r="BU3" s="3"/>
      <c r="BV3" s="3"/>
      <c r="BW3" s="3"/>
      <c r="BX3" s="2" t="s">
        <v>310</v>
      </c>
      <c r="BY3" s="3"/>
      <c r="BZ3" s="3"/>
      <c r="CA3" s="6"/>
      <c r="CB3" s="2" t="s">
        <v>25</v>
      </c>
      <c r="CC3" s="3"/>
      <c r="CD3" s="6"/>
      <c r="CE3" s="20"/>
      <c r="CF3" s="18"/>
      <c r="CG3" s="19"/>
      <c r="CH3" s="20"/>
      <c r="CI3" s="19"/>
      <c r="CJ3" s="18"/>
      <c r="CK3" s="19"/>
      <c r="CL3" s="19"/>
      <c r="CM3" s="20"/>
      <c r="CN3" s="18"/>
      <c r="CO3" s="19"/>
      <c r="CP3" s="20"/>
      <c r="CQ3" s="20"/>
      <c r="CR3" s="18"/>
      <c r="CS3" s="19"/>
      <c r="CT3" s="20"/>
      <c r="CU3" s="20"/>
      <c r="CV3" s="18"/>
      <c r="CW3" s="19"/>
      <c r="CX3" s="20"/>
      <c r="CY3" s="21"/>
    </row>
    <row r="4" spans="1:103" ht="13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6"/>
      <c r="CB4" s="6"/>
      <c r="CC4" s="6"/>
      <c r="CD4" s="6"/>
      <c r="CE4" s="20"/>
      <c r="CF4" s="20"/>
      <c r="CG4" s="20"/>
      <c r="CH4" s="20"/>
      <c r="CI4" s="23"/>
      <c r="CJ4" s="23"/>
      <c r="CK4" s="23"/>
      <c r="CL4" s="23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1"/>
    </row>
    <row r="5" spans="1:103" ht="13.5" thickTop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1"/>
    </row>
    <row r="6" spans="1:103" ht="12.75">
      <c r="A6" s="3"/>
      <c r="B6" s="4"/>
      <c r="C6" s="8" t="s">
        <v>26</v>
      </c>
      <c r="D6" s="8" t="s">
        <v>26</v>
      </c>
      <c r="E6" s="8" t="s">
        <v>26</v>
      </c>
      <c r="F6" s="8" t="s">
        <v>26</v>
      </c>
      <c r="G6" s="8" t="s">
        <v>26</v>
      </c>
      <c r="H6" s="8" t="s">
        <v>26</v>
      </c>
      <c r="I6" s="8" t="s">
        <v>26</v>
      </c>
      <c r="J6" s="8" t="s">
        <v>26</v>
      </c>
      <c r="K6" s="8" t="s">
        <v>26</v>
      </c>
      <c r="L6" s="8" t="s">
        <v>26</v>
      </c>
      <c r="M6" s="8" t="s">
        <v>26</v>
      </c>
      <c r="N6" s="8" t="s">
        <v>26</v>
      </c>
      <c r="O6" s="8" t="s">
        <v>26</v>
      </c>
      <c r="P6" s="8" t="s">
        <v>26</v>
      </c>
      <c r="Q6" s="8" t="s">
        <v>26</v>
      </c>
      <c r="R6" s="8" t="s">
        <v>26</v>
      </c>
      <c r="S6" s="8" t="s">
        <v>26</v>
      </c>
      <c r="T6" s="8" t="s">
        <v>26</v>
      </c>
      <c r="U6" s="8" t="s">
        <v>26</v>
      </c>
      <c r="V6" s="8" t="s">
        <v>26</v>
      </c>
      <c r="W6" s="8" t="s">
        <v>26</v>
      </c>
      <c r="X6" s="8" t="s">
        <v>26</v>
      </c>
      <c r="Y6" s="8" t="s">
        <v>26</v>
      </c>
      <c r="Z6" s="8" t="s">
        <v>26</v>
      </c>
      <c r="AA6" s="8" t="s">
        <v>26</v>
      </c>
      <c r="AB6" s="8" t="s">
        <v>26</v>
      </c>
      <c r="AC6" s="8" t="s">
        <v>26</v>
      </c>
      <c r="AD6" s="8" t="s">
        <v>26</v>
      </c>
      <c r="AE6" s="8" t="s">
        <v>26</v>
      </c>
      <c r="AF6" s="8" t="s">
        <v>26</v>
      </c>
      <c r="AG6" s="8" t="s">
        <v>26</v>
      </c>
      <c r="AH6" s="8" t="s">
        <v>26</v>
      </c>
      <c r="AI6" s="8" t="s">
        <v>26</v>
      </c>
      <c r="AJ6" s="8" t="s">
        <v>26</v>
      </c>
      <c r="AK6" s="8" t="s">
        <v>26</v>
      </c>
      <c r="AL6" s="8" t="s">
        <v>26</v>
      </c>
      <c r="AM6" s="8" t="s">
        <v>26</v>
      </c>
      <c r="AN6" s="8" t="s">
        <v>26</v>
      </c>
      <c r="AO6" s="8" t="s">
        <v>26</v>
      </c>
      <c r="AP6" s="8" t="s">
        <v>26</v>
      </c>
      <c r="AQ6" s="8" t="s">
        <v>26</v>
      </c>
      <c r="AR6" s="8" t="s">
        <v>26</v>
      </c>
      <c r="AS6" s="8" t="s">
        <v>26</v>
      </c>
      <c r="AT6" s="8" t="s">
        <v>26</v>
      </c>
      <c r="AU6" s="8" t="s">
        <v>26</v>
      </c>
      <c r="AV6" s="8" t="s">
        <v>26</v>
      </c>
      <c r="AW6" s="8" t="s">
        <v>26</v>
      </c>
      <c r="AX6" s="8" t="s">
        <v>26</v>
      </c>
      <c r="AY6" s="8" t="s">
        <v>26</v>
      </c>
      <c r="AZ6" s="8" t="s">
        <v>26</v>
      </c>
      <c r="BA6" s="8" t="s">
        <v>26</v>
      </c>
      <c r="BB6" s="8" t="s">
        <v>26</v>
      </c>
      <c r="BC6" s="8" t="s">
        <v>26</v>
      </c>
      <c r="BD6" s="8" t="s">
        <v>26</v>
      </c>
      <c r="BE6" s="8" t="s">
        <v>26</v>
      </c>
      <c r="BF6" s="8" t="s">
        <v>26</v>
      </c>
      <c r="BG6" s="8" t="s">
        <v>26</v>
      </c>
      <c r="BH6" s="8" t="s">
        <v>26</v>
      </c>
      <c r="BI6" s="8" t="s">
        <v>26</v>
      </c>
      <c r="BJ6" s="8" t="s">
        <v>26</v>
      </c>
      <c r="BK6" s="8" t="s">
        <v>26</v>
      </c>
      <c r="BL6" s="8" t="s">
        <v>26</v>
      </c>
      <c r="BM6" s="8" t="s">
        <v>26</v>
      </c>
      <c r="BN6" s="8" t="s">
        <v>26</v>
      </c>
      <c r="BO6" s="8" t="s">
        <v>26</v>
      </c>
      <c r="BP6" s="8" t="s">
        <v>26</v>
      </c>
      <c r="BQ6" s="8" t="s">
        <v>26</v>
      </c>
      <c r="BR6" s="8" t="s">
        <v>26</v>
      </c>
      <c r="BS6" s="8" t="s">
        <v>26</v>
      </c>
      <c r="BT6" s="8" t="s">
        <v>26</v>
      </c>
      <c r="BU6" s="8" t="s">
        <v>26</v>
      </c>
      <c r="BV6" s="8" t="s">
        <v>26</v>
      </c>
      <c r="BW6" s="8" t="s">
        <v>26</v>
      </c>
      <c r="BX6" s="8" t="s">
        <v>26</v>
      </c>
      <c r="BY6" s="8" t="s">
        <v>26</v>
      </c>
      <c r="BZ6" s="8" t="s">
        <v>26</v>
      </c>
      <c r="CA6" s="8" t="s">
        <v>27</v>
      </c>
      <c r="CB6" s="8" t="s">
        <v>27</v>
      </c>
      <c r="CC6" s="8" t="s">
        <v>26</v>
      </c>
      <c r="CD6" s="8" t="s">
        <v>26</v>
      </c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1"/>
    </row>
    <row r="7" spans="1:103" ht="12.75">
      <c r="A7" s="4"/>
      <c r="B7" s="9" t="s">
        <v>28</v>
      </c>
      <c r="C7" s="8" t="s">
        <v>29</v>
      </c>
      <c r="D7" s="8" t="s">
        <v>29</v>
      </c>
      <c r="E7" s="8" t="s">
        <v>29</v>
      </c>
      <c r="F7" s="8" t="s">
        <v>30</v>
      </c>
      <c r="G7" s="8" t="s">
        <v>29</v>
      </c>
      <c r="H7" s="8" t="s">
        <v>29</v>
      </c>
      <c r="I7" s="8" t="s">
        <v>29</v>
      </c>
      <c r="J7" s="8" t="s">
        <v>30</v>
      </c>
      <c r="K7" s="8" t="s">
        <v>29</v>
      </c>
      <c r="L7" s="8" t="s">
        <v>29</v>
      </c>
      <c r="M7" s="8" t="s">
        <v>29</v>
      </c>
      <c r="N7" s="8" t="s">
        <v>30</v>
      </c>
      <c r="O7" s="8" t="s">
        <v>29</v>
      </c>
      <c r="P7" s="8" t="s">
        <v>29</v>
      </c>
      <c r="Q7" s="8" t="s">
        <v>29</v>
      </c>
      <c r="R7" s="8" t="s">
        <v>30</v>
      </c>
      <c r="S7" s="8" t="s">
        <v>29</v>
      </c>
      <c r="T7" s="8" t="s">
        <v>29</v>
      </c>
      <c r="U7" s="8" t="s">
        <v>29</v>
      </c>
      <c r="V7" s="8" t="s">
        <v>30</v>
      </c>
      <c r="W7" s="8" t="s">
        <v>29</v>
      </c>
      <c r="X7" s="8" t="s">
        <v>29</v>
      </c>
      <c r="Y7" s="8" t="s">
        <v>29</v>
      </c>
      <c r="Z7" s="8" t="s">
        <v>30</v>
      </c>
      <c r="AA7" s="8" t="s">
        <v>29</v>
      </c>
      <c r="AB7" s="8" t="s">
        <v>29</v>
      </c>
      <c r="AC7" s="8" t="s">
        <v>29</v>
      </c>
      <c r="AD7" s="8" t="s">
        <v>30</v>
      </c>
      <c r="AE7" s="8" t="s">
        <v>29</v>
      </c>
      <c r="AF7" s="8" t="s">
        <v>29</v>
      </c>
      <c r="AG7" s="8" t="s">
        <v>29</v>
      </c>
      <c r="AH7" s="8" t="s">
        <v>30</v>
      </c>
      <c r="AI7" s="8" t="s">
        <v>29</v>
      </c>
      <c r="AJ7" s="8" t="s">
        <v>29</v>
      </c>
      <c r="AK7" s="8" t="s">
        <v>29</v>
      </c>
      <c r="AL7" s="8" t="s">
        <v>30</v>
      </c>
      <c r="AM7" s="8" t="s">
        <v>29</v>
      </c>
      <c r="AN7" s="8" t="s">
        <v>29</v>
      </c>
      <c r="AO7" s="8" t="s">
        <v>29</v>
      </c>
      <c r="AP7" s="8" t="s">
        <v>30</v>
      </c>
      <c r="AQ7" s="8" t="s">
        <v>29</v>
      </c>
      <c r="AR7" s="8" t="s">
        <v>29</v>
      </c>
      <c r="AS7" s="8" t="s">
        <v>29</v>
      </c>
      <c r="AT7" s="8" t="s">
        <v>30</v>
      </c>
      <c r="AU7" s="8" t="s">
        <v>29</v>
      </c>
      <c r="AV7" s="8" t="s">
        <v>29</v>
      </c>
      <c r="AW7" s="8" t="s">
        <v>29</v>
      </c>
      <c r="AX7" s="8" t="s">
        <v>30</v>
      </c>
      <c r="AY7" s="8" t="s">
        <v>29</v>
      </c>
      <c r="AZ7" s="8" t="s">
        <v>29</v>
      </c>
      <c r="BA7" s="8" t="s">
        <v>29</v>
      </c>
      <c r="BB7" s="8" t="s">
        <v>30</v>
      </c>
      <c r="BC7" s="8" t="s">
        <v>29</v>
      </c>
      <c r="BD7" s="8" t="s">
        <v>29</v>
      </c>
      <c r="BE7" s="8" t="s">
        <v>29</v>
      </c>
      <c r="BF7" s="8" t="s">
        <v>30</v>
      </c>
      <c r="BG7" s="8" t="s">
        <v>29</v>
      </c>
      <c r="BH7" s="8" t="s">
        <v>29</v>
      </c>
      <c r="BI7" s="8" t="s">
        <v>29</v>
      </c>
      <c r="BJ7" s="8" t="s">
        <v>30</v>
      </c>
      <c r="BK7" s="8" t="s">
        <v>29</v>
      </c>
      <c r="BL7" s="8" t="s">
        <v>29</v>
      </c>
      <c r="BM7" s="8" t="s">
        <v>29</v>
      </c>
      <c r="BN7" s="8" t="s">
        <v>30</v>
      </c>
      <c r="BO7" s="8" t="s">
        <v>29</v>
      </c>
      <c r="BP7" s="8" t="s">
        <v>29</v>
      </c>
      <c r="BQ7" s="8" t="s">
        <v>29</v>
      </c>
      <c r="BR7" s="8" t="s">
        <v>30</v>
      </c>
      <c r="BS7" s="8" t="s">
        <v>29</v>
      </c>
      <c r="BT7" s="8" t="s">
        <v>29</v>
      </c>
      <c r="BU7" s="8" t="s">
        <v>29</v>
      </c>
      <c r="BV7" s="8" t="s">
        <v>30</v>
      </c>
      <c r="BW7" s="8" t="s">
        <v>29</v>
      </c>
      <c r="BX7" s="8" t="s">
        <v>29</v>
      </c>
      <c r="BY7" s="8" t="s">
        <v>29</v>
      </c>
      <c r="BZ7" s="8" t="s">
        <v>30</v>
      </c>
      <c r="CA7" s="8" t="s">
        <v>31</v>
      </c>
      <c r="CB7" s="8" t="s">
        <v>32</v>
      </c>
      <c r="CC7" s="8" t="s">
        <v>32</v>
      </c>
      <c r="CD7" s="8" t="s">
        <v>30</v>
      </c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1"/>
    </row>
    <row r="8" spans="1:103" ht="12.75">
      <c r="A8" s="4"/>
      <c r="B8" s="4"/>
      <c r="C8" s="8" t="s">
        <v>33</v>
      </c>
      <c r="D8" s="8" t="s">
        <v>32</v>
      </c>
      <c r="E8" s="8" t="s">
        <v>32</v>
      </c>
      <c r="F8" s="8" t="s">
        <v>34</v>
      </c>
      <c r="G8" s="8" t="s">
        <v>33</v>
      </c>
      <c r="H8" s="8" t="s">
        <v>32</v>
      </c>
      <c r="I8" s="8" t="s">
        <v>32</v>
      </c>
      <c r="J8" s="8" t="s">
        <v>34</v>
      </c>
      <c r="K8" s="8" t="s">
        <v>33</v>
      </c>
      <c r="L8" s="8" t="s">
        <v>32</v>
      </c>
      <c r="M8" s="8" t="s">
        <v>32</v>
      </c>
      <c r="N8" s="8" t="s">
        <v>34</v>
      </c>
      <c r="O8" s="8" t="s">
        <v>33</v>
      </c>
      <c r="P8" s="8" t="s">
        <v>32</v>
      </c>
      <c r="Q8" s="8" t="s">
        <v>32</v>
      </c>
      <c r="R8" s="8" t="s">
        <v>34</v>
      </c>
      <c r="S8" s="8" t="s">
        <v>33</v>
      </c>
      <c r="T8" s="8" t="s">
        <v>32</v>
      </c>
      <c r="U8" s="8" t="s">
        <v>32</v>
      </c>
      <c r="V8" s="8" t="s">
        <v>34</v>
      </c>
      <c r="W8" s="8" t="s">
        <v>33</v>
      </c>
      <c r="X8" s="8" t="s">
        <v>32</v>
      </c>
      <c r="Y8" s="8" t="s">
        <v>32</v>
      </c>
      <c r="Z8" s="8" t="s">
        <v>34</v>
      </c>
      <c r="AA8" s="8" t="s">
        <v>33</v>
      </c>
      <c r="AB8" s="8" t="s">
        <v>32</v>
      </c>
      <c r="AC8" s="8" t="s">
        <v>32</v>
      </c>
      <c r="AD8" s="8" t="s">
        <v>34</v>
      </c>
      <c r="AE8" s="8" t="s">
        <v>33</v>
      </c>
      <c r="AF8" s="8" t="s">
        <v>32</v>
      </c>
      <c r="AG8" s="8" t="s">
        <v>32</v>
      </c>
      <c r="AH8" s="8" t="s">
        <v>34</v>
      </c>
      <c r="AI8" s="8" t="s">
        <v>33</v>
      </c>
      <c r="AJ8" s="8" t="s">
        <v>32</v>
      </c>
      <c r="AK8" s="8" t="s">
        <v>32</v>
      </c>
      <c r="AL8" s="8" t="s">
        <v>34</v>
      </c>
      <c r="AM8" s="8" t="s">
        <v>33</v>
      </c>
      <c r="AN8" s="8" t="s">
        <v>32</v>
      </c>
      <c r="AO8" s="8" t="s">
        <v>32</v>
      </c>
      <c r="AP8" s="8" t="s">
        <v>34</v>
      </c>
      <c r="AQ8" s="8" t="s">
        <v>33</v>
      </c>
      <c r="AR8" s="8" t="s">
        <v>32</v>
      </c>
      <c r="AS8" s="8" t="s">
        <v>32</v>
      </c>
      <c r="AT8" s="8" t="s">
        <v>34</v>
      </c>
      <c r="AU8" s="8" t="s">
        <v>33</v>
      </c>
      <c r="AV8" s="8" t="s">
        <v>32</v>
      </c>
      <c r="AW8" s="8" t="s">
        <v>32</v>
      </c>
      <c r="AX8" s="8" t="s">
        <v>34</v>
      </c>
      <c r="AY8" s="8" t="s">
        <v>33</v>
      </c>
      <c r="AZ8" s="8" t="s">
        <v>32</v>
      </c>
      <c r="BA8" s="8" t="s">
        <v>32</v>
      </c>
      <c r="BB8" s="8" t="s">
        <v>34</v>
      </c>
      <c r="BC8" s="8" t="s">
        <v>33</v>
      </c>
      <c r="BD8" s="8" t="s">
        <v>32</v>
      </c>
      <c r="BE8" s="8" t="s">
        <v>32</v>
      </c>
      <c r="BF8" s="8" t="s">
        <v>34</v>
      </c>
      <c r="BG8" s="8" t="s">
        <v>33</v>
      </c>
      <c r="BH8" s="8" t="s">
        <v>32</v>
      </c>
      <c r="BI8" s="8" t="s">
        <v>32</v>
      </c>
      <c r="BJ8" s="8" t="s">
        <v>34</v>
      </c>
      <c r="BK8" s="8" t="s">
        <v>33</v>
      </c>
      <c r="BL8" s="8" t="s">
        <v>32</v>
      </c>
      <c r="BM8" s="8" t="s">
        <v>32</v>
      </c>
      <c r="BN8" s="8" t="s">
        <v>34</v>
      </c>
      <c r="BO8" s="8" t="s">
        <v>33</v>
      </c>
      <c r="BP8" s="8" t="s">
        <v>32</v>
      </c>
      <c r="BQ8" s="8" t="s">
        <v>32</v>
      </c>
      <c r="BR8" s="8" t="s">
        <v>34</v>
      </c>
      <c r="BS8" s="8" t="s">
        <v>33</v>
      </c>
      <c r="BT8" s="8" t="s">
        <v>32</v>
      </c>
      <c r="BU8" s="8" t="s">
        <v>32</v>
      </c>
      <c r="BV8" s="8" t="s">
        <v>34</v>
      </c>
      <c r="BW8" s="8" t="s">
        <v>33</v>
      </c>
      <c r="BX8" s="8" t="s">
        <v>32</v>
      </c>
      <c r="BY8" s="8" t="s">
        <v>32</v>
      </c>
      <c r="BZ8" s="8" t="s">
        <v>34</v>
      </c>
      <c r="CA8" s="8" t="s">
        <v>29</v>
      </c>
      <c r="CB8" s="8" t="s">
        <v>35</v>
      </c>
      <c r="CC8" s="8" t="s">
        <v>35</v>
      </c>
      <c r="CD8" s="8" t="s">
        <v>34</v>
      </c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1"/>
    </row>
    <row r="9" spans="1:103" ht="12.75">
      <c r="A9" s="4"/>
      <c r="B9" s="4"/>
      <c r="C9" s="4"/>
      <c r="D9" s="4"/>
      <c r="E9" s="8" t="s">
        <v>36</v>
      </c>
      <c r="F9" s="4"/>
      <c r="G9" s="4"/>
      <c r="H9" s="4"/>
      <c r="I9" s="8" t="s">
        <v>36</v>
      </c>
      <c r="J9" s="4"/>
      <c r="K9" s="4"/>
      <c r="L9" s="4"/>
      <c r="M9" s="8" t="s">
        <v>36</v>
      </c>
      <c r="N9" s="4"/>
      <c r="O9" s="4"/>
      <c r="P9" s="4"/>
      <c r="Q9" s="8" t="s">
        <v>36</v>
      </c>
      <c r="R9" s="4"/>
      <c r="S9" s="4"/>
      <c r="T9" s="4"/>
      <c r="U9" s="8" t="s">
        <v>36</v>
      </c>
      <c r="V9" s="4"/>
      <c r="W9" s="4"/>
      <c r="X9" s="4"/>
      <c r="Y9" s="8" t="s">
        <v>36</v>
      </c>
      <c r="Z9" s="4"/>
      <c r="AA9" s="4"/>
      <c r="AB9" s="4"/>
      <c r="AC9" s="8" t="s">
        <v>36</v>
      </c>
      <c r="AD9" s="5" t="s">
        <v>37</v>
      </c>
      <c r="AE9" s="4"/>
      <c r="AF9" s="4"/>
      <c r="AG9" s="8" t="s">
        <v>36</v>
      </c>
      <c r="AH9" s="5" t="s">
        <v>37</v>
      </c>
      <c r="AI9" s="4"/>
      <c r="AJ9" s="4"/>
      <c r="AK9" s="8" t="s">
        <v>36</v>
      </c>
      <c r="AL9" s="4"/>
      <c r="AM9" s="4"/>
      <c r="AN9" s="4"/>
      <c r="AO9" s="8" t="s">
        <v>36</v>
      </c>
      <c r="AP9" s="4"/>
      <c r="AQ9" s="4"/>
      <c r="AR9" s="4"/>
      <c r="AS9" s="8" t="s">
        <v>36</v>
      </c>
      <c r="AT9" s="4"/>
      <c r="AU9" s="4"/>
      <c r="AV9" s="4"/>
      <c r="AW9" s="8" t="s">
        <v>36</v>
      </c>
      <c r="AX9" s="4"/>
      <c r="AY9" s="4"/>
      <c r="AZ9" s="4"/>
      <c r="BA9" s="8" t="s">
        <v>36</v>
      </c>
      <c r="BB9" s="4"/>
      <c r="BC9" s="4"/>
      <c r="BD9" s="4"/>
      <c r="BE9" s="8" t="s">
        <v>36</v>
      </c>
      <c r="BF9" s="4"/>
      <c r="BG9" s="4"/>
      <c r="BH9" s="4"/>
      <c r="BI9" s="8" t="s">
        <v>36</v>
      </c>
      <c r="BJ9" s="4"/>
      <c r="BK9" s="4"/>
      <c r="BL9" s="4"/>
      <c r="BM9" s="8" t="s">
        <v>36</v>
      </c>
      <c r="BN9" s="4"/>
      <c r="BO9" s="4"/>
      <c r="BP9" s="4"/>
      <c r="BQ9" s="8" t="s">
        <v>36</v>
      </c>
      <c r="BR9" s="4"/>
      <c r="BS9" s="4"/>
      <c r="BT9" s="4"/>
      <c r="BU9" s="8" t="s">
        <v>36</v>
      </c>
      <c r="BV9" s="4"/>
      <c r="BW9" s="4"/>
      <c r="BX9" s="4"/>
      <c r="BY9" s="8" t="s">
        <v>36</v>
      </c>
      <c r="BZ9" s="4"/>
      <c r="CA9" s="8" t="s">
        <v>33</v>
      </c>
      <c r="CB9" s="8" t="s">
        <v>31</v>
      </c>
      <c r="CC9" s="8" t="s">
        <v>31</v>
      </c>
      <c r="CD9" s="4"/>
      <c r="CE9" s="22"/>
      <c r="CF9" s="22"/>
      <c r="CG9" s="22"/>
      <c r="CH9" s="23"/>
      <c r="CI9" s="23"/>
      <c r="CJ9" s="23"/>
      <c r="CK9" s="22"/>
      <c r="CL9" s="23"/>
      <c r="CM9" s="22"/>
      <c r="CN9" s="22"/>
      <c r="CO9" s="22"/>
      <c r="CP9" s="23"/>
      <c r="CQ9" s="22"/>
      <c r="CR9" s="22"/>
      <c r="CS9" s="22"/>
      <c r="CT9" s="23"/>
      <c r="CU9" s="22"/>
      <c r="CV9" s="22"/>
      <c r="CW9" s="22"/>
      <c r="CX9" s="23"/>
      <c r="CY9" s="21"/>
    </row>
    <row r="10" spans="1:103" ht="13.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8" t="s">
        <v>36</v>
      </c>
      <c r="CD10" s="4"/>
      <c r="CE10" s="23"/>
      <c r="CF10" s="23"/>
      <c r="CG10" s="22"/>
      <c r="CH10" s="23"/>
      <c r="CI10" s="23"/>
      <c r="CJ10" s="23"/>
      <c r="CK10" s="23"/>
      <c r="CL10" s="23"/>
      <c r="CM10" s="23"/>
      <c r="CN10" s="23"/>
      <c r="CO10" s="22"/>
      <c r="CP10" s="23"/>
      <c r="CQ10" s="23"/>
      <c r="CR10" s="23"/>
      <c r="CS10" s="22"/>
      <c r="CT10" s="23"/>
      <c r="CU10" s="23"/>
      <c r="CV10" s="23"/>
      <c r="CW10" s="22"/>
      <c r="CX10" s="23"/>
      <c r="CY10" s="21"/>
    </row>
    <row r="11" spans="1:103" ht="13.5" thickTop="1">
      <c r="A11" s="10" t="s">
        <v>3</v>
      </c>
      <c r="B11" s="7"/>
      <c r="C11" s="31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1"/>
    </row>
    <row r="12" spans="1:103" ht="12.75">
      <c r="A12" s="26">
        <v>1</v>
      </c>
      <c r="B12" s="27" t="s">
        <v>38</v>
      </c>
      <c r="C12" s="43">
        <v>2.1956</v>
      </c>
      <c r="D12" s="44">
        <v>63.11</v>
      </c>
      <c r="E12" s="44">
        <f>D$34/C12</f>
        <v>63.10347968664602</v>
      </c>
      <c r="F12" s="4"/>
      <c r="G12" s="4">
        <v>2.1946</v>
      </c>
      <c r="H12" s="4">
        <v>63</v>
      </c>
      <c r="I12" s="16">
        <f>H$34/G12</f>
        <v>62.99553449375741</v>
      </c>
      <c r="J12" s="4"/>
      <c r="K12" s="4">
        <v>2.1953</v>
      </c>
      <c r="L12" s="16">
        <v>62.84</v>
      </c>
      <c r="M12" s="16">
        <f>L$34/K12</f>
        <v>62.83879196465175</v>
      </c>
      <c r="N12" s="4"/>
      <c r="O12" s="4">
        <v>2.2042</v>
      </c>
      <c r="P12" s="16">
        <v>62.63</v>
      </c>
      <c r="Q12" s="16">
        <f>P$34/O12</f>
        <v>62.63496960348425</v>
      </c>
      <c r="R12" s="4"/>
      <c r="S12" s="4">
        <v>2.1981</v>
      </c>
      <c r="T12" s="16">
        <v>62.6</v>
      </c>
      <c r="U12" s="16">
        <f>T$34/S12</f>
        <v>62.59951776534279</v>
      </c>
      <c r="V12" s="4"/>
      <c r="W12" s="12">
        <v>2.2008</v>
      </c>
      <c r="X12" s="16">
        <v>62.3</v>
      </c>
      <c r="Y12" s="16">
        <f>X$34/W12</f>
        <v>62.295528898582326</v>
      </c>
      <c r="Z12" s="4"/>
      <c r="AA12" s="4">
        <v>2.1971</v>
      </c>
      <c r="AB12" s="16">
        <v>62.4</v>
      </c>
      <c r="AC12" s="16">
        <f>AB$34/AA12</f>
        <v>62.3958854854126</v>
      </c>
      <c r="AD12" s="4"/>
      <c r="AE12" s="4">
        <v>2.1971</v>
      </c>
      <c r="AF12" s="16">
        <v>62.34</v>
      </c>
      <c r="AG12" s="16">
        <f>AF$34/AE12</f>
        <v>62.34126803513723</v>
      </c>
      <c r="AH12" s="4"/>
      <c r="AI12" s="4">
        <v>2.1799</v>
      </c>
      <c r="AJ12" s="16">
        <v>62.76</v>
      </c>
      <c r="AK12" s="16">
        <f>AJ$34/AI12</f>
        <v>62.75975962200101</v>
      </c>
      <c r="AL12" s="4"/>
      <c r="AM12" s="4">
        <v>2.1676</v>
      </c>
      <c r="AN12" s="16">
        <v>63.03</v>
      </c>
      <c r="AO12" s="16">
        <f>AN$34/AM12</f>
        <v>63.02823399151134</v>
      </c>
      <c r="AP12" s="4"/>
      <c r="AQ12" s="4">
        <v>2.1688</v>
      </c>
      <c r="AR12" s="16">
        <v>62.86</v>
      </c>
      <c r="AS12" s="16">
        <f>AR$34/AQ12</f>
        <v>62.86425673183327</v>
      </c>
      <c r="AT12" s="4"/>
      <c r="AU12" s="4">
        <v>2.1741</v>
      </c>
      <c r="AV12" s="16">
        <v>62.85</v>
      </c>
      <c r="AW12" s="16">
        <f>AV$34/AU12</f>
        <v>62.84899498643116</v>
      </c>
      <c r="AX12" s="4"/>
      <c r="AY12" s="4">
        <v>2.1794</v>
      </c>
      <c r="AZ12" s="16">
        <v>62.75</v>
      </c>
      <c r="BA12" s="16">
        <f>AZ$34/AY12</f>
        <v>62.751215930990185</v>
      </c>
      <c r="BB12" s="4"/>
      <c r="BC12" s="4">
        <v>2.199</v>
      </c>
      <c r="BD12" s="16">
        <v>62.35</v>
      </c>
      <c r="BE12" s="16">
        <f>BD$34/BC12</f>
        <v>62.346521145975444</v>
      </c>
      <c r="BF12" s="4"/>
      <c r="BG12" s="4">
        <v>2.2271</v>
      </c>
      <c r="BH12" s="16">
        <v>61.18</v>
      </c>
      <c r="BI12" s="16">
        <f>BH$34/BG12</f>
        <v>61.18270396479726</v>
      </c>
      <c r="BJ12" s="4"/>
      <c r="BK12" s="4">
        <v>2.2233</v>
      </c>
      <c r="BL12" s="16">
        <v>61.28</v>
      </c>
      <c r="BM12" s="16">
        <f>BL$34/BK12</f>
        <v>61.28277785274142</v>
      </c>
      <c r="BN12" s="4"/>
      <c r="BO12" s="4">
        <v>2.21</v>
      </c>
      <c r="BP12" s="16">
        <v>61.7</v>
      </c>
      <c r="BQ12" s="16">
        <f>BP$34/BO12</f>
        <v>61.70135746606336</v>
      </c>
      <c r="BR12" s="4"/>
      <c r="BS12" s="4">
        <v>2.2165</v>
      </c>
      <c r="BT12" s="16">
        <v>61.57</v>
      </c>
      <c r="BU12" s="16">
        <f>BT$34/BS12</f>
        <v>61.565531242950605</v>
      </c>
      <c r="BV12" s="4"/>
      <c r="BW12" s="4">
        <v>2.2122</v>
      </c>
      <c r="BX12" s="16">
        <v>61.73</v>
      </c>
      <c r="BY12" s="16">
        <f>BX$34/BW12</f>
        <v>61.72588373564777</v>
      </c>
      <c r="BZ12" s="4"/>
      <c r="CA12" s="4">
        <f aca="true" t="shared" si="0" ref="CA12:CA28">(+C12+G12+K12+O12+S12+W12+AA12+AE12+AI12+AM12+AQ12+AU12+AY12+BC12+BG12+BK12+BO12+BS12+BW12)/19</f>
        <v>2.196878947368422</v>
      </c>
      <c r="CB12" s="90">
        <f aca="true" t="shared" si="1" ref="CB12:CD27">(+D12+H12+L12+P12+T12+X12+AB12+AF12+AJ12+AN12+AR12+AV12+AZ12+BD12+BH12+BL12+BP12+BT12+BX12)/19</f>
        <v>62.38315789473684</v>
      </c>
      <c r="CC12" s="90">
        <f t="shared" si="1"/>
        <v>62.382221715997744</v>
      </c>
      <c r="CD12" s="4">
        <f t="shared" si="1"/>
        <v>0</v>
      </c>
      <c r="CE12" s="23"/>
      <c r="CF12" s="23"/>
      <c r="CG12" s="23"/>
      <c r="CH12" s="23"/>
      <c r="CI12" s="23"/>
      <c r="CJ12" s="42"/>
      <c r="CK12" s="42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1"/>
    </row>
    <row r="13" spans="1:103" ht="12.75">
      <c r="A13" s="26">
        <v>2</v>
      </c>
      <c r="B13" s="27" t="s">
        <v>39</v>
      </c>
      <c r="C13" s="43">
        <v>123.81</v>
      </c>
      <c r="D13" s="44">
        <v>111.91</v>
      </c>
      <c r="E13" s="44">
        <f>D$34/C13*100</f>
        <v>111.9053388256199</v>
      </c>
      <c r="F13" s="4"/>
      <c r="G13" s="4">
        <v>124.16</v>
      </c>
      <c r="H13" s="4">
        <v>111.35</v>
      </c>
      <c r="I13" s="16">
        <f>H$34/G13*100</f>
        <v>111.34826030927836</v>
      </c>
      <c r="J13" s="4"/>
      <c r="K13" s="4">
        <v>124.25</v>
      </c>
      <c r="L13" s="16">
        <v>111.02</v>
      </c>
      <c r="M13" s="16">
        <f>L$34/K13*100</f>
        <v>111.0261569416499</v>
      </c>
      <c r="N13" s="4"/>
      <c r="O13" s="4">
        <v>124.63</v>
      </c>
      <c r="P13" s="16">
        <v>110.77</v>
      </c>
      <c r="Q13" s="16">
        <f>P$34/O13*100</f>
        <v>110.77589665409613</v>
      </c>
      <c r="R13" s="4"/>
      <c r="S13" s="4">
        <v>125.42</v>
      </c>
      <c r="T13" s="16">
        <v>109.71</v>
      </c>
      <c r="U13" s="16">
        <f>T$34/S13*100</f>
        <v>109.71136979748046</v>
      </c>
      <c r="V13" s="4"/>
      <c r="W13" s="4">
        <v>126.19</v>
      </c>
      <c r="X13" s="16">
        <v>108.65</v>
      </c>
      <c r="Y13" s="16">
        <f>X$34/W13*100</f>
        <v>108.6456930026151</v>
      </c>
      <c r="Z13" s="4"/>
      <c r="AA13" s="4">
        <v>126.19</v>
      </c>
      <c r="AB13" s="16">
        <v>108.64</v>
      </c>
      <c r="AC13" s="16">
        <f>AB$34/AA13*100</f>
        <v>108.63776844440922</v>
      </c>
      <c r="AD13" s="4"/>
      <c r="AE13" s="4">
        <v>126.19</v>
      </c>
      <c r="AF13" s="16">
        <v>108.54</v>
      </c>
      <c r="AG13" s="16">
        <f>AF$34/AE13*100</f>
        <v>108.54267374593867</v>
      </c>
      <c r="AH13" s="4"/>
      <c r="AI13" s="4">
        <v>126.34</v>
      </c>
      <c r="AJ13" s="16">
        <v>108.29</v>
      </c>
      <c r="AK13" s="16">
        <f>AJ$34/AI13*100</f>
        <v>108.28716162735476</v>
      </c>
      <c r="AL13" s="4"/>
      <c r="AM13" s="4">
        <v>127.31</v>
      </c>
      <c r="AN13" s="16">
        <v>107.32</v>
      </c>
      <c r="AO13" s="16">
        <f>AN$34/AM13*100</f>
        <v>107.31285837718954</v>
      </c>
      <c r="AP13" s="4"/>
      <c r="AQ13" s="4">
        <v>127.82</v>
      </c>
      <c r="AR13" s="16">
        <v>106.66</v>
      </c>
      <c r="AS13" s="16">
        <f>AR$34/AQ13*100</f>
        <v>106.66562353309341</v>
      </c>
      <c r="AT13" s="4"/>
      <c r="AU13" s="4">
        <v>128.17</v>
      </c>
      <c r="AV13" s="16">
        <v>106.61</v>
      </c>
      <c r="AW13" s="16">
        <f>AV$34/AU13*100</f>
        <v>106.60841070453304</v>
      </c>
      <c r="AX13" s="4"/>
      <c r="AY13" s="4">
        <v>128.63</v>
      </c>
      <c r="AZ13" s="16">
        <v>106.32</v>
      </c>
      <c r="BA13" s="16">
        <f>AZ$34/AY13*100</f>
        <v>106.32045401539298</v>
      </c>
      <c r="BB13" s="4"/>
      <c r="BC13" s="4">
        <v>129.64</v>
      </c>
      <c r="BD13" s="16">
        <v>105.76</v>
      </c>
      <c r="BE13" s="16">
        <f>BD$34/BC13*100</f>
        <v>105.75439679111386</v>
      </c>
      <c r="BF13" s="4"/>
      <c r="BG13" s="4">
        <v>129.94</v>
      </c>
      <c r="BH13" s="16">
        <v>104.86</v>
      </c>
      <c r="BI13" s="16">
        <f>BH$34/BG13*100</f>
        <v>104.8637832845929</v>
      </c>
      <c r="BJ13" s="4"/>
      <c r="BK13" s="4">
        <v>130.71</v>
      </c>
      <c r="BL13" s="16">
        <v>104.24</v>
      </c>
      <c r="BM13" s="16">
        <f>BL$34/BK13*100</f>
        <v>104.23839032973758</v>
      </c>
      <c r="BN13" s="4"/>
      <c r="BO13" s="4">
        <v>131.26</v>
      </c>
      <c r="BP13" s="16">
        <v>103.89</v>
      </c>
      <c r="BQ13" s="16">
        <f>BP$34/BO13*100</f>
        <v>103.88541825384733</v>
      </c>
      <c r="BR13" s="4"/>
      <c r="BS13" s="4">
        <v>131.11</v>
      </c>
      <c r="BT13" s="16">
        <v>104.08</v>
      </c>
      <c r="BU13" s="16">
        <f>BT$34/BS13*100</f>
        <v>104.08054305544962</v>
      </c>
      <c r="BV13" s="4"/>
      <c r="BW13" s="4">
        <v>131.28</v>
      </c>
      <c r="BX13" s="16">
        <v>104.02</v>
      </c>
      <c r="BY13" s="16">
        <f>BX$34/BW13*100</f>
        <v>104.01432053625838</v>
      </c>
      <c r="BZ13" s="4"/>
      <c r="CA13" s="4">
        <f t="shared" si="0"/>
        <v>127.52894736842106</v>
      </c>
      <c r="CB13" s="90">
        <f t="shared" si="1"/>
        <v>107.50736842105262</v>
      </c>
      <c r="CC13" s="90">
        <f t="shared" si="1"/>
        <v>107.50655359103426</v>
      </c>
      <c r="CD13" s="4"/>
      <c r="CE13" s="23"/>
      <c r="CF13" s="23"/>
      <c r="CG13" s="23"/>
      <c r="CH13" s="23"/>
      <c r="CI13" s="23"/>
      <c r="CJ13" s="42"/>
      <c r="CK13" s="42"/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1"/>
    </row>
    <row r="14" spans="1:103" ht="12.75">
      <c r="A14" s="26">
        <v>3</v>
      </c>
      <c r="B14" s="27" t="s">
        <v>40</v>
      </c>
      <c r="C14" s="43">
        <f>1/1.4209</f>
        <v>0.7037792948131466</v>
      </c>
      <c r="D14" s="44">
        <v>196.87</v>
      </c>
      <c r="E14" s="44">
        <f>D$34/C14</f>
        <v>196.86569500000002</v>
      </c>
      <c r="F14" s="4"/>
      <c r="G14" s="4">
        <f>1/1.4231</f>
        <v>0.7026913077085236</v>
      </c>
      <c r="H14" s="4">
        <v>196.75</v>
      </c>
      <c r="I14" s="16">
        <f>H$34/G14</f>
        <v>196.74357500000002</v>
      </c>
      <c r="J14" s="4"/>
      <c r="K14" s="4">
        <f>1/1.4224</f>
        <v>0.7030371203599549</v>
      </c>
      <c r="L14" s="16">
        <v>196.21</v>
      </c>
      <c r="M14" s="16">
        <f>L$34/K14</f>
        <v>196.22008</v>
      </c>
      <c r="N14" s="4"/>
      <c r="O14" s="4">
        <f>1/1.4155</f>
        <v>0.7064641469445426</v>
      </c>
      <c r="P14" s="16">
        <v>195.42</v>
      </c>
      <c r="Q14" s="16">
        <f>P$34/O14</f>
        <v>195.42392999999998</v>
      </c>
      <c r="R14" s="4"/>
      <c r="S14" s="4">
        <f>1/1.4291</f>
        <v>0.699741095794556</v>
      </c>
      <c r="T14" s="16">
        <v>196.64</v>
      </c>
      <c r="U14" s="16">
        <f>T$34/S14</f>
        <v>196.64416</v>
      </c>
      <c r="V14" s="4"/>
      <c r="W14" s="4">
        <f>1/1.4343</f>
        <v>0.6972042111134352</v>
      </c>
      <c r="X14" s="16">
        <v>196.64</v>
      </c>
      <c r="Y14" s="16">
        <f>X$34/W14</f>
        <v>196.64252999999997</v>
      </c>
      <c r="Z14" s="4"/>
      <c r="AA14" s="4">
        <f>1/1.4371</f>
        <v>0.6958458005705935</v>
      </c>
      <c r="AB14" s="16">
        <v>197.01</v>
      </c>
      <c r="AC14" s="16">
        <f>AB$34/AA14</f>
        <v>197.01203900000002</v>
      </c>
      <c r="AD14" s="4"/>
      <c r="AE14" s="4">
        <f>1/1.4371</f>
        <v>0.6958458005705935</v>
      </c>
      <c r="AF14" s="16">
        <v>196.84</v>
      </c>
      <c r="AG14" s="16">
        <f>AF$34/AE14</f>
        <v>196.839587</v>
      </c>
      <c r="AH14" s="4"/>
      <c r="AI14" s="4">
        <f>1/1.4466</f>
        <v>0.6912760956726116</v>
      </c>
      <c r="AJ14" s="16">
        <v>197.92</v>
      </c>
      <c r="AK14" s="16">
        <f>AJ$34/AI14</f>
        <v>197.909346</v>
      </c>
      <c r="AL14" s="4"/>
      <c r="AM14" s="4">
        <f>1/1.4522</f>
        <v>0.6886103842445944</v>
      </c>
      <c r="AN14" s="16">
        <v>198.41</v>
      </c>
      <c r="AO14" s="16">
        <f>AN$34/AM14</f>
        <v>198.399564</v>
      </c>
      <c r="AP14" s="4"/>
      <c r="AQ14" s="4">
        <f>1/1.4575</f>
        <v>0.6861063464837049</v>
      </c>
      <c r="AR14" s="16">
        <v>198.71</v>
      </c>
      <c r="AS14" s="16">
        <f>AR$34/AQ14</f>
        <v>198.71555</v>
      </c>
      <c r="AT14" s="4"/>
      <c r="AU14" s="4">
        <f>1/1.4508</f>
        <v>0.6892748828232699</v>
      </c>
      <c r="AV14" s="16">
        <v>198.24</v>
      </c>
      <c r="AW14" s="16">
        <f>AV$34/AU14</f>
        <v>198.237312</v>
      </c>
      <c r="AX14" s="4"/>
      <c r="AY14" s="4">
        <f>1/1.442</f>
        <v>0.6934812760055479</v>
      </c>
      <c r="AZ14" s="16">
        <v>197.51</v>
      </c>
      <c r="BA14" s="16">
        <f>AZ$34/AY14</f>
        <v>197.20791999999997</v>
      </c>
      <c r="BB14" s="4"/>
      <c r="BC14" s="4">
        <f>1/1.4404</f>
        <v>0.6942515967786727</v>
      </c>
      <c r="BD14" s="16">
        <v>197.48</v>
      </c>
      <c r="BE14" s="16">
        <f>BD$34/BC14</f>
        <v>197.47883999999996</v>
      </c>
      <c r="BF14" s="4"/>
      <c r="BG14" s="4">
        <f>1/1.4412</f>
        <v>0.6938662225922841</v>
      </c>
      <c r="BH14" s="16">
        <v>196.37</v>
      </c>
      <c r="BI14" s="16">
        <f>BH$34/BG14</f>
        <v>196.377912</v>
      </c>
      <c r="BJ14" s="4"/>
      <c r="BK14" s="4">
        <f>1/1.4369</f>
        <v>0.6959426543252836</v>
      </c>
      <c r="BL14" s="16">
        <v>195.78</v>
      </c>
      <c r="BM14" s="16">
        <f>BL$34/BK14</f>
        <v>195.777625</v>
      </c>
      <c r="BN14" s="4"/>
      <c r="BO14" s="4">
        <f>1/1.4517</f>
        <v>0.6888475580354068</v>
      </c>
      <c r="BP14" s="16">
        <v>197.96</v>
      </c>
      <c r="BQ14" s="16">
        <f>BP$34/BO14</f>
        <v>197.95381200000003</v>
      </c>
      <c r="BR14" s="4"/>
      <c r="BS14" s="4">
        <f>1/1.4485</f>
        <v>0.6903693476009666</v>
      </c>
      <c r="BT14" s="16">
        <v>197.66</v>
      </c>
      <c r="BU14" s="16">
        <f>BT$34/BS14</f>
        <v>197.66231</v>
      </c>
      <c r="BV14" s="4"/>
      <c r="BW14" s="4">
        <f>1/1.449</f>
        <v>0.6901311249137336</v>
      </c>
      <c r="BX14" s="16">
        <v>197.87</v>
      </c>
      <c r="BY14" s="16">
        <f>BX$34/BW14</f>
        <v>197.86095</v>
      </c>
      <c r="BZ14" s="4"/>
      <c r="CA14" s="4">
        <f t="shared" si="0"/>
        <v>0.6950929614395485</v>
      </c>
      <c r="CB14" s="90">
        <f t="shared" si="1"/>
        <v>197.17315789473685</v>
      </c>
      <c r="CC14" s="90">
        <f t="shared" si="1"/>
        <v>197.15645984210528</v>
      </c>
      <c r="CD14" s="4"/>
      <c r="CE14" s="23"/>
      <c r="CF14" s="23"/>
      <c r="CG14" s="23"/>
      <c r="CH14" s="23"/>
      <c r="CI14" s="23"/>
      <c r="CJ14" s="42"/>
      <c r="CK14" s="42"/>
      <c r="CL14" s="23"/>
      <c r="CM14" s="23"/>
      <c r="CN14" s="23"/>
      <c r="CO14" s="23"/>
      <c r="CP14" s="23"/>
      <c r="CQ14" s="23"/>
      <c r="CR14" s="23"/>
      <c r="CS14" s="23"/>
      <c r="CT14" s="23"/>
      <c r="CU14" s="23"/>
      <c r="CV14" s="23"/>
      <c r="CW14" s="23"/>
      <c r="CX14" s="23"/>
      <c r="CY14" s="21"/>
    </row>
    <row r="15" spans="1:103" ht="12.75">
      <c r="A15" s="26">
        <v>4</v>
      </c>
      <c r="B15" s="27" t="s">
        <v>41</v>
      </c>
      <c r="C15" s="43">
        <v>1.6537</v>
      </c>
      <c r="D15" s="44">
        <v>83.78</v>
      </c>
      <c r="E15" s="44">
        <f>D$34/C15</f>
        <v>83.78182257966984</v>
      </c>
      <c r="F15" s="4"/>
      <c r="G15" s="4">
        <v>1.6523</v>
      </c>
      <c r="H15" s="4">
        <v>83.67</v>
      </c>
      <c r="I15" s="16">
        <f>H$34/G15</f>
        <v>83.6712461417418</v>
      </c>
      <c r="J15" s="4"/>
      <c r="K15" s="4">
        <v>1.6532</v>
      </c>
      <c r="L15" s="16">
        <v>83.44</v>
      </c>
      <c r="M15" s="16">
        <f>L$34/K15</f>
        <v>83.44422937333655</v>
      </c>
      <c r="N15" s="4"/>
      <c r="O15" s="4">
        <v>1.6613</v>
      </c>
      <c r="P15" s="16">
        <v>83.1</v>
      </c>
      <c r="Q15" s="16">
        <f>P$34/O15</f>
        <v>83.10359357129958</v>
      </c>
      <c r="R15" s="4"/>
      <c r="S15" s="4">
        <v>1.6609</v>
      </c>
      <c r="T15" s="16">
        <v>82.84</v>
      </c>
      <c r="U15" s="16">
        <f>T$34/S15</f>
        <v>82.84664940694803</v>
      </c>
      <c r="V15" s="4"/>
      <c r="W15" s="4">
        <v>1.6663</v>
      </c>
      <c r="X15" s="16">
        <v>82.28</v>
      </c>
      <c r="Y15" s="16">
        <f>X$34/W15</f>
        <v>82.2781011822601</v>
      </c>
      <c r="Z15" s="4"/>
      <c r="AA15" s="4">
        <v>1.66</v>
      </c>
      <c r="AB15" s="16">
        <v>82.58</v>
      </c>
      <c r="AC15" s="16">
        <f>AB$34/AA15</f>
        <v>82.5843373493976</v>
      </c>
      <c r="AD15" s="4"/>
      <c r="AE15" s="4">
        <v>1.66</v>
      </c>
      <c r="AF15" s="16">
        <v>82.51</v>
      </c>
      <c r="AG15" s="16">
        <f>AF$34/AE15</f>
        <v>82.51204819277109</v>
      </c>
      <c r="AH15" s="4"/>
      <c r="AI15" s="4">
        <v>1.6421</v>
      </c>
      <c r="AJ15" s="16">
        <v>83.32</v>
      </c>
      <c r="AK15" s="16">
        <f>AJ$34/AI15</f>
        <v>83.31404908349066</v>
      </c>
      <c r="AL15" s="4"/>
      <c r="AM15" s="4">
        <v>1.633</v>
      </c>
      <c r="AN15" s="16">
        <v>83.66</v>
      </c>
      <c r="AO15" s="16">
        <f>AN$34/AM15</f>
        <v>83.66197183098592</v>
      </c>
      <c r="AP15" s="4"/>
      <c r="AQ15" s="4">
        <v>1.6338</v>
      </c>
      <c r="AR15" s="16">
        <v>83.45</v>
      </c>
      <c r="AS15" s="16">
        <f>AR$34/AQ15</f>
        <v>83.44962663728731</v>
      </c>
      <c r="AT15" s="4"/>
      <c r="AU15" s="4">
        <v>1.6386</v>
      </c>
      <c r="AV15" s="16">
        <v>83.39</v>
      </c>
      <c r="AW15" s="16">
        <f>AV$34/AU15</f>
        <v>83.38825826925424</v>
      </c>
      <c r="AX15" s="4"/>
      <c r="AY15" s="4">
        <v>1.6361</v>
      </c>
      <c r="AZ15" s="16">
        <v>83.59</v>
      </c>
      <c r="BA15" s="16">
        <f>AZ$34/AY15</f>
        <v>83.58902267587554</v>
      </c>
      <c r="BB15" s="4"/>
      <c r="BC15" s="4">
        <v>1.6442</v>
      </c>
      <c r="BD15" s="16">
        <v>83.39</v>
      </c>
      <c r="BE15" s="16">
        <f>BD$34/BC15</f>
        <v>83.38401654299963</v>
      </c>
      <c r="BF15" s="4"/>
      <c r="BG15" s="4">
        <v>1.6853</v>
      </c>
      <c r="BH15" s="16">
        <v>80.85</v>
      </c>
      <c r="BI15" s="16">
        <f>BH$34/BG15</f>
        <v>80.85207381475108</v>
      </c>
      <c r="BJ15" s="4"/>
      <c r="BK15" s="4">
        <v>1.684</v>
      </c>
      <c r="BL15" s="16">
        <v>80.91</v>
      </c>
      <c r="BM15" s="16">
        <f>BL$34/BK15</f>
        <v>80.90855106888361</v>
      </c>
      <c r="BN15" s="4"/>
      <c r="BO15" s="4">
        <v>1.6758</v>
      </c>
      <c r="BP15" s="16">
        <v>81.37</v>
      </c>
      <c r="BQ15" s="16">
        <f>BP$34/BO15</f>
        <v>81.3700918964077</v>
      </c>
      <c r="BR15" s="4"/>
      <c r="BS15" s="4">
        <v>1.677</v>
      </c>
      <c r="BT15" s="16">
        <v>81.37</v>
      </c>
      <c r="BU15" s="16">
        <f>BT$34/BS15</f>
        <v>81.37149672033394</v>
      </c>
      <c r="BV15" s="4"/>
      <c r="BW15" s="4">
        <v>1.6757</v>
      </c>
      <c r="BX15" s="16">
        <v>81.49</v>
      </c>
      <c r="BY15" s="16">
        <f>BX$34/BW15</f>
        <v>81.48833323387242</v>
      </c>
      <c r="BZ15" s="4"/>
      <c r="CA15" s="4">
        <f t="shared" si="0"/>
        <v>1.657542105263158</v>
      </c>
      <c r="CB15" s="90">
        <f t="shared" si="1"/>
        <v>82.68368421052632</v>
      </c>
      <c r="CC15" s="90">
        <f t="shared" si="1"/>
        <v>82.68418524060878</v>
      </c>
      <c r="CD15" s="4"/>
      <c r="CE15" s="23"/>
      <c r="CF15" s="23"/>
      <c r="CG15" s="23"/>
      <c r="CH15" s="23"/>
      <c r="CI15" s="23"/>
      <c r="CJ15" s="42"/>
      <c r="CK15" s="42"/>
      <c r="CL15" s="23"/>
      <c r="CM15" s="23"/>
      <c r="CN15" s="23"/>
      <c r="CO15" s="23"/>
      <c r="CP15" s="23"/>
      <c r="CQ15" s="23"/>
      <c r="CR15" s="23"/>
      <c r="CS15" s="23"/>
      <c r="CT15" s="23"/>
      <c r="CU15" s="23"/>
      <c r="CV15" s="23"/>
      <c r="CW15" s="23"/>
      <c r="CX15" s="23"/>
      <c r="CY15" s="21"/>
    </row>
    <row r="16" spans="1:103" ht="12.75">
      <c r="A16" s="26">
        <v>5</v>
      </c>
      <c r="B16" s="27" t="s">
        <v>42</v>
      </c>
      <c r="C16" s="43">
        <v>7.3637</v>
      </c>
      <c r="D16" s="44">
        <v>18.82</v>
      </c>
      <c r="E16" s="44">
        <f>D$34/C16</f>
        <v>18.81526949767101</v>
      </c>
      <c r="F16" s="4"/>
      <c r="G16" s="4">
        <v>7.3604</v>
      </c>
      <c r="H16" s="4">
        <v>18.78</v>
      </c>
      <c r="I16" s="16">
        <f>H$34/G16</f>
        <v>18.78294657899027</v>
      </c>
      <c r="J16" s="4"/>
      <c r="K16" s="4">
        <v>7.3629</v>
      </c>
      <c r="L16" s="16">
        <v>18.74</v>
      </c>
      <c r="M16" s="16">
        <f>L$34/K16</f>
        <v>18.73582419970392</v>
      </c>
      <c r="N16" s="4"/>
      <c r="O16" s="4">
        <v>7.3927</v>
      </c>
      <c r="P16" s="16">
        <v>18.67</v>
      </c>
      <c r="Q16" s="16">
        <f>P$34/O16</f>
        <v>18.67517956903432</v>
      </c>
      <c r="R16" s="4"/>
      <c r="S16" s="4">
        <v>7.372</v>
      </c>
      <c r="T16" s="16">
        <v>18.66</v>
      </c>
      <c r="U16" s="16">
        <f>T$34/S16</f>
        <v>18.665219750406944</v>
      </c>
      <c r="V16" s="4"/>
      <c r="W16" s="4">
        <v>7.3811</v>
      </c>
      <c r="X16" s="16">
        <v>18.57</v>
      </c>
      <c r="Y16" s="16">
        <f>X$34/W16</f>
        <v>18.574467220333013</v>
      </c>
      <c r="Z16" s="4"/>
      <c r="AA16" s="4">
        <v>7.3686</v>
      </c>
      <c r="AB16" s="16">
        <v>18.6</v>
      </c>
      <c r="AC16" s="16">
        <f>AB$34/AA16</f>
        <v>18.60461960209538</v>
      </c>
      <c r="AD16" s="4"/>
      <c r="AE16" s="4">
        <v>7.3686</v>
      </c>
      <c r="AF16" s="16">
        <v>18.59</v>
      </c>
      <c r="AG16" s="16">
        <f>AF$34/AE16</f>
        <v>18.588334283310264</v>
      </c>
      <c r="AH16" s="4"/>
      <c r="AI16" s="4">
        <v>7.3112</v>
      </c>
      <c r="AJ16" s="16">
        <v>18.71</v>
      </c>
      <c r="AK16" s="16">
        <f>AJ$34/AI16</f>
        <v>18.71238647554437</v>
      </c>
      <c r="AL16" s="4"/>
      <c r="AM16" s="4">
        <v>7.2698</v>
      </c>
      <c r="AN16" s="16">
        <v>18.79</v>
      </c>
      <c r="AO16" s="16">
        <f>AN$34/AM16</f>
        <v>18.792814107678343</v>
      </c>
      <c r="AP16" s="4"/>
      <c r="AQ16" s="4">
        <v>7.2739</v>
      </c>
      <c r="AR16" s="16">
        <v>18.74</v>
      </c>
      <c r="AS16" s="16">
        <f>AR$34/AQ16</f>
        <v>18.743727573928705</v>
      </c>
      <c r="AT16" s="4"/>
      <c r="AU16" s="4">
        <v>7.2917</v>
      </c>
      <c r="AV16" s="16">
        <v>18.74</v>
      </c>
      <c r="AW16" s="16">
        <f>AV$34/AU16</f>
        <v>18.73911433547732</v>
      </c>
      <c r="AX16" s="4"/>
      <c r="AY16" s="4">
        <v>7.3095</v>
      </c>
      <c r="AZ16" s="16">
        <v>18.71</v>
      </c>
      <c r="BA16" s="16">
        <f>AZ$34/AY16</f>
        <v>18.7098980778439</v>
      </c>
      <c r="BB16" s="4"/>
      <c r="BC16" s="4">
        <v>7.3753</v>
      </c>
      <c r="BD16" s="16">
        <v>18.59</v>
      </c>
      <c r="BE16" s="16">
        <f>BD$34/BC16</f>
        <v>18.5890743427386</v>
      </c>
      <c r="BF16" s="4"/>
      <c r="BG16" s="4">
        <v>7.4693</v>
      </c>
      <c r="BH16" s="16">
        <v>18.24</v>
      </c>
      <c r="BI16" s="16">
        <f>BH$34/BG16</f>
        <v>18.242673342883535</v>
      </c>
      <c r="BJ16" s="4"/>
      <c r="BK16" s="4">
        <v>7.4566</v>
      </c>
      <c r="BL16" s="16">
        <v>18.27</v>
      </c>
      <c r="BM16" s="16">
        <f>BL$34/BK16</f>
        <v>18.27240297186385</v>
      </c>
      <c r="BN16" s="4"/>
      <c r="BO16" s="4">
        <v>7.4119</v>
      </c>
      <c r="BP16" s="16">
        <v>18.4</v>
      </c>
      <c r="BQ16" s="16">
        <f>BP$34/BO16</f>
        <v>18.397441951456443</v>
      </c>
      <c r="BR16" s="4"/>
      <c r="BS16" s="4">
        <v>7.4338</v>
      </c>
      <c r="BT16" s="16">
        <v>18.36</v>
      </c>
      <c r="BU16" s="16">
        <f>BT$34/BS16</f>
        <v>18.35669509537518</v>
      </c>
      <c r="BV16" s="4"/>
      <c r="BW16" s="4">
        <v>7.4195</v>
      </c>
      <c r="BX16" s="16">
        <v>18.4</v>
      </c>
      <c r="BY16" s="16">
        <f>BX$34/BW16</f>
        <v>18.40420513511692</v>
      </c>
      <c r="BZ16" s="4"/>
      <c r="CA16" s="4">
        <f t="shared" si="0"/>
        <v>7.368026315789474</v>
      </c>
      <c r="CB16" s="90">
        <f t="shared" si="1"/>
        <v>18.59894736842105</v>
      </c>
      <c r="CC16" s="90">
        <f t="shared" si="1"/>
        <v>18.600120742708015</v>
      </c>
      <c r="CD16" s="4"/>
      <c r="CE16" s="23"/>
      <c r="CF16" s="23"/>
      <c r="CG16" s="23"/>
      <c r="CH16" s="23"/>
      <c r="CI16" s="23"/>
      <c r="CJ16" s="42"/>
      <c r="CK16" s="42"/>
      <c r="CL16" s="23"/>
      <c r="CM16" s="23"/>
      <c r="CN16" s="23"/>
      <c r="CO16" s="23"/>
      <c r="CP16" s="23"/>
      <c r="CQ16" s="23"/>
      <c r="CR16" s="23"/>
      <c r="CS16" s="23"/>
      <c r="CT16" s="23"/>
      <c r="CU16" s="23"/>
      <c r="CV16" s="23"/>
      <c r="CW16" s="23"/>
      <c r="CX16" s="23"/>
      <c r="CY16" s="21"/>
    </row>
    <row r="17" spans="1:103" ht="12.75">
      <c r="A17" s="26">
        <v>6</v>
      </c>
      <c r="B17" s="27" t="s">
        <v>43</v>
      </c>
      <c r="C17" s="43">
        <v>2.4739</v>
      </c>
      <c r="D17" s="44">
        <v>56.01</v>
      </c>
      <c r="E17" s="44">
        <f>D$34/C17</f>
        <v>56.00468895266584</v>
      </c>
      <c r="F17" s="4"/>
      <c r="G17" s="4">
        <v>2.4727</v>
      </c>
      <c r="H17" s="4">
        <v>55.91</v>
      </c>
      <c r="I17" s="16">
        <f>H$34/G17</f>
        <v>55.91054313099041</v>
      </c>
      <c r="J17" s="4"/>
      <c r="K17" s="4">
        <v>2.4736</v>
      </c>
      <c r="L17" s="16">
        <v>55.77</v>
      </c>
      <c r="M17" s="16">
        <f>L$34/K17</f>
        <v>55.76891979301423</v>
      </c>
      <c r="N17" s="4"/>
      <c r="O17" s="4">
        <v>2.4836</v>
      </c>
      <c r="P17" s="16">
        <v>55.59</v>
      </c>
      <c r="Q17" s="16">
        <f>P$34/O17</f>
        <v>55.5886616202287</v>
      </c>
      <c r="R17" s="4"/>
      <c r="S17" s="4">
        <v>2.4766</v>
      </c>
      <c r="T17" s="16">
        <v>55.56</v>
      </c>
      <c r="U17" s="16">
        <f>T$34/S17</f>
        <v>55.560041993054995</v>
      </c>
      <c r="V17" s="4"/>
      <c r="W17" s="4">
        <v>2.4797</v>
      </c>
      <c r="X17" s="16">
        <v>55.29</v>
      </c>
      <c r="Y17" s="16">
        <f>X$34/W17</f>
        <v>55.2889462434972</v>
      </c>
      <c r="Z17" s="4"/>
      <c r="AA17" s="4">
        <v>2.4755</v>
      </c>
      <c r="AB17" s="16">
        <v>55.38</v>
      </c>
      <c r="AC17" s="16">
        <f>AB$34/AA17</f>
        <v>55.37871137144012</v>
      </c>
      <c r="AD17" s="4"/>
      <c r="AE17" s="4">
        <v>2.4755</v>
      </c>
      <c r="AF17" s="16">
        <v>55.33</v>
      </c>
      <c r="AG17" s="16">
        <f>AF$34/AE17</f>
        <v>55.33023631589578</v>
      </c>
      <c r="AH17" s="4"/>
      <c r="AI17" s="4">
        <v>2.4562</v>
      </c>
      <c r="AJ17" s="16">
        <v>55.7</v>
      </c>
      <c r="AK17" s="16">
        <f>AJ$34/AI17</f>
        <v>55.699861574790326</v>
      </c>
      <c r="AL17" s="4"/>
      <c r="AM17" s="4">
        <v>2.4423</v>
      </c>
      <c r="AN17" s="16">
        <v>55.94</v>
      </c>
      <c r="AO17" s="16">
        <f>AN$34/AM17</f>
        <v>55.939073823854564</v>
      </c>
      <c r="AP17" s="4"/>
      <c r="AQ17" s="4">
        <v>2.4437</v>
      </c>
      <c r="AR17" s="16">
        <v>55.79</v>
      </c>
      <c r="AS17" s="16">
        <f>AR$34/AQ17</f>
        <v>55.79244588124565</v>
      </c>
      <c r="AT17" s="4"/>
      <c r="AU17" s="4">
        <v>2.4497</v>
      </c>
      <c r="AV17" s="16">
        <v>55.78</v>
      </c>
      <c r="AW17" s="16">
        <f>AV$34/AU17</f>
        <v>55.778258562272924</v>
      </c>
      <c r="AX17" s="4"/>
      <c r="AY17" s="4">
        <v>2.4557</v>
      </c>
      <c r="AZ17" s="16">
        <v>55.69</v>
      </c>
      <c r="BA17" s="16">
        <f>AZ$34/AY17</f>
        <v>55.690841715193216</v>
      </c>
      <c r="BB17" s="4"/>
      <c r="BC17" s="4">
        <v>2.4777</v>
      </c>
      <c r="BD17" s="16">
        <v>55.33</v>
      </c>
      <c r="BE17" s="16">
        <f>BD$34/BC17</f>
        <v>55.333575493401135</v>
      </c>
      <c r="BF17" s="4"/>
      <c r="BG17" s="4">
        <v>2.5093</v>
      </c>
      <c r="BH17" s="16">
        <v>54.3</v>
      </c>
      <c r="BI17" s="16">
        <f>BH$34/BG17</f>
        <v>54.30199657274937</v>
      </c>
      <c r="BJ17" s="4"/>
      <c r="BK17" s="4">
        <v>2.5051</v>
      </c>
      <c r="BL17" s="16">
        <v>54.39</v>
      </c>
      <c r="BM17" s="16">
        <f>BL$34/BK17</f>
        <v>54.38904634545527</v>
      </c>
      <c r="BN17" s="4"/>
      <c r="BO17" s="4">
        <v>2.4901</v>
      </c>
      <c r="BP17" s="16">
        <v>54.76</v>
      </c>
      <c r="BQ17" s="16">
        <f>BP$34/BO17</f>
        <v>54.76085297779206</v>
      </c>
      <c r="BR17" s="4"/>
      <c r="BS17" s="4">
        <v>2.4974</v>
      </c>
      <c r="BT17" s="16">
        <v>54.64</v>
      </c>
      <c r="BU17" s="16">
        <f>BT$34/BS17</f>
        <v>54.6408264595179</v>
      </c>
      <c r="BV17" s="4"/>
      <c r="BW17" s="4">
        <v>2.4926</v>
      </c>
      <c r="BX17" s="16">
        <v>54.78</v>
      </c>
      <c r="BY17" s="16">
        <f>BX$34/BW17</f>
        <v>54.78215517933083</v>
      </c>
      <c r="BZ17" s="4"/>
      <c r="CA17" s="4">
        <f t="shared" si="0"/>
        <v>2.4753105263157895</v>
      </c>
      <c r="CB17" s="90">
        <f t="shared" si="1"/>
        <v>55.36526315789474</v>
      </c>
      <c r="CC17" s="90">
        <f t="shared" si="1"/>
        <v>55.36524652665212</v>
      </c>
      <c r="CD17" s="4"/>
      <c r="CE17" s="23"/>
      <c r="CF17" s="23"/>
      <c r="CG17" s="23"/>
      <c r="CH17" s="23"/>
      <c r="CI17" s="23"/>
      <c r="CJ17" s="42"/>
      <c r="CK17" s="42"/>
      <c r="CL17" s="23"/>
      <c r="CM17" s="23"/>
      <c r="CN17" s="23"/>
      <c r="CO17" s="23"/>
      <c r="CP17" s="23"/>
      <c r="CQ17" s="23"/>
      <c r="CR17" s="23"/>
      <c r="CS17" s="23"/>
      <c r="CT17" s="23"/>
      <c r="CU17" s="23"/>
      <c r="CV17" s="23"/>
      <c r="CW17" s="23"/>
      <c r="CX17" s="23"/>
      <c r="CY17" s="21"/>
    </row>
    <row r="18" spans="1:103" ht="12.75">
      <c r="A18" s="26">
        <v>7</v>
      </c>
      <c r="B18" s="27" t="s">
        <v>44</v>
      </c>
      <c r="C18" s="43">
        <v>2173.6304</v>
      </c>
      <c r="D18" s="44">
        <v>63.74</v>
      </c>
      <c r="E18" s="44">
        <f>D$34/C18*1000</f>
        <v>63.74128738722094</v>
      </c>
      <c r="F18" s="4"/>
      <c r="G18" s="4">
        <v>2172.6548</v>
      </c>
      <c r="H18" s="4">
        <v>63.63</v>
      </c>
      <c r="I18" s="16">
        <f>H$34/G18*1000</f>
        <v>63.63182959391432</v>
      </c>
      <c r="J18" s="4"/>
      <c r="K18" s="4">
        <v>2173.3865</v>
      </c>
      <c r="L18" s="16">
        <v>63.47</v>
      </c>
      <c r="M18" s="16">
        <f>L$34/K18*1000</f>
        <v>63.47237364362021</v>
      </c>
      <c r="N18" s="4"/>
      <c r="O18" s="4">
        <v>2182.2044</v>
      </c>
      <c r="P18" s="16">
        <v>63.27</v>
      </c>
      <c r="Q18" s="16">
        <f>P$34/O18*1000</f>
        <v>63.26630081031823</v>
      </c>
      <c r="R18" s="4"/>
      <c r="S18" s="4">
        <v>2176.0733</v>
      </c>
      <c r="T18" s="16">
        <v>63.23</v>
      </c>
      <c r="U18" s="16">
        <f>T$34/S18*1000</f>
        <v>63.23316406667</v>
      </c>
      <c r="V18" s="4"/>
      <c r="W18" s="4">
        <v>2178.7667</v>
      </c>
      <c r="X18" s="16">
        <v>62.93</v>
      </c>
      <c r="Y18" s="16">
        <f>X$34/W18*1000</f>
        <v>62.92550735239344</v>
      </c>
      <c r="Z18" s="4"/>
      <c r="AA18" s="4">
        <v>2175.0955</v>
      </c>
      <c r="AB18" s="16">
        <v>63.03</v>
      </c>
      <c r="AC18" s="16">
        <f>AB$34/AA18*1000</f>
        <v>63.02711765989126</v>
      </c>
      <c r="AD18" s="4"/>
      <c r="AE18" s="4">
        <v>2175.0955</v>
      </c>
      <c r="AF18" s="16">
        <v>62.97</v>
      </c>
      <c r="AG18" s="16">
        <f>AF$34/AE18*1000</f>
        <v>62.97194766850467</v>
      </c>
      <c r="AH18" s="4"/>
      <c r="AI18" s="4">
        <v>2158.1253</v>
      </c>
      <c r="AJ18" s="16">
        <v>63.4</v>
      </c>
      <c r="AK18" s="16">
        <f>AJ$34/AI18*1000</f>
        <v>63.39298278927548</v>
      </c>
      <c r="AL18" s="4"/>
      <c r="AM18" s="4">
        <v>2145.9271</v>
      </c>
      <c r="AN18" s="16">
        <v>63.67</v>
      </c>
      <c r="AO18" s="16">
        <f>AN$34/AM18*1000</f>
        <v>63.66479084960529</v>
      </c>
      <c r="AP18" s="4"/>
      <c r="AQ18" s="4">
        <v>2147.1169</v>
      </c>
      <c r="AR18" s="16">
        <v>63.5</v>
      </c>
      <c r="AS18" s="16">
        <f>AR$34/AQ18*1000</f>
        <v>63.499104310529155</v>
      </c>
      <c r="AT18" s="4"/>
      <c r="AU18" s="4">
        <v>2152.3677</v>
      </c>
      <c r="AV18" s="16">
        <v>63.48</v>
      </c>
      <c r="AW18" s="16">
        <f>AV$34/AU18*1000</f>
        <v>63.483576714146004</v>
      </c>
      <c r="AX18" s="4"/>
      <c r="AY18" s="4">
        <v>2157.6443</v>
      </c>
      <c r="AZ18" s="16">
        <v>63.38</v>
      </c>
      <c r="BA18" s="16">
        <f>AZ$34/AY18*1000</f>
        <v>63.38394145874739</v>
      </c>
      <c r="BB18" s="4"/>
      <c r="BC18" s="4">
        <v>2177.0519</v>
      </c>
      <c r="BD18" s="16">
        <v>62.98</v>
      </c>
      <c r="BE18" s="16">
        <f>BD$34/BC18*1000</f>
        <v>62.97507193099071</v>
      </c>
      <c r="BF18" s="4"/>
      <c r="BG18" s="4">
        <v>2204.8167</v>
      </c>
      <c r="BH18" s="16">
        <v>61.8</v>
      </c>
      <c r="BI18" s="16">
        <f>BH$34/BG18*1000</f>
        <v>61.80105584287347</v>
      </c>
      <c r="BJ18" s="4"/>
      <c r="BK18" s="4">
        <v>2201.0572</v>
      </c>
      <c r="BL18" s="16">
        <v>61.9</v>
      </c>
      <c r="BM18" s="16">
        <f>BL$34/BK18*1000</f>
        <v>61.90207142276902</v>
      </c>
      <c r="BN18" s="4"/>
      <c r="BO18" s="4">
        <v>2187.8757</v>
      </c>
      <c r="BP18" s="16">
        <v>62.33</v>
      </c>
      <c r="BQ18" s="16">
        <f>BP$34/BO18*1000</f>
        <v>62.32529571949632</v>
      </c>
      <c r="BR18" s="4"/>
      <c r="BS18" s="4">
        <v>2194.3223</v>
      </c>
      <c r="BT18" s="16">
        <v>62.19</v>
      </c>
      <c r="BU18" s="16">
        <f>BT$34/BS18*1000</f>
        <v>62.18776521571148</v>
      </c>
      <c r="BV18" s="4"/>
      <c r="BW18" s="4">
        <v>2190.1029</v>
      </c>
      <c r="BX18" s="16">
        <v>62.35</v>
      </c>
      <c r="BY18" s="16">
        <f>BX$34/BW18*1000</f>
        <v>62.34866864018125</v>
      </c>
      <c r="BZ18" s="4"/>
      <c r="CA18" s="4">
        <f t="shared" si="0"/>
        <v>2174.911321052631</v>
      </c>
      <c r="CB18" s="90">
        <f t="shared" si="1"/>
        <v>63.01315789473684</v>
      </c>
      <c r="CC18" s="90">
        <f t="shared" si="1"/>
        <v>63.01230805667677</v>
      </c>
      <c r="CD18" s="4">
        <f t="shared" si="1"/>
        <v>0</v>
      </c>
      <c r="CE18" s="23"/>
      <c r="CF18" s="23"/>
      <c r="CG18" s="23"/>
      <c r="CH18" s="23"/>
      <c r="CI18" s="23"/>
      <c r="CJ18" s="42"/>
      <c r="CK18" s="42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1"/>
    </row>
    <row r="19" spans="1:103" ht="12.75">
      <c r="A19" s="26">
        <v>8</v>
      </c>
      <c r="B19" s="27" t="s">
        <v>45</v>
      </c>
      <c r="C19" s="43">
        <v>45.285</v>
      </c>
      <c r="D19" s="44">
        <v>3.06</v>
      </c>
      <c r="E19" s="44">
        <f>D$34/C19</f>
        <v>3.0595119796842227</v>
      </c>
      <c r="F19" s="4"/>
      <c r="G19" s="4">
        <v>45.2647</v>
      </c>
      <c r="H19" s="4">
        <v>3.05</v>
      </c>
      <c r="I19" s="16">
        <f>H$34/G19</f>
        <v>3.0542564073107745</v>
      </c>
      <c r="J19" s="4"/>
      <c r="K19" s="4">
        <v>45.2799</v>
      </c>
      <c r="L19" s="16">
        <v>3.05</v>
      </c>
      <c r="M19" s="16">
        <f>L$34/K19</f>
        <v>3.0466056682987372</v>
      </c>
      <c r="N19" s="4"/>
      <c r="O19" s="4">
        <v>45.4637</v>
      </c>
      <c r="P19" s="16">
        <v>3.04</v>
      </c>
      <c r="Q19" s="16">
        <f>P$34/O19</f>
        <v>3.0367084069268446</v>
      </c>
      <c r="R19" s="4"/>
      <c r="S19" s="4">
        <v>45.3359</v>
      </c>
      <c r="T19" s="16">
        <v>3.04</v>
      </c>
      <c r="U19" s="16">
        <f>T$34/S19</f>
        <v>3.035122276165246</v>
      </c>
      <c r="V19" s="4"/>
      <c r="W19" s="4">
        <v>45.392</v>
      </c>
      <c r="X19" s="16">
        <v>3.02</v>
      </c>
      <c r="Y19" s="16">
        <f>X$34/W19</f>
        <v>3.0203560098695803</v>
      </c>
      <c r="Z19" s="4"/>
      <c r="AA19" s="4">
        <v>45.3155</v>
      </c>
      <c r="AB19" s="16">
        <v>3.03</v>
      </c>
      <c r="AC19" s="16">
        <f>AB$34/AA19</f>
        <v>3.0252341913914664</v>
      </c>
      <c r="AD19" s="4"/>
      <c r="AE19" s="4">
        <v>45.3155</v>
      </c>
      <c r="AF19" s="16">
        <v>3.02</v>
      </c>
      <c r="AG19" s="16">
        <f>AF$34/AE19</f>
        <v>3.0225860908519158</v>
      </c>
      <c r="AH19" s="4"/>
      <c r="AI19" s="4">
        <v>44.962</v>
      </c>
      <c r="AJ19" s="16">
        <v>3.04</v>
      </c>
      <c r="AK19" s="16">
        <f>AJ$34/AI19</f>
        <v>3.042791690761087</v>
      </c>
      <c r="AL19" s="4"/>
      <c r="AM19" s="4">
        <v>44.7079</v>
      </c>
      <c r="AN19" s="16">
        <v>3.06</v>
      </c>
      <c r="AO19" s="16">
        <f>AN$34/AM19</f>
        <v>3.0558357695172442</v>
      </c>
      <c r="AP19" s="4"/>
      <c r="AQ19" s="4">
        <v>44.7326</v>
      </c>
      <c r="AR19" s="16">
        <v>3.05</v>
      </c>
      <c r="AS19" s="16">
        <f>AR$34/AQ19</f>
        <v>3.047889011593335</v>
      </c>
      <c r="AT19" s="4"/>
      <c r="AU19" s="4">
        <v>44.842</v>
      </c>
      <c r="AV19" s="16">
        <v>3.05</v>
      </c>
      <c r="AW19" s="16">
        <f>AV$34/AU19</f>
        <v>3.0471433031532937</v>
      </c>
      <c r="AX19" s="4"/>
      <c r="AY19" s="4">
        <v>44.95</v>
      </c>
      <c r="AZ19" s="16">
        <v>3.04</v>
      </c>
      <c r="BA19" s="16">
        <f>AZ$34/AY19</f>
        <v>3.0424916573971075</v>
      </c>
      <c r="BB19" s="4"/>
      <c r="BC19" s="4">
        <v>45.3563</v>
      </c>
      <c r="BD19" s="16">
        <v>3.02</v>
      </c>
      <c r="BE19" s="16">
        <f>BD$34/BC19</f>
        <v>3.0227333358320676</v>
      </c>
      <c r="BF19" s="4"/>
      <c r="BG19" s="4">
        <v>45.9348</v>
      </c>
      <c r="BH19" s="16">
        <v>2.97</v>
      </c>
      <c r="BI19" s="16">
        <f>BH$34/BG19</f>
        <v>2.966378432038454</v>
      </c>
      <c r="BJ19" s="4"/>
      <c r="BK19" s="4">
        <v>45.8564</v>
      </c>
      <c r="BL19" s="16">
        <v>2.97</v>
      </c>
      <c r="BM19" s="16">
        <f>BL$34/BK19</f>
        <v>2.971231932729128</v>
      </c>
      <c r="BN19" s="4"/>
      <c r="BO19" s="4">
        <v>45.5818</v>
      </c>
      <c r="BP19" s="16">
        <v>2.99</v>
      </c>
      <c r="BQ19" s="16">
        <f>BP$34/BO19</f>
        <v>2.9915448709792067</v>
      </c>
      <c r="BR19" s="4"/>
      <c r="BS19" s="4">
        <v>45.7161</v>
      </c>
      <c r="BT19" s="16">
        <v>2.98</v>
      </c>
      <c r="BU19" s="16">
        <f>BT$34/BS19</f>
        <v>2.98494403503361</v>
      </c>
      <c r="BV19" s="4"/>
      <c r="BW19" s="4">
        <v>45.6282</v>
      </c>
      <c r="BX19" s="16">
        <v>2.99</v>
      </c>
      <c r="BY19" s="16">
        <f>BX$34/BW19</f>
        <v>2.9926668156973104</v>
      </c>
      <c r="BZ19" s="4"/>
      <c r="CA19" s="4">
        <f t="shared" si="0"/>
        <v>45.31159473684211</v>
      </c>
      <c r="CB19" s="90">
        <f t="shared" si="1"/>
        <v>3.0247368421052627</v>
      </c>
      <c r="CC19" s="90">
        <f t="shared" si="1"/>
        <v>3.0245279939595062</v>
      </c>
      <c r="CD19" s="4"/>
      <c r="CE19" s="23"/>
      <c r="CF19" s="23"/>
      <c r="CG19" s="23"/>
      <c r="CH19" s="23"/>
      <c r="CI19" s="23"/>
      <c r="CJ19" s="42"/>
      <c r="CK19" s="42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1"/>
    </row>
    <row r="20" spans="1:103" ht="12.75">
      <c r="A20" s="26">
        <v>9</v>
      </c>
      <c r="B20" s="27" t="s">
        <v>46</v>
      </c>
      <c r="C20" s="43">
        <f>1/0.8908</f>
        <v>1.122586439155815</v>
      </c>
      <c r="D20" s="44">
        <v>123.42</v>
      </c>
      <c r="E20" s="44">
        <f>D$34/C20</f>
        <v>123.42034000000002</v>
      </c>
      <c r="F20" s="4"/>
      <c r="G20" s="4">
        <f>1/0.8912</f>
        <v>1.1220825852782765</v>
      </c>
      <c r="H20" s="4">
        <v>123.21</v>
      </c>
      <c r="I20" s="16">
        <f>H$34/G20</f>
        <v>123.2084</v>
      </c>
      <c r="J20" s="4"/>
      <c r="K20" s="4">
        <f>1/0.8909</f>
        <v>1.1224604332697272</v>
      </c>
      <c r="L20" s="16">
        <v>122.9</v>
      </c>
      <c r="M20" s="16">
        <f>L$34/K20</f>
        <v>122.899655</v>
      </c>
      <c r="N20" s="4"/>
      <c r="O20" s="4">
        <f>1/0.8873</f>
        <v>1.1270145384875465</v>
      </c>
      <c r="P20" s="16">
        <v>122.5</v>
      </c>
      <c r="Q20" s="16">
        <f>P$34/O20</f>
        <v>122.500638</v>
      </c>
      <c r="R20" s="4"/>
      <c r="S20" s="4">
        <f>1/0.8898</f>
        <v>1.1238480557428636</v>
      </c>
      <c r="T20" s="16">
        <v>122.43</v>
      </c>
      <c r="U20" s="16">
        <f>T$34/S20</f>
        <v>122.43647999999999</v>
      </c>
      <c r="V20" s="4"/>
      <c r="W20" s="4">
        <f>1/0.8887</f>
        <v>1.1252391133115787</v>
      </c>
      <c r="X20" s="16">
        <v>121.84</v>
      </c>
      <c r="Y20" s="16">
        <f>X$34/W20</f>
        <v>121.84077</v>
      </c>
      <c r="Z20" s="4"/>
      <c r="AA20" s="4">
        <f>1/0.8902</f>
        <v>1.1233430689732644</v>
      </c>
      <c r="AB20" s="16">
        <v>122.04</v>
      </c>
      <c r="AC20" s="16">
        <f>AB$34/AA20</f>
        <v>122.037518</v>
      </c>
      <c r="AD20" s="4"/>
      <c r="AE20" s="4">
        <f>1/0.8902</f>
        <v>1.1233430689732644</v>
      </c>
      <c r="AF20" s="16">
        <v>121.93</v>
      </c>
      <c r="AG20" s="16">
        <f>AF$34/AE20</f>
        <v>121.930694</v>
      </c>
      <c r="AH20" s="4"/>
      <c r="AI20" s="4">
        <f>1/0.8972</f>
        <v>1.1145786892554614</v>
      </c>
      <c r="AJ20" s="16">
        <v>122.75</v>
      </c>
      <c r="AK20" s="16">
        <f>AJ$34/AI20</f>
        <v>122.745932</v>
      </c>
      <c r="AL20" s="4"/>
      <c r="AM20" s="4">
        <f>1/0.9023</f>
        <v>1.108278842956888</v>
      </c>
      <c r="AN20" s="16">
        <v>123.28</v>
      </c>
      <c r="AO20" s="16">
        <f>AN$34/AM20</f>
        <v>123.272226</v>
      </c>
      <c r="AP20" s="4"/>
      <c r="AQ20" s="4">
        <f>1/0.9018</f>
        <v>1.1088933244621866</v>
      </c>
      <c r="AR20" s="16">
        <v>122.95</v>
      </c>
      <c r="AS20" s="16">
        <f>AR$34/AQ20</f>
        <v>122.95141200000002</v>
      </c>
      <c r="AT20" s="4"/>
      <c r="AU20" s="4">
        <f>1/0.8996</f>
        <v>1.1116051578479325</v>
      </c>
      <c r="AV20" s="16">
        <v>122.92</v>
      </c>
      <c r="AW20" s="16">
        <f>AV$34/AU20</f>
        <v>122.92134399999998</v>
      </c>
      <c r="AX20" s="4"/>
      <c r="AY20" s="25">
        <f>1/0.8974</f>
        <v>1.1143302874972143</v>
      </c>
      <c r="AZ20" s="16">
        <v>122.73</v>
      </c>
      <c r="BA20" s="16">
        <f>AZ$34/AY20</f>
        <v>122.72842399999998</v>
      </c>
      <c r="BB20" s="4"/>
      <c r="BC20" s="25">
        <f>1/0.8894</f>
        <v>1.124353496739375</v>
      </c>
      <c r="BD20" s="16">
        <v>121.94</v>
      </c>
      <c r="BE20" s="16">
        <f>BD$34/BC20</f>
        <v>121.93673999999999</v>
      </c>
      <c r="BF20" s="4"/>
      <c r="BG20" s="4">
        <f>1/0.8782</f>
        <v>1.1386927806877705</v>
      </c>
      <c r="BH20" s="16">
        <v>119.66</v>
      </c>
      <c r="BI20" s="16">
        <f>BH$34/BG20</f>
        <v>119.66353199999999</v>
      </c>
      <c r="BJ20" s="4"/>
      <c r="BK20" s="4">
        <f>1/0.8797</f>
        <v>1.1367511651699442</v>
      </c>
      <c r="BL20" s="16">
        <v>119.86</v>
      </c>
      <c r="BM20" s="16">
        <f>BL$34/BK20</f>
        <v>119.859125</v>
      </c>
      <c r="BN20" s="4"/>
      <c r="BO20" s="4">
        <f>1/0.885</f>
        <v>1.1299435028248588</v>
      </c>
      <c r="BP20" s="16">
        <v>120.68</v>
      </c>
      <c r="BQ20" s="16">
        <f>BP$34/BO20</f>
        <v>120.6786</v>
      </c>
      <c r="BR20" s="4"/>
      <c r="BS20" s="4">
        <f>1/0.8824</f>
        <v>1.1332728921124207</v>
      </c>
      <c r="BT20" s="16">
        <v>120.41</v>
      </c>
      <c r="BU20" s="16">
        <f>BT$34/BS20</f>
        <v>120.412304</v>
      </c>
      <c r="BV20" s="4"/>
      <c r="BW20" s="4">
        <f>1/0.8841</f>
        <v>1.1310937676733401</v>
      </c>
      <c r="BX20" s="16">
        <v>120.73</v>
      </c>
      <c r="BY20" s="16">
        <f>BX$34/BW20</f>
        <v>120.72385500000001</v>
      </c>
      <c r="BZ20" s="4"/>
      <c r="CA20" s="4">
        <f t="shared" si="0"/>
        <v>1.1232479584431436</v>
      </c>
      <c r="CB20" s="90">
        <f t="shared" si="1"/>
        <v>122.00947368421052</v>
      </c>
      <c r="CC20" s="90">
        <f t="shared" si="1"/>
        <v>122.00884152631582</v>
      </c>
      <c r="CD20" s="4"/>
      <c r="CE20" s="23"/>
      <c r="CF20" s="23"/>
      <c r="CG20" s="23"/>
      <c r="CH20" s="23"/>
      <c r="CI20" s="23"/>
      <c r="CJ20" s="42"/>
      <c r="CK20" s="42"/>
      <c r="CL20" s="23"/>
      <c r="CM20" s="23"/>
      <c r="CN20" s="23"/>
      <c r="CO20" s="23"/>
      <c r="CP20" s="23"/>
      <c r="CQ20" s="23"/>
      <c r="CR20" s="23"/>
      <c r="CS20" s="23"/>
      <c r="CT20" s="23"/>
      <c r="CU20" s="23"/>
      <c r="CV20" s="23"/>
      <c r="CW20" s="23"/>
      <c r="CX20" s="23"/>
      <c r="CY20" s="21"/>
    </row>
    <row r="21" spans="1:103" ht="12.75">
      <c r="A21" s="26">
        <v>10</v>
      </c>
      <c r="B21" s="27" t="s">
        <v>47</v>
      </c>
      <c r="C21" s="43">
        <v>276.3</v>
      </c>
      <c r="D21" s="44">
        <v>38282.45</v>
      </c>
      <c r="E21" s="44">
        <f>D$34*C21</f>
        <v>38281.365000000005</v>
      </c>
      <c r="F21" s="4"/>
      <c r="G21" s="4">
        <v>276</v>
      </c>
      <c r="H21" s="4">
        <v>38158.22</v>
      </c>
      <c r="I21" s="16">
        <f>H$34*G21</f>
        <v>38157</v>
      </c>
      <c r="J21" s="4"/>
      <c r="K21" s="4">
        <v>274.95</v>
      </c>
      <c r="L21" s="16">
        <v>37928.21</v>
      </c>
      <c r="M21" s="16">
        <f>L$34*K21</f>
        <v>37929.35249999999</v>
      </c>
      <c r="N21" s="4"/>
      <c r="O21" s="4">
        <v>274</v>
      </c>
      <c r="P21" s="16">
        <v>37827.83</v>
      </c>
      <c r="Q21" s="16">
        <f>P$34*O21</f>
        <v>37828.44</v>
      </c>
      <c r="R21" s="4"/>
      <c r="S21" s="4">
        <v>274.4</v>
      </c>
      <c r="T21" s="16">
        <v>37756.21</v>
      </c>
      <c r="U21" s="16">
        <f>T$34*S21</f>
        <v>37757.439999999995</v>
      </c>
      <c r="V21" s="4"/>
      <c r="W21" s="4">
        <v>271.7</v>
      </c>
      <c r="X21" s="16">
        <v>37250.45</v>
      </c>
      <c r="Y21" s="16">
        <f>X$34*W21</f>
        <v>37250.07</v>
      </c>
      <c r="Z21" s="4"/>
      <c r="AA21" s="4">
        <v>271.8</v>
      </c>
      <c r="AB21" s="16">
        <v>37261.16</v>
      </c>
      <c r="AC21" s="16">
        <f>AB$34*AA21</f>
        <v>37261.062000000005</v>
      </c>
      <c r="AD21" s="4"/>
      <c r="AE21" s="4">
        <v>271.8</v>
      </c>
      <c r="AF21" s="16">
        <v>37228.94</v>
      </c>
      <c r="AG21" s="16">
        <f>AF$34*AE21</f>
        <v>37228.446</v>
      </c>
      <c r="AH21" s="4"/>
      <c r="AI21" s="4">
        <v>274.2</v>
      </c>
      <c r="AJ21" s="16">
        <v>37514.6</v>
      </c>
      <c r="AK21" s="16">
        <f>AJ$34*AI21</f>
        <v>37513.301999999996</v>
      </c>
      <c r="AL21" s="4"/>
      <c r="AM21" s="4">
        <v>276.9</v>
      </c>
      <c r="AN21" s="16">
        <v>37831.21</v>
      </c>
      <c r="AO21" s="16">
        <f>AN$34*AM21</f>
        <v>37830.078</v>
      </c>
      <c r="AP21" s="4"/>
      <c r="AQ21" s="4">
        <v>279.2</v>
      </c>
      <c r="AR21" s="16">
        <v>38065.47</v>
      </c>
      <c r="AS21" s="16">
        <f>AR$34*AQ21</f>
        <v>38066.128</v>
      </c>
      <c r="AT21" s="4"/>
      <c r="AU21" s="4">
        <v>277.5</v>
      </c>
      <c r="AV21" s="16">
        <v>37918.31</v>
      </c>
      <c r="AW21" s="16">
        <f>AV$34*AU21</f>
        <v>37917.6</v>
      </c>
      <c r="AX21" s="4"/>
      <c r="AY21" s="4">
        <v>276</v>
      </c>
      <c r="AZ21" s="16">
        <v>37745.66</v>
      </c>
      <c r="BA21" s="16">
        <f>AZ$34*AY21</f>
        <v>37745.759999999995</v>
      </c>
      <c r="BB21" s="4"/>
      <c r="BC21" s="4">
        <v>277.5</v>
      </c>
      <c r="BD21" s="16">
        <v>38046.04</v>
      </c>
      <c r="BE21" s="16">
        <f>BD$34*BC21</f>
        <v>38045.25</v>
      </c>
      <c r="BF21" s="4"/>
      <c r="BG21" s="4">
        <v>277.8</v>
      </c>
      <c r="BH21" s="16">
        <v>37852.42</v>
      </c>
      <c r="BI21" s="16">
        <f>BH$34*BG21</f>
        <v>37853.028</v>
      </c>
      <c r="BJ21" s="4"/>
      <c r="BK21" s="4">
        <v>278.5</v>
      </c>
      <c r="BL21" s="16">
        <v>37945.78</v>
      </c>
      <c r="BM21" s="16">
        <f>BL$34*BK21</f>
        <v>37945.625</v>
      </c>
      <c r="BN21" s="4"/>
      <c r="BO21" s="4">
        <v>277.6</v>
      </c>
      <c r="BP21" s="16">
        <v>37853.77</v>
      </c>
      <c r="BQ21" s="16">
        <f>BP$34*BO21</f>
        <v>37853.53600000001</v>
      </c>
      <c r="BR21" s="4"/>
      <c r="BS21" s="4">
        <v>277.3</v>
      </c>
      <c r="BT21" s="16">
        <v>37840.52</v>
      </c>
      <c r="BU21" s="16">
        <f>BT$34*BS21</f>
        <v>37840.358</v>
      </c>
      <c r="BV21" s="4"/>
      <c r="BW21" s="4">
        <v>276.8</v>
      </c>
      <c r="BX21" s="16">
        <v>37798.1</v>
      </c>
      <c r="BY21" s="16">
        <f>BX$34*BW21</f>
        <v>37797.04000000001</v>
      </c>
      <c r="BZ21" s="4"/>
      <c r="CA21" s="4">
        <f t="shared" si="0"/>
        <v>275.8026315789474</v>
      </c>
      <c r="CB21" s="90">
        <f t="shared" si="1"/>
        <v>37795.018421052635</v>
      </c>
      <c r="CC21" s="90">
        <f t="shared" si="1"/>
        <v>37794.78318421053</v>
      </c>
      <c r="CD21" s="4"/>
      <c r="CE21" s="23"/>
      <c r="CF21" s="23"/>
      <c r="CG21" s="23"/>
      <c r="CH21" s="23"/>
      <c r="CI21" s="23"/>
      <c r="CJ21" s="42"/>
      <c r="CK21" s="42"/>
      <c r="CL21" s="23"/>
      <c r="CM21" s="23"/>
      <c r="CN21" s="23"/>
      <c r="CO21" s="23"/>
      <c r="CP21" s="23"/>
      <c r="CQ21" s="23"/>
      <c r="CR21" s="23"/>
      <c r="CS21" s="23"/>
      <c r="CT21" s="23"/>
      <c r="CU21" s="23"/>
      <c r="CV21" s="23"/>
      <c r="CW21" s="23"/>
      <c r="CX21" s="23"/>
      <c r="CY21" s="21"/>
    </row>
    <row r="22" spans="1:103" ht="12.75">
      <c r="A22" s="26">
        <v>11</v>
      </c>
      <c r="B22" s="28" t="s">
        <v>48</v>
      </c>
      <c r="C22" s="43">
        <v>4.22</v>
      </c>
      <c r="D22" s="44">
        <v>584.7</v>
      </c>
      <c r="E22" s="44">
        <f>D$34*C22</f>
        <v>584.681</v>
      </c>
      <c r="F22" s="4"/>
      <c r="G22" s="4">
        <v>4.2</v>
      </c>
      <c r="H22" s="4">
        <v>580.67</v>
      </c>
      <c r="I22" s="16">
        <f>H$34*G22</f>
        <v>580.65</v>
      </c>
      <c r="J22" s="4"/>
      <c r="K22" s="4">
        <v>4.14</v>
      </c>
      <c r="L22" s="16">
        <v>571.1</v>
      </c>
      <c r="M22" s="16">
        <f>L$34*K22</f>
        <v>571.1129999999999</v>
      </c>
      <c r="N22" s="4"/>
      <c r="O22" s="4">
        <v>4.23</v>
      </c>
      <c r="P22" s="16">
        <v>583.98</v>
      </c>
      <c r="Q22" s="16">
        <f>P$34*O22</f>
        <v>583.9938000000001</v>
      </c>
      <c r="R22" s="4"/>
      <c r="S22" s="4">
        <v>4.28</v>
      </c>
      <c r="T22" s="16">
        <v>588.91</v>
      </c>
      <c r="U22" s="16">
        <f>T$34*S22</f>
        <v>588.928</v>
      </c>
      <c r="V22" s="4"/>
      <c r="W22" s="4">
        <v>4.25</v>
      </c>
      <c r="X22" s="16">
        <v>582.68</v>
      </c>
      <c r="Y22" s="16">
        <f>X$34*W22</f>
        <v>582.675</v>
      </c>
      <c r="Z22" s="4"/>
      <c r="AA22" s="4">
        <v>4.28</v>
      </c>
      <c r="AB22" s="16">
        <v>586.75</v>
      </c>
      <c r="AC22" s="16">
        <f>AB$34*AA22</f>
        <v>586.7452000000001</v>
      </c>
      <c r="AD22" s="4"/>
      <c r="AE22" s="4">
        <v>4.28</v>
      </c>
      <c r="AF22" s="16">
        <v>586.24</v>
      </c>
      <c r="AG22" s="16">
        <f>AF$34*AE22</f>
        <v>586.2316000000001</v>
      </c>
      <c r="AH22" s="4"/>
      <c r="AI22" s="4">
        <v>4.28</v>
      </c>
      <c r="AJ22" s="16">
        <v>585.57</v>
      </c>
      <c r="AK22" s="16">
        <f>AJ$34*AI22</f>
        <v>585.5468000000001</v>
      </c>
      <c r="AL22" s="4"/>
      <c r="AM22" s="4">
        <v>4.38</v>
      </c>
      <c r="AN22" s="16">
        <v>598.41</v>
      </c>
      <c r="AO22" s="16">
        <f>AN$34*AM22</f>
        <v>598.3956000000001</v>
      </c>
      <c r="AP22" s="4"/>
      <c r="AQ22" s="4">
        <v>4.43</v>
      </c>
      <c r="AR22" s="16">
        <v>603.98</v>
      </c>
      <c r="AS22" s="16">
        <f>AR$34*AQ22</f>
        <v>603.9861999999999</v>
      </c>
      <c r="AT22" s="4"/>
      <c r="AU22" s="4">
        <v>4.4</v>
      </c>
      <c r="AV22" s="16">
        <v>601.23</v>
      </c>
      <c r="AW22" s="16">
        <f>AV$34*AU22</f>
        <v>601.216</v>
      </c>
      <c r="AX22" s="4"/>
      <c r="AY22" s="4">
        <v>4.44</v>
      </c>
      <c r="AZ22" s="16">
        <v>607.21</v>
      </c>
      <c r="BA22" s="16">
        <f>AZ$34*AY22</f>
        <v>607.2144000000001</v>
      </c>
      <c r="BB22" s="4"/>
      <c r="BC22" s="4">
        <v>4.51</v>
      </c>
      <c r="BD22" s="16">
        <v>618.33</v>
      </c>
      <c r="BE22" s="16">
        <f>BD$34*BC22</f>
        <v>618.3209999999999</v>
      </c>
      <c r="BF22" s="4"/>
      <c r="BG22" s="4">
        <v>4.53</v>
      </c>
      <c r="BH22" s="16">
        <v>617.25</v>
      </c>
      <c r="BI22" s="16">
        <f>BH$34*BG22</f>
        <v>617.2578</v>
      </c>
      <c r="BJ22" s="4"/>
      <c r="BK22" s="4">
        <v>4.53</v>
      </c>
      <c r="BL22" s="16">
        <v>617.21</v>
      </c>
      <c r="BM22" s="16">
        <f>BL$34*BK22</f>
        <v>617.2125</v>
      </c>
      <c r="BN22" s="4"/>
      <c r="BO22" s="4">
        <v>4.54</v>
      </c>
      <c r="BP22" s="16">
        <v>619.08</v>
      </c>
      <c r="BQ22" s="16">
        <f>BP$34*BO22</f>
        <v>619.0744000000001</v>
      </c>
      <c r="BR22" s="4"/>
      <c r="BS22" s="4">
        <v>4.5</v>
      </c>
      <c r="BT22" s="16">
        <v>614.07</v>
      </c>
      <c r="BU22" s="16">
        <f>BT$34*BS22</f>
        <v>614.07</v>
      </c>
      <c r="BV22" s="4"/>
      <c r="BW22" s="4">
        <v>4.52</v>
      </c>
      <c r="BX22" s="16">
        <v>617.22</v>
      </c>
      <c r="BY22" s="16">
        <f>BX$34*BW22</f>
        <v>617.206</v>
      </c>
      <c r="BZ22" s="4"/>
      <c r="CA22" s="4">
        <f t="shared" si="0"/>
        <v>4.365263157894737</v>
      </c>
      <c r="CB22" s="90">
        <f t="shared" si="1"/>
        <v>598.1363157894737</v>
      </c>
      <c r="CC22" s="90">
        <f t="shared" si="1"/>
        <v>598.132542105263</v>
      </c>
      <c r="CD22" s="4"/>
      <c r="CE22" s="23"/>
      <c r="CF22" s="23"/>
      <c r="CG22" s="23"/>
      <c r="CH22" s="23"/>
      <c r="CI22" s="23"/>
      <c r="CJ22" s="42"/>
      <c r="CK22" s="42"/>
      <c r="CL22" s="23"/>
      <c r="CM22" s="23"/>
      <c r="CN22" s="23"/>
      <c r="CO22" s="23"/>
      <c r="CP22" s="23"/>
      <c r="CQ22" s="23"/>
      <c r="CR22" s="23"/>
      <c r="CS22" s="23"/>
      <c r="CT22" s="23"/>
      <c r="CU22" s="23"/>
      <c r="CV22" s="23"/>
      <c r="CW22" s="23"/>
      <c r="CX22" s="23"/>
      <c r="CY22" s="21"/>
    </row>
    <row r="23" spans="1:103" ht="12.75">
      <c r="A23" s="26">
        <v>12</v>
      </c>
      <c r="B23" s="27" t="s">
        <v>49</v>
      </c>
      <c r="C23" s="43">
        <f>1/0.5179</f>
        <v>1.9308746862328634</v>
      </c>
      <c r="D23" s="44">
        <v>71.76</v>
      </c>
      <c r="E23" s="44">
        <f>D$34/C23</f>
        <v>71.75504500000001</v>
      </c>
      <c r="F23" s="4"/>
      <c r="G23" s="4">
        <f>1/0.5158</f>
        <v>1.9387359441644048</v>
      </c>
      <c r="H23" s="4">
        <v>71.31</v>
      </c>
      <c r="I23" s="16">
        <f>H$34/G23</f>
        <v>71.30935</v>
      </c>
      <c r="J23" s="4"/>
      <c r="K23" s="4">
        <f>1/0.5145</f>
        <v>1.9436345966958213</v>
      </c>
      <c r="L23" s="16">
        <v>70.97</v>
      </c>
      <c r="M23" s="16">
        <f>L$34/K23</f>
        <v>70.975275</v>
      </c>
      <c r="N23" s="4"/>
      <c r="O23" s="4">
        <f>1/0.5167</f>
        <v>1.9353590090961872</v>
      </c>
      <c r="P23" s="16">
        <v>71.33</v>
      </c>
      <c r="Q23" s="16">
        <f>P$34/O23</f>
        <v>71.33560200000001</v>
      </c>
      <c r="R23" s="4"/>
      <c r="S23" s="4">
        <f>1/0.5213</f>
        <v>1.918281220026856</v>
      </c>
      <c r="T23" s="16">
        <v>71.73</v>
      </c>
      <c r="U23" s="16">
        <f>T$34/S23</f>
        <v>71.73088</v>
      </c>
      <c r="V23" s="4"/>
      <c r="W23" s="4">
        <f>1/0.5145</f>
        <v>1.9436345966958213</v>
      </c>
      <c r="X23" s="16">
        <v>70.54</v>
      </c>
      <c r="Y23" s="16">
        <f>X$34/W23</f>
        <v>70.53795</v>
      </c>
      <c r="Z23" s="4"/>
      <c r="AA23" s="4">
        <f>1/0.5137</f>
        <v>1.9466614755693983</v>
      </c>
      <c r="AB23" s="16">
        <v>70.42</v>
      </c>
      <c r="AC23" s="16">
        <f>AB$34/AA23</f>
        <v>70.423133</v>
      </c>
      <c r="AD23" s="4"/>
      <c r="AE23" s="4">
        <f>1/0.5137</f>
        <v>1.9466614755693983</v>
      </c>
      <c r="AF23" s="16">
        <v>70.36</v>
      </c>
      <c r="AG23" s="16">
        <f>AF$34/AE23</f>
        <v>70.361489</v>
      </c>
      <c r="AH23" s="4"/>
      <c r="AI23" s="4">
        <f>1/0.5193</f>
        <v>1.9256691700365878</v>
      </c>
      <c r="AJ23" s="16">
        <v>71.05</v>
      </c>
      <c r="AK23" s="16">
        <f>AJ$34/AI23</f>
        <v>71.045433</v>
      </c>
      <c r="AL23" s="4"/>
      <c r="AM23" s="4">
        <f>1/0.5196</f>
        <v>1.9245573518090842</v>
      </c>
      <c r="AN23" s="16">
        <v>70.99</v>
      </c>
      <c r="AO23" s="16">
        <f>AN$34/AM23</f>
        <v>70.98775199999999</v>
      </c>
      <c r="AP23" s="4"/>
      <c r="AQ23" s="4">
        <f>1/0.5159</f>
        <v>1.938360147315371</v>
      </c>
      <c r="AR23" s="16">
        <v>70.34</v>
      </c>
      <c r="AS23" s="16">
        <f>AR$34/AQ23</f>
        <v>70.337806</v>
      </c>
      <c r="AT23" s="4"/>
      <c r="AU23" s="4">
        <f>1/0.5137</f>
        <v>1.9466614755693983</v>
      </c>
      <c r="AV23" s="16">
        <v>70.19</v>
      </c>
      <c r="AW23" s="16">
        <f>AV$34/AU23</f>
        <v>70.191968</v>
      </c>
      <c r="AX23" s="4"/>
      <c r="AY23" s="4">
        <f>1/0.5044</f>
        <v>1.9825535289452816</v>
      </c>
      <c r="AZ23" s="16">
        <v>68.98</v>
      </c>
      <c r="BA23" s="16">
        <f>AZ$34/AY23</f>
        <v>68.98174399999999</v>
      </c>
      <c r="BB23" s="4"/>
      <c r="BC23" s="4">
        <f>1/0.5065</f>
        <v>1.974333662388944</v>
      </c>
      <c r="BD23" s="16">
        <v>69.44</v>
      </c>
      <c r="BE23" s="16">
        <f>BD$34/BC23</f>
        <v>69.44115</v>
      </c>
      <c r="BF23" s="4"/>
      <c r="BG23" s="4">
        <f>1/0.5085</f>
        <v>1.9665683382497543</v>
      </c>
      <c r="BH23" s="16">
        <v>69.29</v>
      </c>
      <c r="BI23" s="16">
        <f>BH$34/BG23</f>
        <v>69.28820999999999</v>
      </c>
      <c r="BJ23" s="4"/>
      <c r="BK23" s="4">
        <f>1/0.5081</f>
        <v>1.96811651249754</v>
      </c>
      <c r="BL23" s="16">
        <v>69.23</v>
      </c>
      <c r="BM23" s="16">
        <f>BL$34/BK23</f>
        <v>69.228625</v>
      </c>
      <c r="BN23" s="4"/>
      <c r="BO23" s="4">
        <f>1/0.5073</f>
        <v>1.9712201852946976</v>
      </c>
      <c r="BP23" s="16">
        <v>69.18</v>
      </c>
      <c r="BQ23" s="16">
        <f>BP$34/BO23</f>
        <v>69.175428</v>
      </c>
      <c r="BR23" s="4"/>
      <c r="BS23" s="4">
        <f>1/0.5085</f>
        <v>1.9665683382497543</v>
      </c>
      <c r="BT23" s="16">
        <v>69.39</v>
      </c>
      <c r="BU23" s="16">
        <f>BT$34/BS23</f>
        <v>69.38991</v>
      </c>
      <c r="BV23" s="4"/>
      <c r="BW23" s="4">
        <f>1/0.511</f>
        <v>1.9569471624266144</v>
      </c>
      <c r="BX23" s="16">
        <v>69.78</v>
      </c>
      <c r="BY23" s="16">
        <f>BX$34/BW23</f>
        <v>69.77705</v>
      </c>
      <c r="BZ23" s="4"/>
      <c r="CA23" s="4">
        <f t="shared" si="0"/>
        <v>1.9487052040438833</v>
      </c>
      <c r="CB23" s="90">
        <f t="shared" si="1"/>
        <v>70.33052631578948</v>
      </c>
      <c r="CC23" s="90">
        <f t="shared" si="1"/>
        <v>70.33019999999999</v>
      </c>
      <c r="CD23" s="4"/>
      <c r="CE23" s="23"/>
      <c r="CF23" s="23"/>
      <c r="CG23" s="23"/>
      <c r="CH23" s="23"/>
      <c r="CI23" s="23"/>
      <c r="CJ23" s="42"/>
      <c r="CK23" s="42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1"/>
    </row>
    <row r="24" spans="1:103" ht="12.75">
      <c r="A24" s="26">
        <v>13</v>
      </c>
      <c r="B24" s="27" t="s">
        <v>50</v>
      </c>
      <c r="C24" s="43">
        <v>1.5765</v>
      </c>
      <c r="D24" s="44">
        <v>87.89</v>
      </c>
      <c r="E24" s="44">
        <f>D$34/C24</f>
        <v>87.88455439264193</v>
      </c>
      <c r="F24" s="4"/>
      <c r="G24" s="4">
        <v>1.5715</v>
      </c>
      <c r="H24" s="4">
        <v>87.98</v>
      </c>
      <c r="I24" s="16">
        <f>H$34/G24</f>
        <v>87.97327394209354</v>
      </c>
      <c r="J24" s="4"/>
      <c r="K24" s="4">
        <v>1.5742</v>
      </c>
      <c r="L24" s="16">
        <v>87.63</v>
      </c>
      <c r="M24" s="16">
        <f>L$34/K24</f>
        <v>87.631812984373</v>
      </c>
      <c r="N24" s="4"/>
      <c r="O24" s="4">
        <v>1.5719</v>
      </c>
      <c r="P24" s="16">
        <v>87.83</v>
      </c>
      <c r="Q24" s="16">
        <f>P$34/O24</f>
        <v>87.83001463197404</v>
      </c>
      <c r="R24" s="4"/>
      <c r="S24" s="4">
        <v>1.5731</v>
      </c>
      <c r="T24" s="16">
        <v>87.47</v>
      </c>
      <c r="U24" s="16">
        <f>T$34/S24</f>
        <v>87.47059945330875</v>
      </c>
      <c r="V24" s="4"/>
      <c r="W24" s="4">
        <v>1.5773</v>
      </c>
      <c r="X24" s="16">
        <v>86.92</v>
      </c>
      <c r="Y24" s="16">
        <f>X$34/W24</f>
        <v>86.92068725036455</v>
      </c>
      <c r="Z24" s="4"/>
      <c r="AA24" s="4">
        <v>1.5758</v>
      </c>
      <c r="AB24" s="16">
        <v>87</v>
      </c>
      <c r="AC24" s="16">
        <f>AB$34/AA24</f>
        <v>86.99708084782333</v>
      </c>
      <c r="AD24" s="4"/>
      <c r="AE24" s="4">
        <v>1.5758</v>
      </c>
      <c r="AF24" s="16">
        <v>86.92</v>
      </c>
      <c r="AG24" s="16">
        <f>AF$34/AE24</f>
        <v>86.92092905191014</v>
      </c>
      <c r="AH24" s="4"/>
      <c r="AI24" s="4">
        <v>1.5667</v>
      </c>
      <c r="AJ24" s="16">
        <v>87.33</v>
      </c>
      <c r="AK24" s="16">
        <f>AJ$34/AI24</f>
        <v>87.32367396438374</v>
      </c>
      <c r="AL24" s="4"/>
      <c r="AM24" s="4">
        <v>1.5644</v>
      </c>
      <c r="AN24" s="16">
        <v>87.33</v>
      </c>
      <c r="AO24" s="16">
        <f>AN$34/AM24</f>
        <v>87.33060598312453</v>
      </c>
      <c r="AP24" s="4"/>
      <c r="AQ24" s="4">
        <v>1.5735</v>
      </c>
      <c r="AR24" s="16">
        <v>86.65</v>
      </c>
      <c r="AS24" s="16">
        <f>AR$34/AQ24</f>
        <v>86.64760088973627</v>
      </c>
      <c r="AT24" s="4"/>
      <c r="AU24" s="4">
        <v>1.5738</v>
      </c>
      <c r="AV24" s="16">
        <v>86.82</v>
      </c>
      <c r="AW24" s="16">
        <f>AV$34/AU24</f>
        <v>86.82170542635657</v>
      </c>
      <c r="AX24" s="4"/>
      <c r="AY24" s="4">
        <v>1.5769</v>
      </c>
      <c r="AZ24" s="16">
        <v>86.73</v>
      </c>
      <c r="BA24" s="16">
        <f>AZ$34/AY24</f>
        <v>86.72712283594393</v>
      </c>
      <c r="BB24" s="4"/>
      <c r="BC24" s="4">
        <v>1.5805</v>
      </c>
      <c r="BD24" s="16">
        <v>86.75</v>
      </c>
      <c r="BE24" s="16">
        <f>BD$34/BC24</f>
        <v>86.74470104397342</v>
      </c>
      <c r="BF24" s="4"/>
      <c r="BG24" s="4">
        <v>1.5985</v>
      </c>
      <c r="BH24" s="16">
        <v>85.24</v>
      </c>
      <c r="BI24" s="16">
        <f>BH$34/BG24</f>
        <v>85.2424147638411</v>
      </c>
      <c r="BJ24" s="4"/>
      <c r="BK24" s="4">
        <v>1.5938</v>
      </c>
      <c r="BL24" s="16">
        <v>85.49</v>
      </c>
      <c r="BM24" s="16">
        <f>BL$34/BK24</f>
        <v>85.48751411720416</v>
      </c>
      <c r="BN24" s="4"/>
      <c r="BO24" s="4">
        <v>1.5962</v>
      </c>
      <c r="BP24" s="16">
        <v>85.43</v>
      </c>
      <c r="BQ24" s="16">
        <f>BP$34/BO24</f>
        <v>85.42789124169904</v>
      </c>
      <c r="BR24" s="4"/>
      <c r="BS24" s="4">
        <v>1.5977</v>
      </c>
      <c r="BT24" s="16">
        <v>85.41</v>
      </c>
      <c r="BU24" s="16">
        <f>BT$34/BS24</f>
        <v>85.41027727358079</v>
      </c>
      <c r="BV24" s="4"/>
      <c r="BW24" s="4">
        <v>1.5898</v>
      </c>
      <c r="BX24" s="16">
        <v>85.89</v>
      </c>
      <c r="BY24" s="16">
        <f>BX$34/BW24</f>
        <v>85.8913070826519</v>
      </c>
      <c r="BZ24" s="4"/>
      <c r="CA24" s="4">
        <f t="shared" si="0"/>
        <v>1.579363157894737</v>
      </c>
      <c r="CB24" s="90">
        <f t="shared" si="1"/>
        <v>86.7742105263158</v>
      </c>
      <c r="CC24" s="90">
        <f t="shared" si="1"/>
        <v>86.77282985142024</v>
      </c>
      <c r="CD24" s="4"/>
      <c r="CE24" s="23"/>
      <c r="CF24" s="23"/>
      <c r="CG24" s="23"/>
      <c r="CH24" s="23"/>
      <c r="CI24" s="23"/>
      <c r="CJ24" s="42"/>
      <c r="CK24" s="42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1"/>
    </row>
    <row r="25" spans="1:103" ht="12.75">
      <c r="A25" s="26">
        <v>14</v>
      </c>
      <c r="B25" s="27" t="s">
        <v>51</v>
      </c>
      <c r="C25" s="43">
        <v>15.4471</v>
      </c>
      <c r="D25" s="44">
        <v>8.97</v>
      </c>
      <c r="E25" s="44">
        <f>D$34/C25</f>
        <v>8.969321102342835</v>
      </c>
      <c r="F25" s="4"/>
      <c r="G25" s="4">
        <v>15.4402</v>
      </c>
      <c r="H25" s="4">
        <v>8.95</v>
      </c>
      <c r="I25" s="16">
        <f>H$34/G25</f>
        <v>8.953899560886516</v>
      </c>
      <c r="J25" s="4"/>
      <c r="K25" s="4">
        <v>15.4454</v>
      </c>
      <c r="L25" s="16">
        <v>8.93</v>
      </c>
      <c r="M25" s="16">
        <f>L$34/K25</f>
        <v>8.931461794450128</v>
      </c>
      <c r="N25" s="4"/>
      <c r="O25" s="4">
        <v>15.5081</v>
      </c>
      <c r="P25" s="16">
        <v>8.9</v>
      </c>
      <c r="Q25" s="16">
        <f>P$34/O25</f>
        <v>8.902444528988077</v>
      </c>
      <c r="R25" s="4"/>
      <c r="S25" s="4">
        <v>15.4645</v>
      </c>
      <c r="T25" s="16">
        <v>8.9</v>
      </c>
      <c r="U25" s="16">
        <f>T$34/S25</f>
        <v>8.897798182935109</v>
      </c>
      <c r="V25" s="4"/>
      <c r="W25" s="4">
        <v>15.4836</v>
      </c>
      <c r="X25" s="16">
        <v>8.85</v>
      </c>
      <c r="Y25" s="16">
        <f>X$34/W25</f>
        <v>8.8545299542742</v>
      </c>
      <c r="Z25" s="4"/>
      <c r="AA25" s="4">
        <v>15.4575</v>
      </c>
      <c r="AB25" s="16">
        <v>8.87</v>
      </c>
      <c r="AC25" s="16">
        <f>AB$34/AA25</f>
        <v>8.868833899401585</v>
      </c>
      <c r="AD25" s="4"/>
      <c r="AE25" s="4">
        <v>15.4575</v>
      </c>
      <c r="AF25" s="16">
        <v>8.86</v>
      </c>
      <c r="AG25" s="16">
        <f>AF$34/AE25</f>
        <v>8.861070677664564</v>
      </c>
      <c r="AH25" s="4"/>
      <c r="AI25" s="4">
        <v>15.3369</v>
      </c>
      <c r="AJ25" s="16">
        <v>8.92</v>
      </c>
      <c r="AK25" s="16">
        <f>AJ$34/AI25</f>
        <v>8.920316361194244</v>
      </c>
      <c r="AL25" s="4"/>
      <c r="AM25" s="4">
        <v>15.2502</v>
      </c>
      <c r="AN25" s="16">
        <v>8.96</v>
      </c>
      <c r="AO25" s="16">
        <f>AN$34/AM25</f>
        <v>8.958571035133966</v>
      </c>
      <c r="AP25" s="4"/>
      <c r="AQ25" s="4">
        <v>15.2587</v>
      </c>
      <c r="AR25" s="16">
        <v>8.94</v>
      </c>
      <c r="AS25" s="16">
        <f>AR$34/AQ25</f>
        <v>8.935230393152759</v>
      </c>
      <c r="AT25" s="4"/>
      <c r="AU25" s="4">
        <v>15.296</v>
      </c>
      <c r="AV25" s="16">
        <v>8.93</v>
      </c>
      <c r="AW25" s="16">
        <f>AV$34/AU25</f>
        <v>8.933054393305438</v>
      </c>
      <c r="AX25" s="4"/>
      <c r="AY25" s="4">
        <v>15.335</v>
      </c>
      <c r="AZ25" s="16">
        <v>8.92</v>
      </c>
      <c r="BA25" s="16">
        <f>AZ$34/AY25</f>
        <v>8.918161069448972</v>
      </c>
      <c r="BB25" s="4"/>
      <c r="BC25" s="4">
        <v>15.4714</v>
      </c>
      <c r="BD25" s="16">
        <v>8.86</v>
      </c>
      <c r="BE25" s="16">
        <f>BD$34/BC25</f>
        <v>8.861512209625502</v>
      </c>
      <c r="BF25" s="4"/>
      <c r="BG25" s="4">
        <v>15.6688</v>
      </c>
      <c r="BH25" s="16">
        <v>8.7</v>
      </c>
      <c r="BI25" s="16">
        <f>BH$34/BG25</f>
        <v>8.696262636577147</v>
      </c>
      <c r="BJ25" s="4"/>
      <c r="BK25" s="4">
        <v>15.642</v>
      </c>
      <c r="BL25" s="16">
        <v>8.71</v>
      </c>
      <c r="BM25" s="16">
        <f>BL$34/BK25</f>
        <v>8.710522951029281</v>
      </c>
      <c r="BN25" s="4"/>
      <c r="BO25" s="4">
        <v>15.5484</v>
      </c>
      <c r="BP25" s="16">
        <v>8.77</v>
      </c>
      <c r="BQ25" s="16">
        <f>BP$34/BO25</f>
        <v>8.77003421573924</v>
      </c>
      <c r="BR25" s="4"/>
      <c r="BS25" s="4">
        <v>15.5942</v>
      </c>
      <c r="BT25" s="16">
        <v>8.75</v>
      </c>
      <c r="BU25" s="16">
        <f>BT$34/BS25</f>
        <v>8.750689358864193</v>
      </c>
      <c r="BV25" s="4"/>
      <c r="BW25" s="4">
        <v>15.5642</v>
      </c>
      <c r="BX25" s="16">
        <v>8.77</v>
      </c>
      <c r="BY25" s="16">
        <f>BX$34/BW25</f>
        <v>8.773338816000823</v>
      </c>
      <c r="BZ25" s="4"/>
      <c r="CA25" s="4">
        <f t="shared" si="0"/>
        <v>15.456300000000002</v>
      </c>
      <c r="CB25" s="90">
        <f t="shared" si="1"/>
        <v>8.866315789473685</v>
      </c>
      <c r="CC25" s="90">
        <f t="shared" si="1"/>
        <v>8.866687007421818</v>
      </c>
      <c r="CD25" s="4"/>
      <c r="CE25" s="23"/>
      <c r="CF25" s="23"/>
      <c r="CG25" s="23"/>
      <c r="CH25" s="23"/>
      <c r="CI25" s="23"/>
      <c r="CJ25" s="42"/>
      <c r="CK25" s="42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3"/>
      <c r="CX25" s="23"/>
      <c r="CY25" s="21"/>
    </row>
    <row r="26" spans="1:103" ht="12.75">
      <c r="A26" s="26">
        <v>15</v>
      </c>
      <c r="B26" s="27" t="s">
        <v>64</v>
      </c>
      <c r="C26" s="43">
        <v>186.7827</v>
      </c>
      <c r="D26" s="44">
        <v>74.18</v>
      </c>
      <c r="E26" s="44">
        <f>D$34/C26*100</f>
        <v>74.1771052672437</v>
      </c>
      <c r="F26" s="4"/>
      <c r="G26" s="4">
        <v>186.6988</v>
      </c>
      <c r="H26" s="44">
        <v>74.05</v>
      </c>
      <c r="I26" s="44">
        <f>H$34/G26*100</f>
        <v>74.04975286397128</v>
      </c>
      <c r="J26" s="4"/>
      <c r="K26" s="4">
        <v>186.7617</v>
      </c>
      <c r="L26" s="16">
        <v>73.86</v>
      </c>
      <c r="M26" s="44">
        <f>L$34/K26*100</f>
        <v>73.86418093217185</v>
      </c>
      <c r="N26" s="4"/>
      <c r="O26" s="4">
        <v>187.5194</v>
      </c>
      <c r="P26" s="16">
        <v>73.62</v>
      </c>
      <c r="Q26" s="44">
        <f>P$34/O26*100</f>
        <v>73.62438233057486</v>
      </c>
      <c r="R26" s="4"/>
      <c r="S26" s="4">
        <v>186.9926</v>
      </c>
      <c r="T26" s="16">
        <v>73.58</v>
      </c>
      <c r="U26" s="44">
        <f>T$34/S26*100</f>
        <v>73.58579965196483</v>
      </c>
      <c r="V26" s="4"/>
      <c r="W26" s="4">
        <v>187.224</v>
      </c>
      <c r="X26" s="16">
        <v>73.23</v>
      </c>
      <c r="Y26" s="44">
        <f>X$34/W26*100</f>
        <v>73.22779130880657</v>
      </c>
      <c r="Z26" s="4"/>
      <c r="AA26" s="4">
        <v>186.9086</v>
      </c>
      <c r="AB26" s="16">
        <v>73.35</v>
      </c>
      <c r="AC26" s="44">
        <f>AB$34/AA26*100</f>
        <v>73.34600976092057</v>
      </c>
      <c r="AD26" s="4"/>
      <c r="AE26" s="4">
        <v>186.9086</v>
      </c>
      <c r="AF26" s="41">
        <v>73.28</v>
      </c>
      <c r="AG26" s="44">
        <f>AF$34/AE26*100</f>
        <v>73.28180725766498</v>
      </c>
      <c r="AH26" s="4"/>
      <c r="AI26" s="4">
        <v>185.4503</v>
      </c>
      <c r="AJ26" s="16">
        <v>73.77</v>
      </c>
      <c r="AK26" s="44">
        <f>AJ$34/AI26*100</f>
        <v>73.77178683453195</v>
      </c>
      <c r="AL26" s="4"/>
      <c r="AM26" s="4">
        <v>184.4021</v>
      </c>
      <c r="AN26" s="16">
        <v>74.09</v>
      </c>
      <c r="AO26" s="44">
        <f>AN$34/AM26*100</f>
        <v>74.0880933568544</v>
      </c>
      <c r="AP26" s="4"/>
      <c r="AQ26" s="4">
        <v>184.5043</v>
      </c>
      <c r="AR26" s="16">
        <v>73.89</v>
      </c>
      <c r="AS26" s="44">
        <f>AR$34/AQ26*100</f>
        <v>73.89529674918145</v>
      </c>
      <c r="AT26" s="4"/>
      <c r="AU26" s="4">
        <v>184.9555</v>
      </c>
      <c r="AV26" s="16">
        <v>73.88</v>
      </c>
      <c r="AW26" s="44">
        <f>AV$34/AU26*100</f>
        <v>73.87722992828004</v>
      </c>
      <c r="AX26" s="4"/>
      <c r="AY26" s="4">
        <v>185.409</v>
      </c>
      <c r="AZ26" s="16">
        <v>73.76</v>
      </c>
      <c r="BA26" s="44">
        <f>AZ$34/AY26*100</f>
        <v>73.76125215065072</v>
      </c>
      <c r="BB26" s="4"/>
      <c r="BC26" s="4">
        <v>187.0767</v>
      </c>
      <c r="BD26" s="16">
        <v>73.29</v>
      </c>
      <c r="BE26" s="44">
        <f>BD$34/BC26*100</f>
        <v>73.28544923018207</v>
      </c>
      <c r="BF26" s="4"/>
      <c r="BG26" s="4">
        <v>189.4625</v>
      </c>
      <c r="BH26" s="16">
        <v>71.92</v>
      </c>
      <c r="BI26" s="44">
        <f>BH$34/BG26*100</f>
        <v>71.91924523322557</v>
      </c>
      <c r="BJ26" s="4"/>
      <c r="BK26" s="4">
        <v>189.1395</v>
      </c>
      <c r="BL26" s="16">
        <v>72.04</v>
      </c>
      <c r="BM26" s="44">
        <f>BL$34/BK26*100</f>
        <v>72.03677708781085</v>
      </c>
      <c r="BN26" s="4"/>
      <c r="BO26" s="4">
        <v>188.0068</v>
      </c>
      <c r="BP26" s="16">
        <v>72.53</v>
      </c>
      <c r="BQ26" s="44">
        <f>BP$34/BO26*100</f>
        <v>72.52929149371194</v>
      </c>
      <c r="BR26" s="4"/>
      <c r="BS26" s="4">
        <v>188.5607</v>
      </c>
      <c r="BT26" s="16">
        <v>72.37</v>
      </c>
      <c r="BU26" s="44">
        <f>BT$34/BS26*100</f>
        <v>72.36926888794962</v>
      </c>
      <c r="BV26" s="4"/>
      <c r="BW26" s="4">
        <v>188.1982</v>
      </c>
      <c r="BX26" s="16">
        <v>72.56</v>
      </c>
      <c r="BY26" s="44">
        <f>BX$34/BW26*100</f>
        <v>72.55648566245586</v>
      </c>
      <c r="BZ26" s="4"/>
      <c r="CA26" s="4">
        <f t="shared" si="0"/>
        <v>186.89273684210528</v>
      </c>
      <c r="CB26" s="90">
        <f t="shared" si="1"/>
        <v>73.32894736842105</v>
      </c>
      <c r="CC26" s="90">
        <f t="shared" si="1"/>
        <v>73.32878978885017</v>
      </c>
      <c r="CD26" s="4"/>
      <c r="CE26" s="23"/>
      <c r="CF26" s="23"/>
      <c r="CG26" s="23"/>
      <c r="CH26" s="23"/>
      <c r="CI26" s="23"/>
      <c r="CJ26" s="42"/>
      <c r="CK26" s="48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1"/>
    </row>
    <row r="27" spans="1:103" ht="12.75">
      <c r="A27" s="26">
        <v>16</v>
      </c>
      <c r="B27" s="27" t="s">
        <v>53</v>
      </c>
      <c r="C27" s="43">
        <v>10.7212</v>
      </c>
      <c r="D27" s="44">
        <v>12.92</v>
      </c>
      <c r="E27" s="44">
        <f>D$34/C27</f>
        <v>12.922993694735666</v>
      </c>
      <c r="F27" s="4"/>
      <c r="G27" s="4">
        <v>10.6529</v>
      </c>
      <c r="H27" s="4">
        <v>12.98</v>
      </c>
      <c r="I27" s="16">
        <f>H$34/G27</f>
        <v>12.977686827061175</v>
      </c>
      <c r="J27" s="4"/>
      <c r="K27" s="4">
        <v>10.5891</v>
      </c>
      <c r="L27" s="16">
        <v>13.03</v>
      </c>
      <c r="M27" s="16">
        <f>L$34/K27</f>
        <v>13.027547194756872</v>
      </c>
      <c r="N27" s="4"/>
      <c r="O27" s="4">
        <v>10.5405</v>
      </c>
      <c r="P27" s="16">
        <v>13.1</v>
      </c>
      <c r="Q27" s="16">
        <f>P$34/O27</f>
        <v>13.098050377116836</v>
      </c>
      <c r="R27" s="4"/>
      <c r="S27" s="4">
        <v>10.4981</v>
      </c>
      <c r="T27" s="16">
        <v>13.11</v>
      </c>
      <c r="U27" s="16">
        <f>T$34/S27</f>
        <v>13.107133671807278</v>
      </c>
      <c r="V27" s="4"/>
      <c r="W27" s="4">
        <v>10.5035</v>
      </c>
      <c r="X27" s="16">
        <v>13.05</v>
      </c>
      <c r="Y27" s="16">
        <f>X$34/W27</f>
        <v>13.052791926500689</v>
      </c>
      <c r="Z27" s="4"/>
      <c r="AA27" s="4">
        <v>10.5281</v>
      </c>
      <c r="AB27" s="16">
        <v>13.02</v>
      </c>
      <c r="AC27" s="16">
        <f>AB$34/AA27</f>
        <v>13.021342882381436</v>
      </c>
      <c r="AD27" s="4"/>
      <c r="AE27" s="4">
        <v>10.5281</v>
      </c>
      <c r="AF27" s="16">
        <v>13.01</v>
      </c>
      <c r="AG27" s="16">
        <f>AF$34/AE27</f>
        <v>13.009944814353966</v>
      </c>
      <c r="AH27" s="4"/>
      <c r="AI27" s="4">
        <v>10.4507</v>
      </c>
      <c r="AJ27" s="16">
        <v>13.09</v>
      </c>
      <c r="AK27" s="16">
        <f>AJ$34/AI27</f>
        <v>13.090989120346006</v>
      </c>
      <c r="AL27" s="4"/>
      <c r="AM27" s="4">
        <v>10.5089</v>
      </c>
      <c r="AN27" s="16">
        <v>13</v>
      </c>
      <c r="AO27" s="16">
        <f>AN$34/AM27</f>
        <v>13.000409176983318</v>
      </c>
      <c r="AP27" s="4"/>
      <c r="AQ27" s="4">
        <v>10.471</v>
      </c>
      <c r="AR27" s="16">
        <v>13.02</v>
      </c>
      <c r="AS27" s="16">
        <f>AR$34/AQ27</f>
        <v>13.02072390411613</v>
      </c>
      <c r="AT27" s="4"/>
      <c r="AU27" s="4">
        <v>10.5023</v>
      </c>
      <c r="AV27" s="16">
        <v>13.01</v>
      </c>
      <c r="AW27" s="16">
        <f>AV$34/AU27</f>
        <v>13.010483417917978</v>
      </c>
      <c r="AX27" s="4"/>
      <c r="AY27" s="4">
        <v>10.5901</v>
      </c>
      <c r="AZ27" s="16">
        <v>12.91</v>
      </c>
      <c r="BA27" s="16">
        <f>AZ$34/AY27</f>
        <v>12.913947932502998</v>
      </c>
      <c r="BB27" s="4"/>
      <c r="BC27" s="4">
        <v>10.6281</v>
      </c>
      <c r="BD27" s="16">
        <v>12.9</v>
      </c>
      <c r="BE27" s="16">
        <f>BD$34/BC27</f>
        <v>12.899765715414796</v>
      </c>
      <c r="BF27" s="4"/>
      <c r="BG27" s="4">
        <v>10.795</v>
      </c>
      <c r="BH27" s="16">
        <v>12.62</v>
      </c>
      <c r="BI27" s="16">
        <f>BH$34/BG27</f>
        <v>12.62251042149143</v>
      </c>
      <c r="BJ27" s="4"/>
      <c r="BK27" s="4">
        <v>10.8011</v>
      </c>
      <c r="BL27" s="16">
        <v>12.61</v>
      </c>
      <c r="BM27" s="16">
        <f>BL$34/BK27</f>
        <v>12.614455935043653</v>
      </c>
      <c r="BN27" s="4"/>
      <c r="BO27" s="4">
        <v>10.6715</v>
      </c>
      <c r="BP27" s="16">
        <v>12.78</v>
      </c>
      <c r="BQ27" s="16">
        <f>BP$34/BO27</f>
        <v>12.777959986880946</v>
      </c>
      <c r="BR27" s="4"/>
      <c r="BS27" s="4">
        <v>10.582</v>
      </c>
      <c r="BT27" s="16">
        <v>12.9</v>
      </c>
      <c r="BU27" s="16">
        <f>BT$34/BS27</f>
        <v>12.895482895482896</v>
      </c>
      <c r="BV27" s="4"/>
      <c r="BW27" s="4">
        <v>10.514</v>
      </c>
      <c r="BX27" s="16">
        <v>12.99</v>
      </c>
      <c r="BY27" s="16">
        <f>BX$34/BW27</f>
        <v>12.987445311013888</v>
      </c>
      <c r="BZ27" s="4"/>
      <c r="CA27" s="4">
        <f t="shared" si="0"/>
        <v>10.582957894736841</v>
      </c>
      <c r="CB27" s="90">
        <f t="shared" si="1"/>
        <v>12.950000000000001</v>
      </c>
      <c r="CC27" s="90">
        <f t="shared" si="1"/>
        <v>12.950087642416207</v>
      </c>
      <c r="CD27" s="4"/>
      <c r="CE27" s="23"/>
      <c r="CF27" s="23"/>
      <c r="CG27" s="23"/>
      <c r="CH27" s="23"/>
      <c r="CI27" s="23"/>
      <c r="CJ27" s="42"/>
      <c r="CK27" s="42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1"/>
    </row>
    <row r="28" spans="1:103" ht="12.75">
      <c r="A28" s="26">
        <v>17</v>
      </c>
      <c r="B28" s="27" t="s">
        <v>54</v>
      </c>
      <c r="C28" s="43">
        <v>8.9667</v>
      </c>
      <c r="D28" s="44">
        <v>15.45</v>
      </c>
      <c r="E28" s="44">
        <f>D$34/C28</f>
        <v>15.45161542150401</v>
      </c>
      <c r="F28" s="4"/>
      <c r="G28" s="4">
        <v>8.9701</v>
      </c>
      <c r="H28" s="4">
        <v>15.41</v>
      </c>
      <c r="I28" s="16">
        <f>H$34/G28</f>
        <v>15.41231424398836</v>
      </c>
      <c r="J28" s="4"/>
      <c r="K28" s="4">
        <v>8.9765</v>
      </c>
      <c r="L28" s="16">
        <v>15.37</v>
      </c>
      <c r="M28" s="16">
        <f>L$34/K28</f>
        <v>15.367905085501029</v>
      </c>
      <c r="N28" s="4"/>
      <c r="O28" s="4">
        <v>8.993</v>
      </c>
      <c r="P28" s="16">
        <v>15.35</v>
      </c>
      <c r="Q28" s="16">
        <f>P$34/O28</f>
        <v>15.3519403980874</v>
      </c>
      <c r="R28" s="4"/>
      <c r="S28" s="4">
        <v>8.968</v>
      </c>
      <c r="T28" s="16">
        <v>15.34</v>
      </c>
      <c r="U28" s="16">
        <f>T$34/S28</f>
        <v>15.343443354148082</v>
      </c>
      <c r="V28" s="4"/>
      <c r="W28" s="4">
        <v>9.0009</v>
      </c>
      <c r="X28" s="16">
        <v>15.23</v>
      </c>
      <c r="Y28" s="16">
        <f>X$34/W28</f>
        <v>15.2318101523181</v>
      </c>
      <c r="Z28" s="4"/>
      <c r="AA28" s="4">
        <v>8.9894</v>
      </c>
      <c r="AB28" s="16">
        <v>15.25</v>
      </c>
      <c r="AC28" s="16">
        <f>AB$34/AA28</f>
        <v>15.250183549513872</v>
      </c>
      <c r="AD28" s="4"/>
      <c r="AE28" s="4">
        <v>8.9894</v>
      </c>
      <c r="AF28" s="16">
        <v>15.24</v>
      </c>
      <c r="AG28" s="16">
        <f>AF$34/AE28</f>
        <v>15.236834493959552</v>
      </c>
      <c r="AH28" s="4"/>
      <c r="AI28" s="4">
        <v>8.9393</v>
      </c>
      <c r="AJ28" s="16">
        <v>15.3</v>
      </c>
      <c r="AK28" s="16">
        <f>AJ$34/AI28</f>
        <v>15.304330316691464</v>
      </c>
      <c r="AL28" s="4"/>
      <c r="AM28" s="4">
        <v>8.8803</v>
      </c>
      <c r="AN28" s="16">
        <v>15.39</v>
      </c>
      <c r="AO28" s="16">
        <f>AN$34/AM28</f>
        <v>15.384615384615385</v>
      </c>
      <c r="AP28" s="4"/>
      <c r="AQ28" s="4">
        <v>8.8538</v>
      </c>
      <c r="AR28" s="16">
        <v>15.4</v>
      </c>
      <c r="AS28" s="16">
        <f>AR$34/AQ28</f>
        <v>15.399037701325986</v>
      </c>
      <c r="AT28" s="4"/>
      <c r="AU28" s="4">
        <v>8.8852</v>
      </c>
      <c r="AV28" s="16">
        <v>15.38</v>
      </c>
      <c r="AW28" s="16">
        <f>AV$34/AU28</f>
        <v>15.378382028541845</v>
      </c>
      <c r="AX28" s="4"/>
      <c r="AY28" s="4">
        <v>8.9084</v>
      </c>
      <c r="AZ28" s="16">
        <v>15.35</v>
      </c>
      <c r="BA28" s="16">
        <f>AZ$34/AY28</f>
        <v>15.35180279286965</v>
      </c>
      <c r="BB28" s="4"/>
      <c r="BC28" s="4">
        <v>8.9614</v>
      </c>
      <c r="BD28" s="16">
        <v>15.3</v>
      </c>
      <c r="BE28" s="16">
        <f>BD$34/BC28</f>
        <v>15.298948824960386</v>
      </c>
      <c r="BF28" s="4"/>
      <c r="BG28" s="4">
        <v>9.0934</v>
      </c>
      <c r="BH28" s="16">
        <v>14.98</v>
      </c>
      <c r="BI28" s="16">
        <f>BH$34/BG28</f>
        <v>14.984494248575889</v>
      </c>
      <c r="BJ28" s="4"/>
      <c r="BK28" s="4">
        <v>9.042</v>
      </c>
      <c r="BL28" s="16">
        <v>15.07</v>
      </c>
      <c r="BM28" s="16">
        <f>BL$34/BK28</f>
        <v>15.068568900685689</v>
      </c>
      <c r="BN28" s="4"/>
      <c r="BO28" s="4">
        <v>9.0102</v>
      </c>
      <c r="BP28" s="16">
        <v>15.13</v>
      </c>
      <c r="BQ28" s="16">
        <f>BP$34/BO28</f>
        <v>15.133959290581787</v>
      </c>
      <c r="BR28" s="4"/>
      <c r="BS28" s="4">
        <v>9.0246</v>
      </c>
      <c r="BT28" s="16">
        <v>15.12</v>
      </c>
      <c r="BU28" s="16">
        <f>BT$34/BS28</f>
        <v>15.12089178467744</v>
      </c>
      <c r="BV28" s="4"/>
      <c r="BW28" s="4">
        <v>9.0103</v>
      </c>
      <c r="BX28" s="16">
        <v>15.16</v>
      </c>
      <c r="BY28" s="16">
        <f>BX$34/BW28</f>
        <v>15.154878305938759</v>
      </c>
      <c r="BZ28" s="4"/>
      <c r="CA28" s="4">
        <f t="shared" si="0"/>
        <v>8.97173157894737</v>
      </c>
      <c r="CB28" s="90">
        <f>(+D28+H28+L28+P28+T28+X28+AB28+AF28+AJ28+AN28+AR28+AV28+AZ28+BD28+BH28+BL28+BP28+BT28+BX28)/19</f>
        <v>15.274736842105265</v>
      </c>
      <c r="CC28" s="90">
        <f>(+E28+I28+M28+Q28+U28+Y28+AC28+AG28+AK28+AO28+AS28+AW28+BA28+BE28+BI28+BM28+BQ28+BU28+BY28)/19</f>
        <v>15.275050330446565</v>
      </c>
      <c r="CD28" s="4"/>
      <c r="CE28" s="23"/>
      <c r="CF28" s="23"/>
      <c r="CG28" s="23"/>
      <c r="CH28" s="23"/>
      <c r="CI28" s="23"/>
      <c r="CJ28" s="42"/>
      <c r="CK28" s="42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1"/>
    </row>
    <row r="29" spans="1:103" ht="12.75">
      <c r="A29" s="26">
        <v>18</v>
      </c>
      <c r="B29" s="27" t="s">
        <v>55</v>
      </c>
      <c r="C29" s="43">
        <v>8.3562</v>
      </c>
      <c r="D29" s="44">
        <v>16.58</v>
      </c>
      <c r="E29" s="44">
        <f>D$34/C29</f>
        <v>16.580503099494987</v>
      </c>
      <c r="F29" s="4"/>
      <c r="G29" s="4">
        <v>8.3492</v>
      </c>
      <c r="H29" s="4">
        <v>16.56</v>
      </c>
      <c r="I29" s="16">
        <f>H$34/G29</f>
        <v>16.558472668040054</v>
      </c>
      <c r="J29" s="4"/>
      <c r="K29" s="4">
        <v>8.3503</v>
      </c>
      <c r="L29" s="16">
        <v>16.52</v>
      </c>
      <c r="M29" s="16">
        <f>L$34/K29</f>
        <v>16.520364537801033</v>
      </c>
      <c r="N29" s="4"/>
      <c r="O29" s="4">
        <v>8.3843</v>
      </c>
      <c r="P29" s="16">
        <v>16.47</v>
      </c>
      <c r="Q29" s="16">
        <f>P$34/O29</f>
        <v>16.466490941402384</v>
      </c>
      <c r="R29" s="4"/>
      <c r="S29" s="4">
        <v>8.3627</v>
      </c>
      <c r="T29" s="16">
        <v>16.45</v>
      </c>
      <c r="U29" s="16">
        <f>T$34/S29</f>
        <v>16.45401604744879</v>
      </c>
      <c r="V29" s="4"/>
      <c r="W29" s="4">
        <v>8.3755</v>
      </c>
      <c r="X29" s="16">
        <v>16.37</v>
      </c>
      <c r="Y29" s="16">
        <f>X$34/W29</f>
        <v>16.369171989731953</v>
      </c>
      <c r="Z29" s="4"/>
      <c r="AA29" s="4">
        <v>8.3607</v>
      </c>
      <c r="AB29" s="16">
        <v>16.4</v>
      </c>
      <c r="AC29" s="16">
        <f>AB$34/AA29</f>
        <v>16.396952408291174</v>
      </c>
      <c r="AD29" s="4"/>
      <c r="AE29" s="4">
        <v>8.3607</v>
      </c>
      <c r="AF29" s="16">
        <v>16.38</v>
      </c>
      <c r="AG29" s="16">
        <f>AF$34/AE29</f>
        <v>16.382599543100458</v>
      </c>
      <c r="AH29" s="4"/>
      <c r="AI29" s="4">
        <v>8.301</v>
      </c>
      <c r="AJ29" s="16">
        <v>16.48</v>
      </c>
      <c r="AK29" s="16">
        <f>AJ$34/AI29</f>
        <v>16.481146849777137</v>
      </c>
      <c r="AL29" s="4"/>
      <c r="AM29" s="4">
        <v>8.2448</v>
      </c>
      <c r="AN29" s="16">
        <v>16.57</v>
      </c>
      <c r="AO29" s="16">
        <f>AN$34/AM29</f>
        <v>16.57044440131962</v>
      </c>
      <c r="AP29" s="4"/>
      <c r="AQ29" s="4">
        <v>8.246</v>
      </c>
      <c r="AR29" s="16">
        <v>16.53</v>
      </c>
      <c r="AS29" s="16">
        <f>AR$34/AQ29</f>
        <v>16.53407712830463</v>
      </c>
      <c r="AT29" s="4"/>
      <c r="AU29" s="4">
        <v>8.2652</v>
      </c>
      <c r="AV29" s="16">
        <v>16.53</v>
      </c>
      <c r="AW29" s="16">
        <f>AV$34/AU29</f>
        <v>16.531965348690896</v>
      </c>
      <c r="AX29" s="4"/>
      <c r="AY29" s="4">
        <v>8.2901</v>
      </c>
      <c r="AZ29" s="16">
        <v>16.5</v>
      </c>
      <c r="BA29" s="16">
        <f>AZ$34/AY29</f>
        <v>16.49678532225184</v>
      </c>
      <c r="BB29" s="4"/>
      <c r="BC29" s="4">
        <v>8.3638</v>
      </c>
      <c r="BD29" s="16">
        <v>16.39</v>
      </c>
      <c r="BE29" s="16">
        <f>BD$34/BC29</f>
        <v>16.39207058992324</v>
      </c>
      <c r="BF29" s="4"/>
      <c r="BG29" s="4">
        <v>8.471</v>
      </c>
      <c r="BH29" s="16">
        <v>16.09</v>
      </c>
      <c r="BI29" s="16">
        <f>BH$34/BG29</f>
        <v>16.085468067524495</v>
      </c>
      <c r="BJ29" s="4"/>
      <c r="BK29" s="4">
        <v>8.44</v>
      </c>
      <c r="BL29" s="16">
        <v>16.14</v>
      </c>
      <c r="BM29" s="16">
        <f>BL$34/BK29</f>
        <v>16.143364928909953</v>
      </c>
      <c r="BN29" s="4"/>
      <c r="BO29" s="4">
        <v>8.402</v>
      </c>
      <c r="BP29" s="16">
        <v>16.23</v>
      </c>
      <c r="BQ29" s="16">
        <f>BP$34/BO29</f>
        <v>16.22946917400619</v>
      </c>
      <c r="BR29" s="4"/>
      <c r="BS29" s="4">
        <v>8.4246</v>
      </c>
      <c r="BT29" s="16">
        <v>16.2</v>
      </c>
      <c r="BU29" s="16">
        <f>BT$34/BS29</f>
        <v>16.19780167604397</v>
      </c>
      <c r="BV29" s="4"/>
      <c r="BW29" s="4">
        <v>8.4068</v>
      </c>
      <c r="BX29" s="16">
        <v>16.24</v>
      </c>
      <c r="BY29" s="16">
        <f>BX$34/BW29</f>
        <v>16.242803444830376</v>
      </c>
      <c r="BZ29" s="4"/>
      <c r="CA29" s="4">
        <f aca="true" t="shared" si="2" ref="CA29:CD34">(+C29+G29+K29+O29+S29+W29+AA29+AE29+AI29+AM29+AQ29+AU29+AY29+BC29+BG29+BK29+BO29+BS29+BW29)/19</f>
        <v>8.355521052631579</v>
      </c>
      <c r="CB29" s="90">
        <f t="shared" si="2"/>
        <v>16.40157894736842</v>
      </c>
      <c r="CC29" s="90">
        <f t="shared" si="2"/>
        <v>16.401787798257534</v>
      </c>
      <c r="CD29" s="4"/>
      <c r="CE29" s="23"/>
      <c r="CF29" s="23"/>
      <c r="CG29" s="23"/>
      <c r="CH29" s="23"/>
      <c r="CI29" s="23"/>
      <c r="CJ29" s="42"/>
      <c r="CK29" s="42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1"/>
    </row>
    <row r="30" spans="1:103" ht="12.75">
      <c r="A30" s="26">
        <v>19</v>
      </c>
      <c r="B30" s="27" t="s">
        <v>56</v>
      </c>
      <c r="C30" s="43">
        <v>6.6746</v>
      </c>
      <c r="D30" s="44">
        <v>20.76</v>
      </c>
      <c r="E30" s="44">
        <f>D$34/C30</f>
        <v>20.75779822011806</v>
      </c>
      <c r="F30" s="4"/>
      <c r="G30" s="4">
        <v>6.6716</v>
      </c>
      <c r="H30" s="4">
        <v>20.72</v>
      </c>
      <c r="I30" s="16">
        <f>H$34/G30</f>
        <v>20.72216559745788</v>
      </c>
      <c r="J30" s="4"/>
      <c r="K30" s="4">
        <v>6.6738</v>
      </c>
      <c r="L30" s="16">
        <v>20.67</v>
      </c>
      <c r="M30" s="16">
        <f>L$34/K30</f>
        <v>20.67038269052114</v>
      </c>
      <c r="N30" s="4"/>
      <c r="O30" s="4">
        <v>6.7009</v>
      </c>
      <c r="P30" s="16">
        <v>20.6</v>
      </c>
      <c r="Q30" s="16">
        <f>P$34/O30</f>
        <v>20.60320255488069</v>
      </c>
      <c r="R30" s="4"/>
      <c r="S30" s="4">
        <v>6.6821</v>
      </c>
      <c r="T30" s="16">
        <v>20.59</v>
      </c>
      <c r="U30" s="16">
        <f>T$34/S30</f>
        <v>20.59232875892309</v>
      </c>
      <c r="V30" s="4"/>
      <c r="W30" s="4">
        <v>6.6904</v>
      </c>
      <c r="X30" s="16">
        <v>20.49</v>
      </c>
      <c r="Y30" s="16">
        <f>X$34/W30</f>
        <v>20.492048308023435</v>
      </c>
      <c r="Z30" s="4"/>
      <c r="AA30" s="4">
        <v>6.6791</v>
      </c>
      <c r="AB30" s="16">
        <v>20.53</v>
      </c>
      <c r="AC30" s="16">
        <f>AB$34/AA30</f>
        <v>20.52522046383495</v>
      </c>
      <c r="AD30" s="4"/>
      <c r="AE30" s="4">
        <v>6.6791</v>
      </c>
      <c r="AF30" s="16">
        <v>20.51</v>
      </c>
      <c r="AG30" s="16">
        <f>AF$34/AE30</f>
        <v>20.507253971343445</v>
      </c>
      <c r="AH30" s="4"/>
      <c r="AI30" s="4">
        <v>6.627</v>
      </c>
      <c r="AJ30" s="16">
        <v>20.65</v>
      </c>
      <c r="AK30" s="16">
        <f>AJ$34/AI30</f>
        <v>20.64433378602686</v>
      </c>
      <c r="AL30" s="4"/>
      <c r="AM30" s="4">
        <v>6.5895</v>
      </c>
      <c r="AN30" s="16">
        <v>20.73</v>
      </c>
      <c r="AO30" s="16">
        <f>AN$34/AM30</f>
        <v>20.732984293193716</v>
      </c>
      <c r="AP30" s="4"/>
      <c r="AQ30" s="4">
        <v>6.5932</v>
      </c>
      <c r="AR30" s="16">
        <v>20.68</v>
      </c>
      <c r="AS30" s="16">
        <f>AR$34/AQ30</f>
        <v>20.678881271613175</v>
      </c>
      <c r="AT30" s="4"/>
      <c r="AU30" s="4">
        <v>6.6093</v>
      </c>
      <c r="AV30" s="16">
        <v>20.67</v>
      </c>
      <c r="AW30" s="16">
        <f>AV$34/AU30</f>
        <v>20.673898900034796</v>
      </c>
      <c r="AX30" s="4"/>
      <c r="AY30" s="4">
        <v>6.6255</v>
      </c>
      <c r="AZ30" s="16">
        <v>20.64</v>
      </c>
      <c r="BA30" s="16">
        <f>AZ$34/AY30</f>
        <v>20.641461021809675</v>
      </c>
      <c r="BB30" s="4"/>
      <c r="BC30" s="4">
        <v>6.6851</v>
      </c>
      <c r="BD30" s="16">
        <v>20.51</v>
      </c>
      <c r="BE30" s="16">
        <f>BD$34/BC30</f>
        <v>20.508294565526317</v>
      </c>
      <c r="BF30" s="4"/>
      <c r="BG30" s="4">
        <v>6.7704</v>
      </c>
      <c r="BH30" s="16">
        <v>20.13</v>
      </c>
      <c r="BI30" s="16">
        <f>BH$34/BG30</f>
        <v>20.125841900035446</v>
      </c>
      <c r="BJ30" s="4"/>
      <c r="BK30" s="4">
        <v>6.7588</v>
      </c>
      <c r="BL30" s="16">
        <v>20.16</v>
      </c>
      <c r="BM30" s="16">
        <f>BL$34/BK30</f>
        <v>20.15890394744629</v>
      </c>
      <c r="BN30" s="4"/>
      <c r="BO30" s="4">
        <v>6.7183</v>
      </c>
      <c r="BP30" s="16">
        <v>20.3</v>
      </c>
      <c r="BQ30" s="16">
        <f>BP$34/BO30</f>
        <v>20.29680127413185</v>
      </c>
      <c r="BR30" s="4"/>
      <c r="BS30" s="4">
        <v>6.7381</v>
      </c>
      <c r="BT30" s="16">
        <v>20.25</v>
      </c>
      <c r="BU30" s="16">
        <f>BT$34/BS30</f>
        <v>20.251999821908253</v>
      </c>
      <c r="BV30" s="4"/>
      <c r="BW30" s="4">
        <v>6.7252</v>
      </c>
      <c r="BX30" s="16">
        <v>20.3</v>
      </c>
      <c r="BY30" s="16">
        <f>BX$34/BW30</f>
        <v>20.304228870516862</v>
      </c>
      <c r="BZ30" s="4"/>
      <c r="CA30" s="4">
        <f t="shared" si="2"/>
        <v>6.678526315789473</v>
      </c>
      <c r="CB30" s="90">
        <f t="shared" si="2"/>
        <v>20.520526315789475</v>
      </c>
      <c r="CC30" s="90">
        <f t="shared" si="2"/>
        <v>20.520422643018208</v>
      </c>
      <c r="CD30" s="4"/>
      <c r="CE30" s="23"/>
      <c r="CF30" s="23"/>
      <c r="CG30" s="23"/>
      <c r="CH30" s="23"/>
      <c r="CI30" s="23"/>
      <c r="CJ30" s="42"/>
      <c r="CK30" s="42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1"/>
    </row>
    <row r="31" spans="1:103" ht="12.75">
      <c r="A31" s="26">
        <v>20</v>
      </c>
      <c r="B31" s="27" t="s">
        <v>57</v>
      </c>
      <c r="C31" s="43">
        <v>225.0584</v>
      </c>
      <c r="D31" s="44">
        <v>61.56</v>
      </c>
      <c r="E31" s="44">
        <f>D$34/C31*100</f>
        <v>61.56179907081896</v>
      </c>
      <c r="F31" s="4"/>
      <c r="G31" s="4">
        <v>224.9574</v>
      </c>
      <c r="H31" s="4">
        <v>61.46</v>
      </c>
      <c r="I31" s="16">
        <f>H$34/G31*100</f>
        <v>61.456080128948855</v>
      </c>
      <c r="J31" s="4"/>
      <c r="K31" s="4">
        <v>225.0331</v>
      </c>
      <c r="L31" s="16">
        <v>61.3</v>
      </c>
      <c r="M31" s="16">
        <f>L$34/K31*100</f>
        <v>61.30209289211231</v>
      </c>
      <c r="N31" s="4"/>
      <c r="O31" s="4">
        <v>225.9461</v>
      </c>
      <c r="P31" s="16">
        <v>61.1</v>
      </c>
      <c r="Q31" s="16">
        <f>P$34/O31*100</f>
        <v>61.10306838666389</v>
      </c>
      <c r="R31" s="4"/>
      <c r="S31" s="4">
        <v>225.3113</v>
      </c>
      <c r="T31" s="16">
        <v>61.07</v>
      </c>
      <c r="U31" s="16">
        <f>T$34/S31*100</f>
        <v>61.07106035072365</v>
      </c>
      <c r="V31" s="4"/>
      <c r="W31" s="4">
        <v>225.5902</v>
      </c>
      <c r="X31" s="16">
        <v>60.77</v>
      </c>
      <c r="Y31" s="16">
        <f>X$34/W31*100</f>
        <v>60.77391659744084</v>
      </c>
      <c r="Z31" s="4"/>
      <c r="AA31" s="4">
        <v>225.2101</v>
      </c>
      <c r="AB31" s="16">
        <v>60.87</v>
      </c>
      <c r="AC31" s="16">
        <f>AB$34/AA31*100</f>
        <v>60.87204792325033</v>
      </c>
      <c r="AD31" s="4"/>
      <c r="AE31" s="4">
        <v>225.2101</v>
      </c>
      <c r="AF31" s="16">
        <v>60.82</v>
      </c>
      <c r="AG31" s="16">
        <f>AF$34/AE31*100</f>
        <v>60.818764344938344</v>
      </c>
      <c r="AH31" s="4"/>
      <c r="AI31" s="4">
        <v>223.453</v>
      </c>
      <c r="AJ31" s="16">
        <v>61.23</v>
      </c>
      <c r="AK31" s="16">
        <f>AJ$34/AI31*100</f>
        <v>61.2254031049035</v>
      </c>
      <c r="AL31" s="4"/>
      <c r="AM31" s="4">
        <v>222.19</v>
      </c>
      <c r="AN31" s="16">
        <v>61.49</v>
      </c>
      <c r="AO31" s="16">
        <f>AN$34/AM31*100</f>
        <v>61.487915747783426</v>
      </c>
      <c r="AP31" s="4"/>
      <c r="AQ31" s="4">
        <v>222.3132</v>
      </c>
      <c r="AR31" s="16">
        <v>61.33</v>
      </c>
      <c r="AS31" s="16">
        <f>AR$34/AQ31*100</f>
        <v>61.327892360867466</v>
      </c>
      <c r="AT31" s="4"/>
      <c r="AU31" s="4">
        <v>222.8568</v>
      </c>
      <c r="AV31" s="16">
        <v>61.31</v>
      </c>
      <c r="AW31" s="16">
        <f>AV$34/AU31*100</f>
        <v>61.31291484038181</v>
      </c>
      <c r="AX31" s="4"/>
      <c r="AY31" s="4">
        <v>223.4032</v>
      </c>
      <c r="AZ31" s="16">
        <v>61.22</v>
      </c>
      <c r="BA31" s="16">
        <f>AZ$34/AY31*100</f>
        <v>61.21667012827031</v>
      </c>
      <c r="BB31" s="4"/>
      <c r="BC31" s="4">
        <v>225.4126</v>
      </c>
      <c r="BD31" s="16">
        <v>60.82</v>
      </c>
      <c r="BE31" s="16">
        <f>BD$34/BC31*100</f>
        <v>60.82179966869642</v>
      </c>
      <c r="BF31" s="4"/>
      <c r="BG31" s="4">
        <v>228.2874</v>
      </c>
      <c r="BH31" s="16">
        <v>59.69</v>
      </c>
      <c r="BI31" s="16">
        <f>BH$34/BG31*100</f>
        <v>59.687919701218725</v>
      </c>
      <c r="BJ31" s="4"/>
      <c r="BK31" s="4">
        <v>227.8981</v>
      </c>
      <c r="BL31" s="16">
        <v>59.79</v>
      </c>
      <c r="BM31" s="16">
        <f>BL$34/BK31*100</f>
        <v>59.78549184920805</v>
      </c>
      <c r="BN31" s="4"/>
      <c r="BO31" s="4">
        <v>226.5333</v>
      </c>
      <c r="BP31" s="16">
        <v>60.19</v>
      </c>
      <c r="BQ31" s="16">
        <f>BP$34/BO31*100</f>
        <v>60.19424075842272</v>
      </c>
      <c r="BR31" s="4"/>
      <c r="BS31" s="4">
        <v>227.2008</v>
      </c>
      <c r="BT31" s="16">
        <v>60.06</v>
      </c>
      <c r="BU31" s="16">
        <f>BT$34/BS31*100</f>
        <v>60.06140823447805</v>
      </c>
      <c r="BV31" s="4"/>
      <c r="BW31" s="4">
        <v>226.7639</v>
      </c>
      <c r="BX31" s="16">
        <v>60.22</v>
      </c>
      <c r="BY31" s="16">
        <f>BX$34/BW31*100</f>
        <v>60.21681581592132</v>
      </c>
      <c r="BZ31" s="4"/>
      <c r="CA31" s="4">
        <f t="shared" si="2"/>
        <v>225.19100000000003</v>
      </c>
      <c r="CB31" s="90">
        <f t="shared" si="2"/>
        <v>60.857894736842105</v>
      </c>
      <c r="CC31" s="90">
        <f t="shared" si="2"/>
        <v>60.85775273184468</v>
      </c>
      <c r="CD31" s="4"/>
      <c r="CE31" s="23"/>
      <c r="CF31" s="23"/>
      <c r="CG31" s="23"/>
      <c r="CH31" s="23"/>
      <c r="CI31" s="23"/>
      <c r="CJ31" s="42"/>
      <c r="CK31" s="42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1"/>
    </row>
    <row r="32" spans="1:103" ht="12.75">
      <c r="A32" s="26">
        <v>21</v>
      </c>
      <c r="B32" s="27" t="s">
        <v>58</v>
      </c>
      <c r="C32" s="43">
        <f>1/1.267</f>
        <v>0.7892659826361484</v>
      </c>
      <c r="D32" s="44">
        <v>175.55</v>
      </c>
      <c r="E32" s="44">
        <f>D$34/C32</f>
        <v>175.54285</v>
      </c>
      <c r="F32" s="4"/>
      <c r="G32" s="43">
        <f>1/1.26625</f>
        <v>0.7897334649555774</v>
      </c>
      <c r="H32" s="16">
        <v>175.06</v>
      </c>
      <c r="I32" s="16">
        <f>H$34/G32</f>
        <v>175.0590625</v>
      </c>
      <c r="J32" s="4"/>
      <c r="K32" s="4">
        <f>1/1.26594</f>
        <v>0.7899268527734331</v>
      </c>
      <c r="L32" s="16">
        <v>174.63</v>
      </c>
      <c r="M32" s="16">
        <f>L$34/K32</f>
        <v>174.636423</v>
      </c>
      <c r="N32" s="4"/>
      <c r="O32" s="4">
        <f>1/1.26249</f>
        <v>0.792085481865203</v>
      </c>
      <c r="P32" s="16">
        <v>174.3</v>
      </c>
      <c r="Q32" s="16">
        <f>P$34/O32</f>
        <v>174.2993694</v>
      </c>
      <c r="R32" s="4"/>
      <c r="S32" s="4">
        <f>1/1.2651</f>
        <v>0.790451347719548</v>
      </c>
      <c r="T32" s="16">
        <v>174.07</v>
      </c>
      <c r="U32" s="16">
        <f>T$34/S32</f>
        <v>174.07775999999998</v>
      </c>
      <c r="V32" s="4"/>
      <c r="W32" s="4">
        <f>1/1.26284</f>
        <v>0.7918659529314878</v>
      </c>
      <c r="X32" s="16">
        <v>173.14</v>
      </c>
      <c r="Y32" s="16">
        <f>X$34/W32</f>
        <v>173.13536399999998</v>
      </c>
      <c r="Z32" s="4"/>
      <c r="AA32" s="4">
        <f>1/1.26394</f>
        <v>0.7911767963669161</v>
      </c>
      <c r="AB32" s="16">
        <v>173.27</v>
      </c>
      <c r="AC32" s="16">
        <f>AB$34/AA32</f>
        <v>173.27353460000003</v>
      </c>
      <c r="AD32" s="4"/>
      <c r="AE32" s="4">
        <f>1/1.26394</f>
        <v>0.7911767963669161</v>
      </c>
      <c r="AF32" s="16">
        <v>173.12</v>
      </c>
      <c r="AG32" s="16">
        <f>AF$34/AE32</f>
        <v>173.1218618</v>
      </c>
      <c r="AH32" s="4"/>
      <c r="AI32" s="4">
        <f>1/1.26765</f>
        <v>0.7888612787441329</v>
      </c>
      <c r="AJ32" s="16">
        <v>173.43</v>
      </c>
      <c r="AK32" s="16">
        <f>AJ$34/AI32</f>
        <v>173.42719649999998</v>
      </c>
      <c r="AL32" s="4"/>
      <c r="AM32" s="4">
        <f>1/1.26923</f>
        <v>0.7878792653813729</v>
      </c>
      <c r="AN32" s="16">
        <v>173.41</v>
      </c>
      <c r="AO32" s="16">
        <f>AN$34/AM32</f>
        <v>173.40220260000004</v>
      </c>
      <c r="AP32" s="4"/>
      <c r="AQ32" s="4">
        <f>1/1.26836</f>
        <v>0.7884196915702167</v>
      </c>
      <c r="AR32" s="16">
        <v>172.93</v>
      </c>
      <c r="AS32" s="16">
        <f>AR$34/AQ32</f>
        <v>172.92820239999998</v>
      </c>
      <c r="AT32" s="4"/>
      <c r="AU32" s="4">
        <f>1/1.26536</f>
        <v>0.7902889296326737</v>
      </c>
      <c r="AV32" s="16">
        <v>172.9</v>
      </c>
      <c r="AW32" s="16">
        <f>AV$34/AU32</f>
        <v>172.89879039999997</v>
      </c>
      <c r="AX32" s="4"/>
      <c r="AY32" s="4">
        <f>1/1.26487</f>
        <v>0.7905950809174066</v>
      </c>
      <c r="AZ32" s="16">
        <v>172.98</v>
      </c>
      <c r="BA32" s="16">
        <f>AZ$34/AY32</f>
        <v>172.9836212</v>
      </c>
      <c r="BB32" s="4"/>
      <c r="BC32" s="4">
        <f>1/1.26235</f>
        <v>0.7921733275240622</v>
      </c>
      <c r="BD32" s="16">
        <v>173.07</v>
      </c>
      <c r="BE32" s="16">
        <f>BD$34/BC32</f>
        <v>173.068185</v>
      </c>
      <c r="BF32" s="4"/>
      <c r="BG32" s="4">
        <f>1/1.26235</f>
        <v>0.7921733275240622</v>
      </c>
      <c r="BH32" s="16">
        <v>172.01</v>
      </c>
      <c r="BI32" s="16">
        <f>BH$34/BG32</f>
        <v>172.007811</v>
      </c>
      <c r="BJ32" s="4"/>
      <c r="BK32" s="4">
        <f>1/1.267</f>
        <v>0.7892659826361484</v>
      </c>
      <c r="BL32" s="16">
        <v>172.63</v>
      </c>
      <c r="BM32" s="16">
        <f>BL$34/BK32</f>
        <v>172.62875</v>
      </c>
      <c r="BN32" s="4"/>
      <c r="BO32" s="4">
        <f>1/1.26235</f>
        <v>0.7921733275240622</v>
      </c>
      <c r="BP32" s="16">
        <v>172.14</v>
      </c>
      <c r="BQ32" s="16">
        <f>BP$34/BO32</f>
        <v>172.13404600000004</v>
      </c>
      <c r="BR32" s="4"/>
      <c r="BS32" s="4">
        <f>1/1.25447</f>
        <v>0.7971493937678861</v>
      </c>
      <c r="BT32" s="16">
        <v>171.19</v>
      </c>
      <c r="BU32" s="16">
        <f>BT$34/BS32</f>
        <v>171.1849762</v>
      </c>
      <c r="BV32" s="4"/>
      <c r="BW32" s="4">
        <f>1/1.25562</f>
        <v>0.7964192988324493</v>
      </c>
      <c r="BX32" s="16">
        <v>171.46</v>
      </c>
      <c r="BY32" s="16">
        <f>BX$34/BW32</f>
        <v>171.454911</v>
      </c>
      <c r="BZ32" s="4"/>
      <c r="CA32" s="4">
        <f t="shared" si="2"/>
        <v>0.7911095568247213</v>
      </c>
      <c r="CB32" s="90">
        <f t="shared" si="2"/>
        <v>173.22578947368422</v>
      </c>
      <c r="CC32" s="90">
        <f t="shared" si="2"/>
        <v>173.22446934736843</v>
      </c>
      <c r="CD32" s="4"/>
      <c r="CE32" s="23"/>
      <c r="CF32" s="23"/>
      <c r="CG32" s="23"/>
      <c r="CH32" s="23"/>
      <c r="CI32" s="23"/>
      <c r="CJ32" s="42"/>
      <c r="CK32" s="42"/>
      <c r="CL32" s="23"/>
      <c r="CM32" s="23"/>
      <c r="CN32" s="23"/>
      <c r="CO32" s="23"/>
      <c r="CP32" s="23"/>
      <c r="CQ32" s="23"/>
      <c r="CR32" s="23"/>
      <c r="CS32" s="23"/>
      <c r="CT32" s="23"/>
      <c r="CU32" s="23"/>
      <c r="CV32" s="23"/>
      <c r="CW32" s="23"/>
      <c r="CX32" s="23"/>
      <c r="CY32" s="21"/>
    </row>
    <row r="33" spans="1:103" ht="12.75">
      <c r="A33" s="26">
        <v>22</v>
      </c>
      <c r="B33" s="27" t="s">
        <v>59</v>
      </c>
      <c r="C33" s="43">
        <v>382.5213</v>
      </c>
      <c r="D33" s="44">
        <v>36.22</v>
      </c>
      <c r="E33" s="44">
        <f>D$34/C33*100</f>
        <v>36.220205253929656</v>
      </c>
      <c r="F33" s="4"/>
      <c r="G33" s="4">
        <v>382.3496</v>
      </c>
      <c r="H33" s="16">
        <v>36.16</v>
      </c>
      <c r="I33" s="16">
        <f>H$34/G33*100</f>
        <v>36.15800827305691</v>
      </c>
      <c r="J33" s="4"/>
      <c r="K33" s="4">
        <v>382.4784</v>
      </c>
      <c r="L33" s="16">
        <v>36.07</v>
      </c>
      <c r="M33" s="16">
        <f>L$34/K33*100</f>
        <v>36.06739622420507</v>
      </c>
      <c r="N33" s="4"/>
      <c r="O33" s="4">
        <v>384.0302</v>
      </c>
      <c r="P33" s="16">
        <v>35.95</v>
      </c>
      <c r="Q33" s="16">
        <f>P$34/O33*100</f>
        <v>35.95029765888204</v>
      </c>
      <c r="R33" s="4"/>
      <c r="S33" s="4">
        <v>382.9512</v>
      </c>
      <c r="T33" s="16">
        <v>35.93</v>
      </c>
      <c r="U33" s="16">
        <f>T$34/S33*100</f>
        <v>35.93147116394987</v>
      </c>
      <c r="V33" s="4"/>
      <c r="W33" s="4">
        <v>383.4252</v>
      </c>
      <c r="X33" s="16">
        <v>35.76</v>
      </c>
      <c r="Y33" s="16">
        <f>X$34/W33*100</f>
        <v>35.75664823282351</v>
      </c>
      <c r="Z33" s="4"/>
      <c r="AA33" s="4">
        <v>382.7792</v>
      </c>
      <c r="AB33" s="16">
        <v>35.81</v>
      </c>
      <c r="AC33" s="16">
        <f>AB$34/AA33*100</f>
        <v>35.814380718701535</v>
      </c>
      <c r="AD33" s="4"/>
      <c r="AE33" s="4">
        <v>382.7792</v>
      </c>
      <c r="AF33" s="16">
        <v>35.78</v>
      </c>
      <c r="AG33" s="16">
        <f>AF$34/AE33*100</f>
        <v>35.78303105288897</v>
      </c>
      <c r="AH33" s="4"/>
      <c r="AI33" s="4">
        <v>379.7927</v>
      </c>
      <c r="AJ33" s="16">
        <v>36.02</v>
      </c>
      <c r="AK33" s="16">
        <f>AJ$34/AI33*100</f>
        <v>36.02228268210526</v>
      </c>
      <c r="AL33" s="4"/>
      <c r="AM33" s="4">
        <v>377.646</v>
      </c>
      <c r="AN33" s="16">
        <v>36.18</v>
      </c>
      <c r="AO33" s="16">
        <f>AN$34/AM33*100</f>
        <v>36.176736944122275</v>
      </c>
      <c r="AP33" s="4"/>
      <c r="AQ33" s="4">
        <v>377.8554</v>
      </c>
      <c r="AR33" s="16">
        <v>36.08</v>
      </c>
      <c r="AS33" s="16">
        <f>AR$34/AQ33*100</f>
        <v>36.08258608981108</v>
      </c>
      <c r="AT33" s="4"/>
      <c r="AU33" s="23">
        <v>378.7795</v>
      </c>
      <c r="AV33" s="16">
        <v>36.07</v>
      </c>
      <c r="AW33" s="16">
        <f>AV$34/AU33*100</f>
        <v>36.073757951525884</v>
      </c>
      <c r="AX33" s="4"/>
      <c r="AY33" s="4">
        <v>379.708</v>
      </c>
      <c r="AZ33" s="16">
        <v>36.02</v>
      </c>
      <c r="BA33" s="16">
        <f>AZ$34/AY33*100</f>
        <v>36.0171500205421</v>
      </c>
      <c r="BB33" s="4"/>
      <c r="BC33" s="4">
        <v>383.1235</v>
      </c>
      <c r="BD33" s="16">
        <v>35.79</v>
      </c>
      <c r="BE33" s="16">
        <f>BD$34/BC33*100</f>
        <v>35.78480568276287</v>
      </c>
      <c r="BF33" s="4"/>
      <c r="BG33" s="4">
        <v>388.0096</v>
      </c>
      <c r="BH33" s="16">
        <v>35.12</v>
      </c>
      <c r="BI33" s="16">
        <f>BH$34/BG33*100</f>
        <v>35.11768780978615</v>
      </c>
      <c r="BJ33" s="4"/>
      <c r="BK33" s="4">
        <v>387.348</v>
      </c>
      <c r="BL33" s="16">
        <v>35.18</v>
      </c>
      <c r="BM33" s="16">
        <f>BL$34/BK33*100</f>
        <v>35.17508803453225</v>
      </c>
      <c r="BN33" s="4"/>
      <c r="BO33" s="4">
        <v>385.0282</v>
      </c>
      <c r="BP33" s="16">
        <v>35.42</v>
      </c>
      <c r="BQ33" s="16">
        <f>BP$34/BO33*100</f>
        <v>35.41558774136544</v>
      </c>
      <c r="BR33" s="4"/>
      <c r="BS33" s="4">
        <v>386.1627</v>
      </c>
      <c r="BT33" s="16">
        <v>35.34</v>
      </c>
      <c r="BU33" s="16">
        <f>BT$34/BS33*100</f>
        <v>35.33743678506495</v>
      </c>
      <c r="BV33" s="4"/>
      <c r="BW33" s="4">
        <v>385.4202</v>
      </c>
      <c r="BX33" s="16">
        <v>35.43</v>
      </c>
      <c r="BY33" s="16">
        <f>BX$34/BW33*100</f>
        <v>35.42886439268103</v>
      </c>
      <c r="BZ33" s="4"/>
      <c r="CA33" s="4">
        <f t="shared" si="2"/>
        <v>382.74674210526314</v>
      </c>
      <c r="CB33" s="90">
        <f t="shared" si="2"/>
        <v>35.80684210526315</v>
      </c>
      <c r="CC33" s="90">
        <f t="shared" si="2"/>
        <v>35.80596961645983</v>
      </c>
      <c r="CD33" s="4">
        <f t="shared" si="2"/>
        <v>0</v>
      </c>
      <c r="CE33" s="23"/>
      <c r="CF33" s="23"/>
      <c r="CG33" s="23"/>
      <c r="CH33" s="23"/>
      <c r="CI33" s="23"/>
      <c r="CJ33" s="42"/>
      <c r="CK33" s="42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1"/>
    </row>
    <row r="34" spans="1:103" ht="13.5" thickBot="1">
      <c r="A34" s="29">
        <v>23</v>
      </c>
      <c r="B34" s="30" t="s">
        <v>60</v>
      </c>
      <c r="C34" s="45">
        <v>1</v>
      </c>
      <c r="D34" s="46">
        <v>138.55</v>
      </c>
      <c r="E34" s="47">
        <f>D$34/C34</f>
        <v>138.55</v>
      </c>
      <c r="F34" s="13"/>
      <c r="G34" s="13">
        <v>1</v>
      </c>
      <c r="H34" s="39">
        <v>138.25</v>
      </c>
      <c r="I34" s="40">
        <f>H$34/G34</f>
        <v>138.25</v>
      </c>
      <c r="J34" s="13"/>
      <c r="K34" s="13">
        <v>1</v>
      </c>
      <c r="L34" s="39">
        <v>137.95</v>
      </c>
      <c r="M34" s="40">
        <f>L$34/K34</f>
        <v>137.95</v>
      </c>
      <c r="N34" s="13"/>
      <c r="O34" s="13">
        <v>1</v>
      </c>
      <c r="P34" s="39">
        <v>138.06</v>
      </c>
      <c r="Q34" s="40">
        <f>P$34/O34</f>
        <v>138.06</v>
      </c>
      <c r="R34" s="13"/>
      <c r="S34" s="13">
        <v>1</v>
      </c>
      <c r="T34" s="39">
        <v>137.6</v>
      </c>
      <c r="U34" s="40">
        <f>T$34/S34</f>
        <v>137.6</v>
      </c>
      <c r="V34" s="13"/>
      <c r="W34" s="13">
        <v>1</v>
      </c>
      <c r="X34" s="39">
        <v>137.1</v>
      </c>
      <c r="Y34" s="40">
        <f>X$34/W34</f>
        <v>137.1</v>
      </c>
      <c r="Z34" s="13"/>
      <c r="AA34" s="13">
        <v>1</v>
      </c>
      <c r="AB34" s="39">
        <v>137.09</v>
      </c>
      <c r="AC34" s="40">
        <f>AB$34/AA34</f>
        <v>137.09</v>
      </c>
      <c r="AD34" s="13"/>
      <c r="AE34" s="13">
        <v>1</v>
      </c>
      <c r="AF34" s="39">
        <v>136.97</v>
      </c>
      <c r="AG34" s="40">
        <f>AF$34/AE34</f>
        <v>136.97</v>
      </c>
      <c r="AH34" s="13"/>
      <c r="AI34" s="13">
        <v>1</v>
      </c>
      <c r="AJ34" s="39">
        <v>136.81</v>
      </c>
      <c r="AK34" s="40">
        <f>AJ$34/AI34</f>
        <v>136.81</v>
      </c>
      <c r="AL34" s="13"/>
      <c r="AM34" s="13">
        <v>1</v>
      </c>
      <c r="AN34" s="39">
        <v>136.62</v>
      </c>
      <c r="AO34" s="40">
        <f>AN$34/AM34</f>
        <v>136.62</v>
      </c>
      <c r="AP34" s="13"/>
      <c r="AQ34" s="13">
        <v>1</v>
      </c>
      <c r="AR34" s="39">
        <v>136.34</v>
      </c>
      <c r="AS34" s="40">
        <f>AR$34/AQ34</f>
        <v>136.34</v>
      </c>
      <c r="AT34" s="13"/>
      <c r="AU34" s="13">
        <v>1</v>
      </c>
      <c r="AV34" s="39">
        <v>136.64</v>
      </c>
      <c r="AW34" s="40">
        <f>AV$34/AU34</f>
        <v>136.64</v>
      </c>
      <c r="AX34" s="13"/>
      <c r="AY34" s="13">
        <v>1</v>
      </c>
      <c r="AZ34" s="39">
        <v>136.76</v>
      </c>
      <c r="BA34" s="40">
        <f>AZ$34/AY34</f>
        <v>136.76</v>
      </c>
      <c r="BB34" s="13"/>
      <c r="BC34" s="13">
        <v>1</v>
      </c>
      <c r="BD34" s="39">
        <v>137.1</v>
      </c>
      <c r="BE34" s="40">
        <f>BD$34/BC34</f>
        <v>137.1</v>
      </c>
      <c r="BF34" s="13"/>
      <c r="BG34" s="13">
        <v>1</v>
      </c>
      <c r="BH34" s="39">
        <v>136.26</v>
      </c>
      <c r="BI34" s="40">
        <f>BH$34/BG34</f>
        <v>136.26</v>
      </c>
      <c r="BJ34" s="13"/>
      <c r="BK34" s="13">
        <v>1</v>
      </c>
      <c r="BL34" s="39">
        <v>136.25</v>
      </c>
      <c r="BM34" s="40">
        <f>BL$34/BK34</f>
        <v>136.25</v>
      </c>
      <c r="BN34" s="13"/>
      <c r="BO34" s="13">
        <v>1</v>
      </c>
      <c r="BP34" s="39">
        <v>136.36</v>
      </c>
      <c r="BQ34" s="40">
        <f>BP$34/BO34</f>
        <v>136.36</v>
      </c>
      <c r="BR34" s="13"/>
      <c r="BS34" s="13">
        <v>1</v>
      </c>
      <c r="BT34" s="39">
        <v>136.46</v>
      </c>
      <c r="BU34" s="40">
        <f>BT$34/BS34</f>
        <v>136.46</v>
      </c>
      <c r="BV34" s="13"/>
      <c r="BW34" s="13">
        <v>1</v>
      </c>
      <c r="BX34" s="39">
        <v>136.55</v>
      </c>
      <c r="BY34" s="40">
        <f>BX$34/BW34</f>
        <v>136.55</v>
      </c>
      <c r="BZ34" s="13"/>
      <c r="CA34" s="24">
        <f t="shared" si="2"/>
        <v>1</v>
      </c>
      <c r="CB34" s="91">
        <f t="shared" si="2"/>
        <v>137.0378947368421</v>
      </c>
      <c r="CC34" s="91">
        <f t="shared" si="2"/>
        <v>137.0378947368421</v>
      </c>
      <c r="CD34" s="24">
        <f t="shared" si="2"/>
        <v>0</v>
      </c>
      <c r="CE34" s="23"/>
      <c r="CF34" s="23"/>
      <c r="CG34" s="23"/>
      <c r="CH34" s="23"/>
      <c r="CI34" s="23"/>
      <c r="CJ34" s="42"/>
      <c r="CK34" s="42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1"/>
    </row>
    <row r="35" spans="1:10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4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34"/>
      <c r="CA35" s="1"/>
      <c r="CB35" s="1"/>
      <c r="CC35" s="1"/>
      <c r="CD35" s="34"/>
      <c r="CE35" s="14"/>
      <c r="CF35" s="14"/>
      <c r="CG35" s="14"/>
      <c r="CH35" s="35"/>
      <c r="CI35" s="14"/>
      <c r="CJ35" s="14"/>
      <c r="CK35" s="14"/>
      <c r="CL35" s="35"/>
      <c r="CM35" s="14"/>
      <c r="CN35" s="14"/>
      <c r="CO35" s="14"/>
      <c r="CP35" s="35"/>
      <c r="CQ35" s="14"/>
      <c r="CR35" s="14"/>
      <c r="CS35" s="14"/>
      <c r="CT35" s="35"/>
      <c r="CU35" s="14"/>
      <c r="CV35" s="14"/>
      <c r="CW35" s="14"/>
      <c r="CX35" s="35"/>
      <c r="CY35" s="21"/>
    </row>
    <row r="36" spans="87:94" ht="12.75">
      <c r="CI36" s="21"/>
      <c r="CJ36" s="21"/>
      <c r="CK36" s="21"/>
      <c r="CL36" s="21"/>
      <c r="CM36" s="21"/>
      <c r="CN36" s="21"/>
      <c r="CO36" s="21"/>
      <c r="CP36" s="21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2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35"/>
  <sheetViews>
    <sheetView zoomScale="75" zoomScaleNormal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B3" sqref="B3"/>
    </sheetView>
  </sheetViews>
  <sheetFormatPr defaultColWidth="11.7109375" defaultRowHeight="13.5" customHeight="1"/>
  <cols>
    <col min="1" max="1" width="5.8515625" style="0" customWidth="1"/>
    <col min="2" max="2" width="34.00390625" style="0" bestFit="1" customWidth="1"/>
  </cols>
  <sheetData>
    <row r="1" spans="1:87" ht="13.5" customHeight="1">
      <c r="A1" s="2" t="s">
        <v>0</v>
      </c>
      <c r="B1" s="3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5" t="s">
        <v>1</v>
      </c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15"/>
      <c r="CB1" s="15"/>
      <c r="CC1" s="17"/>
      <c r="CD1" s="15"/>
      <c r="CE1" s="15"/>
      <c r="CF1" s="15"/>
      <c r="CG1" s="15"/>
      <c r="CH1" s="15"/>
      <c r="CI1" s="15"/>
    </row>
    <row r="2" spans="1:87" ht="13.5" customHeight="1">
      <c r="A2" s="4"/>
      <c r="B2" s="33" t="s">
        <v>113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23"/>
      <c r="CB2" s="23"/>
      <c r="CC2" s="23"/>
      <c r="CD2" s="23"/>
      <c r="CE2" s="23"/>
      <c r="CF2" s="23"/>
      <c r="CG2" s="23"/>
      <c r="CH2" s="23"/>
      <c r="CI2" s="23"/>
    </row>
    <row r="3" spans="1:90" ht="13.5" customHeight="1">
      <c r="A3" s="5" t="s">
        <v>3</v>
      </c>
      <c r="B3" s="4"/>
      <c r="C3" s="3"/>
      <c r="D3" s="2" t="s">
        <v>61</v>
      </c>
      <c r="E3" s="3"/>
      <c r="F3" s="3"/>
      <c r="G3" s="3"/>
      <c r="H3" s="2" t="s">
        <v>62</v>
      </c>
      <c r="I3" s="3"/>
      <c r="J3" s="3"/>
      <c r="K3" s="3"/>
      <c r="L3" s="2" t="s">
        <v>68</v>
      </c>
      <c r="M3" s="3"/>
      <c r="N3" s="3"/>
      <c r="O3" s="3"/>
      <c r="P3" s="2" t="s">
        <v>69</v>
      </c>
      <c r="Q3" s="3"/>
      <c r="R3" s="3"/>
      <c r="S3" s="3"/>
      <c r="T3" s="2" t="s">
        <v>70</v>
      </c>
      <c r="U3" s="3"/>
      <c r="V3" s="3"/>
      <c r="W3" s="3"/>
      <c r="X3" s="2" t="s">
        <v>71</v>
      </c>
      <c r="Y3" s="3"/>
      <c r="Z3" s="3"/>
      <c r="AA3" s="3"/>
      <c r="AB3" s="2" t="s">
        <v>72</v>
      </c>
      <c r="AC3" s="3"/>
      <c r="AD3" s="3"/>
      <c r="AE3" s="3"/>
      <c r="AF3" s="2" t="s">
        <v>73</v>
      </c>
      <c r="AG3" s="3"/>
      <c r="AH3" s="3"/>
      <c r="AI3" s="3"/>
      <c r="AJ3" s="2" t="s">
        <v>74</v>
      </c>
      <c r="AK3" s="3"/>
      <c r="AL3" s="3"/>
      <c r="AM3" s="3"/>
      <c r="AN3" s="2" t="s">
        <v>75</v>
      </c>
      <c r="AO3" s="3"/>
      <c r="AP3" s="3"/>
      <c r="AQ3" s="3"/>
      <c r="AR3" s="2" t="s">
        <v>76</v>
      </c>
      <c r="AS3" s="3"/>
      <c r="AT3" s="3"/>
      <c r="AU3" s="3"/>
      <c r="AV3" s="2" t="s">
        <v>77</v>
      </c>
      <c r="AW3" s="3"/>
      <c r="AX3" s="3"/>
      <c r="AY3" s="3"/>
      <c r="AZ3" s="2" t="s">
        <v>78</v>
      </c>
      <c r="BA3" s="3"/>
      <c r="BB3" s="3"/>
      <c r="BC3" s="3"/>
      <c r="BD3" s="2" t="s">
        <v>79</v>
      </c>
      <c r="BE3" s="3"/>
      <c r="BF3" s="3"/>
      <c r="BG3" s="3"/>
      <c r="BH3" s="2" t="s">
        <v>80</v>
      </c>
      <c r="BI3" s="3"/>
      <c r="BJ3" s="3"/>
      <c r="BK3" s="3"/>
      <c r="BL3" s="2" t="s">
        <v>81</v>
      </c>
      <c r="BM3" s="3"/>
      <c r="BN3" s="3"/>
      <c r="BO3" s="3"/>
      <c r="BP3" s="2" t="s">
        <v>82</v>
      </c>
      <c r="BQ3" s="3"/>
      <c r="BR3" s="3"/>
      <c r="BS3" s="3"/>
      <c r="BT3" s="2" t="s">
        <v>83</v>
      </c>
      <c r="BU3" s="3"/>
      <c r="BV3" s="3"/>
      <c r="BW3" s="3"/>
      <c r="BX3" s="2" t="s">
        <v>84</v>
      </c>
      <c r="BY3" s="3"/>
      <c r="BZ3" s="3"/>
      <c r="CA3" s="3"/>
      <c r="CB3" s="2" t="s">
        <v>85</v>
      </c>
      <c r="CC3" s="3"/>
      <c r="CD3" s="3"/>
      <c r="CE3" s="6"/>
      <c r="CF3" s="2" t="s">
        <v>25</v>
      </c>
      <c r="CG3" s="3"/>
      <c r="CH3" s="6"/>
      <c r="CI3" s="20"/>
      <c r="CJ3" s="18"/>
      <c r="CK3" s="19"/>
      <c r="CL3" s="20"/>
    </row>
    <row r="4" spans="1:90" ht="13.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6"/>
      <c r="CF4" s="6"/>
      <c r="CG4" s="6"/>
      <c r="CH4" s="6"/>
      <c r="CI4" s="20"/>
      <c r="CJ4" s="20"/>
      <c r="CK4" s="20"/>
      <c r="CL4" s="20"/>
    </row>
    <row r="5" spans="1:90" ht="13.5" customHeight="1" thickTop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23"/>
      <c r="CJ5" s="23"/>
      <c r="CK5" s="23"/>
      <c r="CL5" s="23"/>
    </row>
    <row r="6" spans="1:90" ht="13.5" customHeight="1">
      <c r="A6" s="3"/>
      <c r="B6" s="4"/>
      <c r="C6" s="8" t="s">
        <v>26</v>
      </c>
      <c r="D6" s="8" t="s">
        <v>26</v>
      </c>
      <c r="E6" s="8" t="s">
        <v>26</v>
      </c>
      <c r="F6" s="8" t="s">
        <v>26</v>
      </c>
      <c r="G6" s="8" t="s">
        <v>26</v>
      </c>
      <c r="H6" s="8" t="s">
        <v>26</v>
      </c>
      <c r="I6" s="8" t="s">
        <v>26</v>
      </c>
      <c r="J6" s="8" t="s">
        <v>26</v>
      </c>
      <c r="K6" s="8" t="s">
        <v>26</v>
      </c>
      <c r="L6" s="8" t="s">
        <v>26</v>
      </c>
      <c r="M6" s="8" t="s">
        <v>26</v>
      </c>
      <c r="N6" s="8" t="s">
        <v>26</v>
      </c>
      <c r="O6" s="8" t="s">
        <v>26</v>
      </c>
      <c r="P6" s="8" t="s">
        <v>26</v>
      </c>
      <c r="Q6" s="8" t="s">
        <v>26</v>
      </c>
      <c r="R6" s="8" t="s">
        <v>26</v>
      </c>
      <c r="S6" s="8" t="s">
        <v>26</v>
      </c>
      <c r="T6" s="8" t="s">
        <v>26</v>
      </c>
      <c r="U6" s="8" t="s">
        <v>26</v>
      </c>
      <c r="V6" s="8" t="s">
        <v>26</v>
      </c>
      <c r="W6" s="8" t="s">
        <v>26</v>
      </c>
      <c r="X6" s="8" t="s">
        <v>26</v>
      </c>
      <c r="Y6" s="8" t="s">
        <v>26</v>
      </c>
      <c r="Z6" s="8" t="s">
        <v>26</v>
      </c>
      <c r="AA6" s="8" t="s">
        <v>26</v>
      </c>
      <c r="AB6" s="8" t="s">
        <v>26</v>
      </c>
      <c r="AC6" s="8" t="s">
        <v>26</v>
      </c>
      <c r="AD6" s="8" t="s">
        <v>26</v>
      </c>
      <c r="AE6" s="8" t="s">
        <v>26</v>
      </c>
      <c r="AF6" s="8" t="s">
        <v>26</v>
      </c>
      <c r="AG6" s="8" t="s">
        <v>26</v>
      </c>
      <c r="AH6" s="8" t="s">
        <v>26</v>
      </c>
      <c r="AI6" s="8" t="s">
        <v>26</v>
      </c>
      <c r="AJ6" s="8" t="s">
        <v>26</v>
      </c>
      <c r="AK6" s="8" t="s">
        <v>26</v>
      </c>
      <c r="AL6" s="8" t="s">
        <v>26</v>
      </c>
      <c r="AM6" s="8" t="s">
        <v>26</v>
      </c>
      <c r="AN6" s="8" t="s">
        <v>26</v>
      </c>
      <c r="AO6" s="8" t="s">
        <v>26</v>
      </c>
      <c r="AP6" s="8" t="s">
        <v>26</v>
      </c>
      <c r="AQ6" s="8" t="s">
        <v>26</v>
      </c>
      <c r="AR6" s="8" t="s">
        <v>26</v>
      </c>
      <c r="AS6" s="8" t="s">
        <v>26</v>
      </c>
      <c r="AT6" s="8" t="s">
        <v>26</v>
      </c>
      <c r="AU6" s="8" t="s">
        <v>26</v>
      </c>
      <c r="AV6" s="8" t="s">
        <v>26</v>
      </c>
      <c r="AW6" s="8" t="s">
        <v>26</v>
      </c>
      <c r="AX6" s="8" t="s">
        <v>26</v>
      </c>
      <c r="AY6" s="8" t="s">
        <v>26</v>
      </c>
      <c r="AZ6" s="8" t="s">
        <v>26</v>
      </c>
      <c r="BA6" s="8" t="s">
        <v>26</v>
      </c>
      <c r="BB6" s="8" t="s">
        <v>26</v>
      </c>
      <c r="BC6" s="8" t="s">
        <v>26</v>
      </c>
      <c r="BD6" s="8" t="s">
        <v>26</v>
      </c>
      <c r="BE6" s="8" t="s">
        <v>26</v>
      </c>
      <c r="BF6" s="8" t="s">
        <v>26</v>
      </c>
      <c r="BG6" s="8" t="s">
        <v>26</v>
      </c>
      <c r="BH6" s="8" t="s">
        <v>26</v>
      </c>
      <c r="BI6" s="8" t="s">
        <v>26</v>
      </c>
      <c r="BJ6" s="8" t="s">
        <v>26</v>
      </c>
      <c r="BK6" s="8" t="s">
        <v>26</v>
      </c>
      <c r="BL6" s="8" t="s">
        <v>26</v>
      </c>
      <c r="BM6" s="8" t="s">
        <v>26</v>
      </c>
      <c r="BN6" s="8" t="s">
        <v>26</v>
      </c>
      <c r="BO6" s="8" t="s">
        <v>26</v>
      </c>
      <c r="BP6" s="8" t="s">
        <v>26</v>
      </c>
      <c r="BQ6" s="8" t="s">
        <v>26</v>
      </c>
      <c r="BR6" s="8" t="s">
        <v>26</v>
      </c>
      <c r="BS6" s="8" t="s">
        <v>26</v>
      </c>
      <c r="BT6" s="8" t="s">
        <v>26</v>
      </c>
      <c r="BU6" s="8" t="s">
        <v>26</v>
      </c>
      <c r="BV6" s="8" t="s">
        <v>26</v>
      </c>
      <c r="BW6" s="8" t="s">
        <v>26</v>
      </c>
      <c r="BX6" s="8" t="s">
        <v>26</v>
      </c>
      <c r="BY6" s="8" t="s">
        <v>26</v>
      </c>
      <c r="BZ6" s="8" t="s">
        <v>26</v>
      </c>
      <c r="CA6" s="8" t="s">
        <v>26</v>
      </c>
      <c r="CB6" s="8" t="s">
        <v>26</v>
      </c>
      <c r="CC6" s="8" t="s">
        <v>26</v>
      </c>
      <c r="CD6" s="8" t="s">
        <v>26</v>
      </c>
      <c r="CE6" s="8" t="s">
        <v>27</v>
      </c>
      <c r="CF6" s="8" t="s">
        <v>27</v>
      </c>
      <c r="CG6" s="8" t="s">
        <v>26</v>
      </c>
      <c r="CH6" s="8" t="s">
        <v>26</v>
      </c>
      <c r="CI6" s="22"/>
      <c r="CJ6" s="22"/>
      <c r="CK6" s="22"/>
      <c r="CL6" s="22"/>
    </row>
    <row r="7" spans="1:90" ht="13.5" customHeight="1">
      <c r="A7" s="4"/>
      <c r="B7" s="9" t="s">
        <v>28</v>
      </c>
      <c r="C7" s="8" t="s">
        <v>29</v>
      </c>
      <c r="D7" s="8" t="s">
        <v>29</v>
      </c>
      <c r="E7" s="8" t="s">
        <v>29</v>
      </c>
      <c r="F7" s="8" t="s">
        <v>30</v>
      </c>
      <c r="G7" s="8" t="s">
        <v>29</v>
      </c>
      <c r="H7" s="8" t="s">
        <v>29</v>
      </c>
      <c r="I7" s="8" t="s">
        <v>29</v>
      </c>
      <c r="J7" s="8" t="s">
        <v>30</v>
      </c>
      <c r="K7" s="8" t="s">
        <v>29</v>
      </c>
      <c r="L7" s="8" t="s">
        <v>29</v>
      </c>
      <c r="M7" s="8" t="s">
        <v>29</v>
      </c>
      <c r="N7" s="8" t="s">
        <v>30</v>
      </c>
      <c r="O7" s="8" t="s">
        <v>29</v>
      </c>
      <c r="P7" s="8" t="s">
        <v>29</v>
      </c>
      <c r="Q7" s="8" t="s">
        <v>29</v>
      </c>
      <c r="R7" s="8" t="s">
        <v>30</v>
      </c>
      <c r="S7" s="8" t="s">
        <v>29</v>
      </c>
      <c r="T7" s="8" t="s">
        <v>29</v>
      </c>
      <c r="U7" s="8" t="s">
        <v>29</v>
      </c>
      <c r="V7" s="8" t="s">
        <v>30</v>
      </c>
      <c r="W7" s="8" t="s">
        <v>29</v>
      </c>
      <c r="X7" s="8" t="s">
        <v>29</v>
      </c>
      <c r="Y7" s="8" t="s">
        <v>29</v>
      </c>
      <c r="Z7" s="8" t="s">
        <v>30</v>
      </c>
      <c r="AA7" s="8" t="s">
        <v>29</v>
      </c>
      <c r="AB7" s="8" t="s">
        <v>29</v>
      </c>
      <c r="AC7" s="8" t="s">
        <v>29</v>
      </c>
      <c r="AD7" s="8" t="s">
        <v>30</v>
      </c>
      <c r="AE7" s="8" t="s">
        <v>29</v>
      </c>
      <c r="AF7" s="8" t="s">
        <v>29</v>
      </c>
      <c r="AG7" s="8" t="s">
        <v>29</v>
      </c>
      <c r="AH7" s="8" t="s">
        <v>30</v>
      </c>
      <c r="AI7" s="8" t="s">
        <v>29</v>
      </c>
      <c r="AJ7" s="8" t="s">
        <v>29</v>
      </c>
      <c r="AK7" s="8" t="s">
        <v>29</v>
      </c>
      <c r="AL7" s="8" t="s">
        <v>30</v>
      </c>
      <c r="AM7" s="8" t="s">
        <v>29</v>
      </c>
      <c r="AN7" s="8" t="s">
        <v>29</v>
      </c>
      <c r="AO7" s="8" t="s">
        <v>29</v>
      </c>
      <c r="AP7" s="8" t="s">
        <v>30</v>
      </c>
      <c r="AQ7" s="8" t="s">
        <v>29</v>
      </c>
      <c r="AR7" s="8" t="s">
        <v>29</v>
      </c>
      <c r="AS7" s="8" t="s">
        <v>29</v>
      </c>
      <c r="AT7" s="8" t="s">
        <v>30</v>
      </c>
      <c r="AU7" s="8" t="s">
        <v>29</v>
      </c>
      <c r="AV7" s="8" t="s">
        <v>29</v>
      </c>
      <c r="AW7" s="8" t="s">
        <v>29</v>
      </c>
      <c r="AX7" s="8" t="s">
        <v>30</v>
      </c>
      <c r="AY7" s="8" t="s">
        <v>29</v>
      </c>
      <c r="AZ7" s="8" t="s">
        <v>29</v>
      </c>
      <c r="BA7" s="8" t="s">
        <v>29</v>
      </c>
      <c r="BB7" s="8" t="s">
        <v>30</v>
      </c>
      <c r="BC7" s="8" t="s">
        <v>29</v>
      </c>
      <c r="BD7" s="8" t="s">
        <v>29</v>
      </c>
      <c r="BE7" s="8" t="s">
        <v>29</v>
      </c>
      <c r="BF7" s="8" t="s">
        <v>30</v>
      </c>
      <c r="BG7" s="8" t="s">
        <v>29</v>
      </c>
      <c r="BH7" s="8" t="s">
        <v>29</v>
      </c>
      <c r="BI7" s="8" t="s">
        <v>29</v>
      </c>
      <c r="BJ7" s="8" t="s">
        <v>30</v>
      </c>
      <c r="BK7" s="8" t="s">
        <v>29</v>
      </c>
      <c r="BL7" s="8" t="s">
        <v>29</v>
      </c>
      <c r="BM7" s="8" t="s">
        <v>29</v>
      </c>
      <c r="BN7" s="8" t="s">
        <v>30</v>
      </c>
      <c r="BO7" s="8" t="s">
        <v>29</v>
      </c>
      <c r="BP7" s="8" t="s">
        <v>29</v>
      </c>
      <c r="BQ7" s="8" t="s">
        <v>29</v>
      </c>
      <c r="BR7" s="8" t="s">
        <v>30</v>
      </c>
      <c r="BS7" s="8" t="s">
        <v>29</v>
      </c>
      <c r="BT7" s="8" t="s">
        <v>29</v>
      </c>
      <c r="BU7" s="8" t="s">
        <v>29</v>
      </c>
      <c r="BV7" s="8" t="s">
        <v>30</v>
      </c>
      <c r="BW7" s="8" t="s">
        <v>29</v>
      </c>
      <c r="BX7" s="8" t="s">
        <v>29</v>
      </c>
      <c r="BY7" s="8" t="s">
        <v>29</v>
      </c>
      <c r="BZ7" s="8" t="s">
        <v>30</v>
      </c>
      <c r="CA7" s="8" t="s">
        <v>29</v>
      </c>
      <c r="CB7" s="8" t="s">
        <v>29</v>
      </c>
      <c r="CC7" s="8" t="s">
        <v>29</v>
      </c>
      <c r="CD7" s="8" t="s">
        <v>30</v>
      </c>
      <c r="CE7" s="8" t="s">
        <v>31</v>
      </c>
      <c r="CF7" s="8" t="s">
        <v>32</v>
      </c>
      <c r="CG7" s="8" t="s">
        <v>32</v>
      </c>
      <c r="CH7" s="8" t="s">
        <v>30</v>
      </c>
      <c r="CI7" s="22"/>
      <c r="CJ7" s="22"/>
      <c r="CK7" s="22"/>
      <c r="CL7" s="22"/>
    </row>
    <row r="8" spans="1:90" ht="13.5" customHeight="1">
      <c r="A8" s="4"/>
      <c r="B8" s="4"/>
      <c r="C8" s="8" t="s">
        <v>33</v>
      </c>
      <c r="D8" s="8" t="s">
        <v>32</v>
      </c>
      <c r="E8" s="8" t="s">
        <v>32</v>
      </c>
      <c r="F8" s="8" t="s">
        <v>34</v>
      </c>
      <c r="G8" s="8" t="s">
        <v>33</v>
      </c>
      <c r="H8" s="8" t="s">
        <v>32</v>
      </c>
      <c r="I8" s="8" t="s">
        <v>32</v>
      </c>
      <c r="J8" s="8" t="s">
        <v>34</v>
      </c>
      <c r="K8" s="8" t="s">
        <v>33</v>
      </c>
      <c r="L8" s="8" t="s">
        <v>32</v>
      </c>
      <c r="M8" s="8" t="s">
        <v>32</v>
      </c>
      <c r="N8" s="8" t="s">
        <v>34</v>
      </c>
      <c r="O8" s="8" t="s">
        <v>33</v>
      </c>
      <c r="P8" s="8" t="s">
        <v>32</v>
      </c>
      <c r="Q8" s="8" t="s">
        <v>32</v>
      </c>
      <c r="R8" s="8" t="s">
        <v>34</v>
      </c>
      <c r="S8" s="8" t="s">
        <v>33</v>
      </c>
      <c r="T8" s="8" t="s">
        <v>32</v>
      </c>
      <c r="U8" s="8" t="s">
        <v>32</v>
      </c>
      <c r="V8" s="8" t="s">
        <v>34</v>
      </c>
      <c r="W8" s="8" t="s">
        <v>33</v>
      </c>
      <c r="X8" s="8" t="s">
        <v>32</v>
      </c>
      <c r="Y8" s="8" t="s">
        <v>32</v>
      </c>
      <c r="Z8" s="8" t="s">
        <v>34</v>
      </c>
      <c r="AA8" s="8" t="s">
        <v>33</v>
      </c>
      <c r="AB8" s="8" t="s">
        <v>32</v>
      </c>
      <c r="AC8" s="8" t="s">
        <v>32</v>
      </c>
      <c r="AD8" s="8" t="s">
        <v>34</v>
      </c>
      <c r="AE8" s="8" t="s">
        <v>33</v>
      </c>
      <c r="AF8" s="8" t="s">
        <v>32</v>
      </c>
      <c r="AG8" s="8" t="s">
        <v>32</v>
      </c>
      <c r="AH8" s="8" t="s">
        <v>34</v>
      </c>
      <c r="AI8" s="8" t="s">
        <v>33</v>
      </c>
      <c r="AJ8" s="8" t="s">
        <v>32</v>
      </c>
      <c r="AK8" s="8" t="s">
        <v>32</v>
      </c>
      <c r="AL8" s="8" t="s">
        <v>34</v>
      </c>
      <c r="AM8" s="8" t="s">
        <v>33</v>
      </c>
      <c r="AN8" s="8" t="s">
        <v>32</v>
      </c>
      <c r="AO8" s="8" t="s">
        <v>32</v>
      </c>
      <c r="AP8" s="8" t="s">
        <v>34</v>
      </c>
      <c r="AQ8" s="8" t="s">
        <v>33</v>
      </c>
      <c r="AR8" s="8" t="s">
        <v>32</v>
      </c>
      <c r="AS8" s="8" t="s">
        <v>32</v>
      </c>
      <c r="AT8" s="8" t="s">
        <v>34</v>
      </c>
      <c r="AU8" s="8" t="s">
        <v>33</v>
      </c>
      <c r="AV8" s="8" t="s">
        <v>32</v>
      </c>
      <c r="AW8" s="8" t="s">
        <v>32</v>
      </c>
      <c r="AX8" s="8" t="s">
        <v>34</v>
      </c>
      <c r="AY8" s="8" t="s">
        <v>33</v>
      </c>
      <c r="AZ8" s="8" t="s">
        <v>32</v>
      </c>
      <c r="BA8" s="8" t="s">
        <v>32</v>
      </c>
      <c r="BB8" s="8" t="s">
        <v>34</v>
      </c>
      <c r="BC8" s="8" t="s">
        <v>33</v>
      </c>
      <c r="BD8" s="8" t="s">
        <v>32</v>
      </c>
      <c r="BE8" s="8" t="s">
        <v>32</v>
      </c>
      <c r="BF8" s="8" t="s">
        <v>34</v>
      </c>
      <c r="BG8" s="8" t="s">
        <v>33</v>
      </c>
      <c r="BH8" s="8" t="s">
        <v>32</v>
      </c>
      <c r="BI8" s="8" t="s">
        <v>32</v>
      </c>
      <c r="BJ8" s="8" t="s">
        <v>34</v>
      </c>
      <c r="BK8" s="8" t="s">
        <v>33</v>
      </c>
      <c r="BL8" s="8" t="s">
        <v>32</v>
      </c>
      <c r="BM8" s="8" t="s">
        <v>32</v>
      </c>
      <c r="BN8" s="8" t="s">
        <v>34</v>
      </c>
      <c r="BO8" s="8" t="s">
        <v>33</v>
      </c>
      <c r="BP8" s="8" t="s">
        <v>32</v>
      </c>
      <c r="BQ8" s="8" t="s">
        <v>32</v>
      </c>
      <c r="BR8" s="8" t="s">
        <v>34</v>
      </c>
      <c r="BS8" s="8" t="s">
        <v>33</v>
      </c>
      <c r="BT8" s="8" t="s">
        <v>32</v>
      </c>
      <c r="BU8" s="8" t="s">
        <v>32</v>
      </c>
      <c r="BV8" s="8" t="s">
        <v>34</v>
      </c>
      <c r="BW8" s="8" t="s">
        <v>33</v>
      </c>
      <c r="BX8" s="8" t="s">
        <v>32</v>
      </c>
      <c r="BY8" s="8" t="s">
        <v>32</v>
      </c>
      <c r="BZ8" s="8" t="s">
        <v>34</v>
      </c>
      <c r="CA8" s="8" t="s">
        <v>33</v>
      </c>
      <c r="CB8" s="8" t="s">
        <v>32</v>
      </c>
      <c r="CC8" s="8" t="s">
        <v>32</v>
      </c>
      <c r="CD8" s="8" t="s">
        <v>34</v>
      </c>
      <c r="CE8" s="8" t="s">
        <v>29</v>
      </c>
      <c r="CF8" s="8" t="s">
        <v>35</v>
      </c>
      <c r="CG8" s="8" t="s">
        <v>35</v>
      </c>
      <c r="CH8" s="8" t="s">
        <v>34</v>
      </c>
      <c r="CI8" s="22"/>
      <c r="CJ8" s="22"/>
      <c r="CK8" s="22"/>
      <c r="CL8" s="22"/>
    </row>
    <row r="9" spans="1:90" ht="13.5" customHeight="1">
      <c r="A9" s="4"/>
      <c r="B9" s="4"/>
      <c r="C9" s="4"/>
      <c r="D9" s="4"/>
      <c r="E9" s="8" t="s">
        <v>36</v>
      </c>
      <c r="F9" s="4"/>
      <c r="G9" s="4"/>
      <c r="H9" s="4"/>
      <c r="I9" s="8" t="s">
        <v>36</v>
      </c>
      <c r="J9" s="4"/>
      <c r="K9" s="4"/>
      <c r="L9" s="4"/>
      <c r="M9" s="8" t="s">
        <v>36</v>
      </c>
      <c r="N9" s="4"/>
      <c r="O9" s="4"/>
      <c r="P9" s="4"/>
      <c r="Q9" s="8" t="s">
        <v>36</v>
      </c>
      <c r="R9" s="4"/>
      <c r="S9" s="4"/>
      <c r="T9" s="4"/>
      <c r="U9" s="8" t="s">
        <v>36</v>
      </c>
      <c r="V9" s="4"/>
      <c r="W9" s="4"/>
      <c r="X9" s="4"/>
      <c r="Y9" s="8" t="s">
        <v>36</v>
      </c>
      <c r="Z9" s="4"/>
      <c r="AA9" s="4"/>
      <c r="AB9" s="4"/>
      <c r="AC9" s="8" t="s">
        <v>36</v>
      </c>
      <c r="AD9" s="5" t="s">
        <v>37</v>
      </c>
      <c r="AE9" s="4"/>
      <c r="AF9" s="4"/>
      <c r="AG9" s="8" t="s">
        <v>36</v>
      </c>
      <c r="AH9" s="5" t="s">
        <v>37</v>
      </c>
      <c r="AI9" s="4"/>
      <c r="AJ9" s="4"/>
      <c r="AK9" s="8" t="s">
        <v>36</v>
      </c>
      <c r="AL9" s="4"/>
      <c r="AM9" s="4"/>
      <c r="AN9" s="4"/>
      <c r="AO9" s="8" t="s">
        <v>36</v>
      </c>
      <c r="AP9" s="4"/>
      <c r="AQ9" s="4"/>
      <c r="AR9" s="4"/>
      <c r="AS9" s="8" t="s">
        <v>36</v>
      </c>
      <c r="AT9" s="4"/>
      <c r="AU9" s="4"/>
      <c r="AV9" s="4"/>
      <c r="AW9" s="8" t="s">
        <v>36</v>
      </c>
      <c r="AX9" s="4"/>
      <c r="AY9" s="4"/>
      <c r="AZ9" s="4"/>
      <c r="BA9" s="8" t="s">
        <v>36</v>
      </c>
      <c r="BB9" s="4"/>
      <c r="BC9" s="4"/>
      <c r="BD9" s="4"/>
      <c r="BE9" s="8" t="s">
        <v>36</v>
      </c>
      <c r="BF9" s="4"/>
      <c r="BG9" s="4"/>
      <c r="BH9" s="4"/>
      <c r="BI9" s="8" t="s">
        <v>36</v>
      </c>
      <c r="BJ9" s="4"/>
      <c r="BK9" s="4"/>
      <c r="BL9" s="4"/>
      <c r="BM9" s="8" t="s">
        <v>36</v>
      </c>
      <c r="BN9" s="4"/>
      <c r="BO9" s="4"/>
      <c r="BP9" s="4"/>
      <c r="BQ9" s="8" t="s">
        <v>36</v>
      </c>
      <c r="BR9" s="4"/>
      <c r="BS9" s="4"/>
      <c r="BT9" s="4"/>
      <c r="BU9" s="8" t="s">
        <v>36</v>
      </c>
      <c r="BV9" s="4"/>
      <c r="BW9" s="4"/>
      <c r="BX9" s="4"/>
      <c r="BY9" s="8" t="s">
        <v>36</v>
      </c>
      <c r="BZ9" s="4"/>
      <c r="CA9" s="4"/>
      <c r="CB9" s="4"/>
      <c r="CC9" s="8" t="s">
        <v>36</v>
      </c>
      <c r="CD9" s="4"/>
      <c r="CE9" s="8" t="s">
        <v>33</v>
      </c>
      <c r="CF9" s="8" t="s">
        <v>31</v>
      </c>
      <c r="CG9" s="8" t="s">
        <v>31</v>
      </c>
      <c r="CH9" s="4"/>
      <c r="CI9" s="22"/>
      <c r="CJ9" s="22"/>
      <c r="CK9" s="22"/>
      <c r="CL9" s="23"/>
    </row>
    <row r="10" spans="1:90" ht="13.5" customHeight="1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8" t="s">
        <v>36</v>
      </c>
      <c r="CH10" s="4"/>
      <c r="CI10" s="23"/>
      <c r="CJ10" s="23"/>
      <c r="CK10" s="22"/>
      <c r="CL10" s="23"/>
    </row>
    <row r="11" spans="1:90" ht="13.5" customHeight="1" thickTop="1">
      <c r="A11" s="10" t="s">
        <v>3</v>
      </c>
      <c r="B11" s="7"/>
      <c r="C11" s="31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23"/>
      <c r="CJ11" s="23"/>
      <c r="CK11" s="23"/>
      <c r="CL11" s="23"/>
    </row>
    <row r="12" spans="1:90" ht="13.5" customHeight="1">
      <c r="A12" s="26">
        <v>1</v>
      </c>
      <c r="B12" s="27" t="s">
        <v>38</v>
      </c>
      <c r="C12" s="4">
        <v>2.0804</v>
      </c>
      <c r="D12" s="4">
        <v>68.14</v>
      </c>
      <c r="E12" s="4">
        <f>D$34/C12</f>
        <v>68.14554893289753</v>
      </c>
      <c r="F12" s="4">
        <v>68.19</v>
      </c>
      <c r="G12" s="4">
        <v>2.0898</v>
      </c>
      <c r="H12" s="4">
        <v>67.84</v>
      </c>
      <c r="I12" s="4">
        <f>H$34/G12</f>
        <v>67.83902765814912</v>
      </c>
      <c r="J12" s="4">
        <v>68.13</v>
      </c>
      <c r="K12" s="4">
        <v>2.0829</v>
      </c>
      <c r="L12" s="4">
        <v>68.11</v>
      </c>
      <c r="M12" s="4">
        <f>L$34/K12</f>
        <v>68.11176724758751</v>
      </c>
      <c r="N12" s="4">
        <v>68.2</v>
      </c>
      <c r="O12" s="4">
        <v>2.0931</v>
      </c>
      <c r="P12" s="4">
        <v>67.8</v>
      </c>
      <c r="Q12" s="4">
        <f>P$34/O12</f>
        <v>67.79895848263341</v>
      </c>
      <c r="R12" s="4">
        <v>68.03</v>
      </c>
      <c r="S12" s="4">
        <v>2.0956</v>
      </c>
      <c r="T12" s="4">
        <v>67.71</v>
      </c>
      <c r="U12" s="4">
        <f>T$34/S12</f>
        <v>67.71330406566139</v>
      </c>
      <c r="V12" s="4">
        <v>67.84</v>
      </c>
      <c r="W12" s="12">
        <v>2.1294</v>
      </c>
      <c r="X12" s="4">
        <v>66.88</v>
      </c>
      <c r="Y12" s="4">
        <f>X$34/W12</f>
        <v>66.87799380107073</v>
      </c>
      <c r="Z12" s="4">
        <v>67.67</v>
      </c>
      <c r="AA12" s="4">
        <v>2.1185</v>
      </c>
      <c r="AB12" s="4">
        <v>67.15</v>
      </c>
      <c r="AC12" s="4">
        <f>AB$34/AA12</f>
        <v>67.15600660844937</v>
      </c>
      <c r="AD12" s="4">
        <v>67.37</v>
      </c>
      <c r="AE12" s="4">
        <v>2.1053</v>
      </c>
      <c r="AF12" s="4">
        <v>67.69</v>
      </c>
      <c r="AG12" s="4">
        <f>AF$34/AE12</f>
        <v>67.69106540635538</v>
      </c>
      <c r="AH12" s="4">
        <v>67.82</v>
      </c>
      <c r="AI12" s="4">
        <v>2.1101</v>
      </c>
      <c r="AJ12" s="4">
        <v>67.61</v>
      </c>
      <c r="AK12" s="4">
        <f>AJ$34/AI12</f>
        <v>67.61290934078953</v>
      </c>
      <c r="AL12" s="4">
        <v>67.75</v>
      </c>
      <c r="AM12" s="4">
        <v>2.1268</v>
      </c>
      <c r="AN12" s="4">
        <v>67.11</v>
      </c>
      <c r="AO12" s="4">
        <f>AN$34/AM12</f>
        <v>67.10551062629303</v>
      </c>
      <c r="AP12" s="4">
        <v>67.56</v>
      </c>
      <c r="AQ12" s="4">
        <v>2.1354</v>
      </c>
      <c r="AR12" s="4">
        <v>67.12</v>
      </c>
      <c r="AS12" s="4">
        <f>AR$34/AQ12</f>
        <v>67.12559707783085</v>
      </c>
      <c r="AT12" s="4">
        <v>67.34</v>
      </c>
      <c r="AU12" s="4">
        <v>2.1361</v>
      </c>
      <c r="AV12" s="4">
        <v>67.18</v>
      </c>
      <c r="AW12" s="4">
        <f>AV$34/AU12</f>
        <v>67.18318430785075</v>
      </c>
      <c r="AX12" s="4">
        <v>67.34</v>
      </c>
      <c r="AY12" s="4">
        <v>2.1257</v>
      </c>
      <c r="AZ12" s="4">
        <v>67.29</v>
      </c>
      <c r="BA12" s="4">
        <f>AZ$34/AY12</f>
        <v>67.2907748035941</v>
      </c>
      <c r="BB12" s="4">
        <v>67.62</v>
      </c>
      <c r="BC12" s="4">
        <v>2.135</v>
      </c>
      <c r="BD12" s="4">
        <v>67.16</v>
      </c>
      <c r="BE12" s="4">
        <f>BD$34/BC12</f>
        <v>67.15690866510539</v>
      </c>
      <c r="BF12" s="4">
        <v>67.44</v>
      </c>
      <c r="BG12" s="4">
        <v>2.1331</v>
      </c>
      <c r="BH12" s="4">
        <v>67.22</v>
      </c>
      <c r="BI12" s="4">
        <f>BH$34/BG12</f>
        <v>67.21672682949696</v>
      </c>
      <c r="BJ12" s="4">
        <v>67.38</v>
      </c>
      <c r="BK12" s="4">
        <v>2.1516</v>
      </c>
      <c r="BL12" s="4">
        <v>66.78</v>
      </c>
      <c r="BM12" s="4">
        <f>BL$34/BK12</f>
        <v>66.78285926752184</v>
      </c>
      <c r="BN12" s="4">
        <v>67.24</v>
      </c>
      <c r="BO12" s="4">
        <v>2.1523</v>
      </c>
      <c r="BP12" s="4">
        <v>66.84</v>
      </c>
      <c r="BQ12" s="4">
        <f>BP$34/BO12</f>
        <v>66.84477071040283</v>
      </c>
      <c r="BR12" s="4">
        <v>67.1</v>
      </c>
      <c r="BS12" s="4">
        <v>2.1493</v>
      </c>
      <c r="BT12" s="4">
        <v>66.93</v>
      </c>
      <c r="BU12" s="4">
        <f>BT$34/BS12</f>
        <v>66.9334201833155</v>
      </c>
      <c r="BV12" s="4">
        <v>67.24</v>
      </c>
      <c r="BW12" s="4">
        <v>2.1343</v>
      </c>
      <c r="BX12" s="4">
        <v>67.3</v>
      </c>
      <c r="BY12" s="4">
        <f>BX$34/BW12</f>
        <v>67.3007543456871</v>
      </c>
      <c r="BZ12" s="4">
        <v>67.45</v>
      </c>
      <c r="CA12" s="36">
        <v>2.1259</v>
      </c>
      <c r="CB12" s="36">
        <v>67.38</v>
      </c>
      <c r="CC12" s="36">
        <f>CB$34/CA12</f>
        <v>67.38322592784232</v>
      </c>
      <c r="CD12" s="4">
        <v>67.6</v>
      </c>
      <c r="CE12" s="4">
        <f aca="true" t="shared" si="0" ref="CE12:CE34">(+C12+G12+K12+O12+S12+W12+AA12+AE12+AI12+AM12+AQ12+AU12+AY12+BC12+BG12+BK12+BO12+BS12+BW12+CA12)/20</f>
        <v>2.1205299999999996</v>
      </c>
      <c r="CF12" s="4">
        <f aca="true" t="shared" si="1" ref="CF12:CH27">(+D12+H12+L12+P12+T12+X12+AB12+AF12+AJ12+AN12+AR12+AV12+AZ12+BD12+BH12+BL12+BP12+BT12+BX12+CB12)/20</f>
        <v>67.362</v>
      </c>
      <c r="CG12" s="4">
        <f t="shared" si="1"/>
        <v>67.36351571442674</v>
      </c>
      <c r="CH12" s="4">
        <f t="shared" si="1"/>
        <v>67.61549999999998</v>
      </c>
      <c r="CI12" s="23"/>
      <c r="CJ12" s="42"/>
      <c r="CK12" s="42"/>
      <c r="CL12" s="42"/>
    </row>
    <row r="13" spans="1:90" ht="13.5" customHeight="1">
      <c r="A13" s="26">
        <v>2</v>
      </c>
      <c r="B13" s="27" t="s">
        <v>39</v>
      </c>
      <c r="C13" s="4">
        <v>115.26</v>
      </c>
      <c r="D13" s="4">
        <v>123</v>
      </c>
      <c r="E13" s="4">
        <f>D$34/C13*100</f>
        <v>123.00017352073573</v>
      </c>
      <c r="F13" s="4"/>
      <c r="G13" s="4">
        <v>115.06</v>
      </c>
      <c r="H13" s="4">
        <v>123.22</v>
      </c>
      <c r="I13" s="4">
        <f>H$34/G13*100</f>
        <v>123.2139753172258</v>
      </c>
      <c r="J13" s="4"/>
      <c r="K13" s="4">
        <v>114.95</v>
      </c>
      <c r="L13" s="4">
        <v>123.42</v>
      </c>
      <c r="M13" s="4">
        <f>L$34/K13*100</f>
        <v>123.41887777294475</v>
      </c>
      <c r="N13" s="4"/>
      <c r="O13" s="4">
        <v>115.8</v>
      </c>
      <c r="P13" s="4">
        <v>122.54</v>
      </c>
      <c r="Q13" s="4">
        <f>P$34/O13*100</f>
        <v>122.54749568221071</v>
      </c>
      <c r="R13" s="4"/>
      <c r="S13" s="4">
        <v>116.2</v>
      </c>
      <c r="T13" s="4">
        <v>122.12</v>
      </c>
      <c r="U13" s="4">
        <f>T$34/S13*100</f>
        <v>122.1170395869191</v>
      </c>
      <c r="V13" s="4"/>
      <c r="W13" s="4">
        <v>116.25</v>
      </c>
      <c r="X13" s="4">
        <v>122.5</v>
      </c>
      <c r="Y13" s="4">
        <f>X$34/W13*100</f>
        <v>122.50322580645161</v>
      </c>
      <c r="Z13" s="4"/>
      <c r="AA13" s="4">
        <v>117.55</v>
      </c>
      <c r="AB13" s="4">
        <v>121.03</v>
      </c>
      <c r="AC13" s="4">
        <f>AB$34/AA13*100</f>
        <v>121.02934921310083</v>
      </c>
      <c r="AD13" s="4"/>
      <c r="AE13" s="4">
        <v>117.7</v>
      </c>
      <c r="AF13" s="4">
        <v>121.08</v>
      </c>
      <c r="AG13" s="4">
        <f>AF$34/AE13*100</f>
        <v>121.07901444350043</v>
      </c>
      <c r="AH13" s="4"/>
      <c r="AI13" s="4">
        <v>117.24</v>
      </c>
      <c r="AJ13" s="4">
        <v>121.69</v>
      </c>
      <c r="AK13" s="4">
        <f>AJ$34/AI13*100</f>
        <v>121.69054930058</v>
      </c>
      <c r="AL13" s="4"/>
      <c r="AM13" s="4">
        <v>116.28</v>
      </c>
      <c r="AN13" s="4">
        <v>122.74</v>
      </c>
      <c r="AO13" s="4">
        <f>AN$34/AM13*100</f>
        <v>122.73821809425525</v>
      </c>
      <c r="AP13" s="4"/>
      <c r="AQ13" s="4">
        <v>116.12</v>
      </c>
      <c r="AR13" s="4">
        <v>123.44</v>
      </c>
      <c r="AS13" s="4">
        <f>AR$34/AQ13*100</f>
        <v>123.44126765415086</v>
      </c>
      <c r="AT13" s="4"/>
      <c r="AU13" s="4">
        <v>115.36</v>
      </c>
      <c r="AV13" s="4">
        <v>124.4</v>
      </c>
      <c r="AW13" s="4">
        <f>AV$34/AU13*100</f>
        <v>124.4018723994452</v>
      </c>
      <c r="AX13" s="4"/>
      <c r="AY13" s="4">
        <v>116.01</v>
      </c>
      <c r="AZ13" s="4">
        <v>123.3</v>
      </c>
      <c r="BA13" s="4">
        <f>AZ$34/AY13*100</f>
        <v>123.29971554176362</v>
      </c>
      <c r="BB13" s="4"/>
      <c r="BC13" s="4">
        <v>115.52</v>
      </c>
      <c r="BD13" s="4">
        <v>124.11</v>
      </c>
      <c r="BE13" s="4">
        <f>BD$34/BC13*100</f>
        <v>124.11703601108033</v>
      </c>
      <c r="BF13" s="4"/>
      <c r="BG13" s="4">
        <v>116.54</v>
      </c>
      <c r="BH13" s="4">
        <v>123.03</v>
      </c>
      <c r="BI13" s="4">
        <f>BH$34/BG13*100</f>
        <v>123.03071906641496</v>
      </c>
      <c r="BJ13" s="4"/>
      <c r="BK13" s="4">
        <v>116.21</v>
      </c>
      <c r="BL13" s="4">
        <v>123.65</v>
      </c>
      <c r="BM13" s="4">
        <f>BL$34/BK13*100</f>
        <v>123.64684622665865</v>
      </c>
      <c r="BN13" s="4"/>
      <c r="BO13" s="4">
        <v>116.3</v>
      </c>
      <c r="BP13" s="4">
        <v>123.7</v>
      </c>
      <c r="BQ13" s="4">
        <f>BP$34/BO13*100</f>
        <v>123.70593293207224</v>
      </c>
      <c r="BR13" s="4"/>
      <c r="BS13" s="4">
        <v>116.63</v>
      </c>
      <c r="BT13" s="4">
        <v>123.34</v>
      </c>
      <c r="BU13" s="4">
        <f>BT$34/BS13*100</f>
        <v>123.34733773471665</v>
      </c>
      <c r="BV13" s="4"/>
      <c r="BW13" s="4">
        <v>113.12</v>
      </c>
      <c r="BX13" s="4">
        <v>126.98</v>
      </c>
      <c r="BY13" s="4">
        <f>BX$34/BW13*100</f>
        <v>126.98019801980196</v>
      </c>
      <c r="BZ13" s="4"/>
      <c r="CA13" s="36">
        <v>117.32</v>
      </c>
      <c r="CB13" s="36">
        <v>122.1</v>
      </c>
      <c r="CC13" s="36">
        <f>CB$34/CA13*100</f>
        <v>122.1019434026594</v>
      </c>
      <c r="CD13" s="4"/>
      <c r="CE13" s="4">
        <f t="shared" si="0"/>
        <v>116.07099999999998</v>
      </c>
      <c r="CF13" s="4">
        <f t="shared" si="1"/>
        <v>123.06949999999999</v>
      </c>
      <c r="CG13" s="4">
        <f t="shared" si="1"/>
        <v>123.07053938633442</v>
      </c>
      <c r="CH13" s="4"/>
      <c r="CI13" s="23"/>
      <c r="CJ13" s="42"/>
      <c r="CK13" s="42"/>
      <c r="CL13" s="23"/>
    </row>
    <row r="14" spans="1:90" ht="13.5" customHeight="1">
      <c r="A14" s="26">
        <v>3</v>
      </c>
      <c r="B14" s="27" t="s">
        <v>40</v>
      </c>
      <c r="C14" s="4">
        <f>1/1.478</f>
        <v>0.6765899864682002</v>
      </c>
      <c r="D14" s="4">
        <v>209.54</v>
      </c>
      <c r="E14" s="4">
        <f>D$34/C14</f>
        <v>209.53606000000002</v>
      </c>
      <c r="F14" s="4"/>
      <c r="G14" s="4">
        <f>1/1.4753</f>
        <v>0.6778282383244085</v>
      </c>
      <c r="H14" s="4">
        <v>209.16</v>
      </c>
      <c r="I14" s="4">
        <f>H$34/G14</f>
        <v>209.15328100000005</v>
      </c>
      <c r="J14" s="4"/>
      <c r="K14" s="4">
        <f>1/1.4743</f>
        <v>0.6782880010852608</v>
      </c>
      <c r="L14" s="4">
        <v>209.16</v>
      </c>
      <c r="M14" s="4">
        <f>L$34/K14</f>
        <v>209.15894100000003</v>
      </c>
      <c r="N14" s="4"/>
      <c r="O14" s="4">
        <f>1/1.4687</f>
        <v>0.6808742425274052</v>
      </c>
      <c r="P14" s="4">
        <v>208.42</v>
      </c>
      <c r="Q14" s="4">
        <f>P$34/O14</f>
        <v>208.42321699999997</v>
      </c>
      <c r="R14" s="4"/>
      <c r="S14" s="4">
        <f>1/1.4609</f>
        <v>0.6845095489082073</v>
      </c>
      <c r="T14" s="4">
        <v>207.3</v>
      </c>
      <c r="U14" s="4">
        <f>T$34/S14</f>
        <v>207.30171</v>
      </c>
      <c r="V14" s="4"/>
      <c r="W14" s="4">
        <f>1/1.446</f>
        <v>0.6915629322268326</v>
      </c>
      <c r="X14" s="4">
        <v>205.92</v>
      </c>
      <c r="Y14" s="4">
        <f>X$34/W14</f>
        <v>205.92486</v>
      </c>
      <c r="Z14" s="4"/>
      <c r="AA14" s="4">
        <f>1/1.4443</f>
        <v>0.6923769300006924</v>
      </c>
      <c r="AB14" s="4">
        <v>205.48</v>
      </c>
      <c r="AC14" s="4">
        <f>AB$34/AA14</f>
        <v>205.480561</v>
      </c>
      <c r="AD14" s="4"/>
      <c r="AE14" s="4">
        <f>1/1.4522</f>
        <v>0.6886103842445944</v>
      </c>
      <c r="AF14" s="4">
        <v>206.96</v>
      </c>
      <c r="AG14" s="4">
        <f>AF$34/AE14</f>
        <v>206.95302199999998</v>
      </c>
      <c r="AH14" s="4"/>
      <c r="AI14" s="4">
        <f>1/1.453</f>
        <v>0.6882312456985547</v>
      </c>
      <c r="AJ14" s="4">
        <v>207.3</v>
      </c>
      <c r="AK14" s="4">
        <f>AJ$34/AI14</f>
        <v>207.29951</v>
      </c>
      <c r="AL14" s="4"/>
      <c r="AM14" s="4">
        <f>1/1.4587</f>
        <v>0.6855419208884623</v>
      </c>
      <c r="AN14" s="4">
        <v>208.19</v>
      </c>
      <c r="AO14" s="4">
        <f>AN$34/AM14</f>
        <v>208.185664</v>
      </c>
      <c r="AP14" s="4"/>
      <c r="AQ14" s="4">
        <f>1/1.4578</f>
        <v>0.6859651529702291</v>
      </c>
      <c r="AR14" s="4">
        <v>208.96</v>
      </c>
      <c r="AS14" s="4">
        <f>AR$34/AQ14</f>
        <v>208.96105200000002</v>
      </c>
      <c r="AT14" s="4"/>
      <c r="AU14" s="4">
        <f>1/1.4519</f>
        <v>0.688752668916592</v>
      </c>
      <c r="AV14" s="4">
        <v>208.36</v>
      </c>
      <c r="AW14" s="4">
        <f>AV$34/AU14</f>
        <v>208.362169</v>
      </c>
      <c r="AX14" s="4"/>
      <c r="AY14" s="4">
        <f>1/1.4431</f>
        <v>0.692952671332548</v>
      </c>
      <c r="AZ14" s="4">
        <v>206.42</v>
      </c>
      <c r="BA14" s="4">
        <f>AZ$34/AY14</f>
        <v>206.421024</v>
      </c>
      <c r="BB14" s="4"/>
      <c r="BC14" s="4">
        <f>1/1.445</f>
        <v>0.6920415224913494</v>
      </c>
      <c r="BD14" s="4">
        <v>207.18</v>
      </c>
      <c r="BE14" s="4">
        <f>BD$34/BC14</f>
        <v>207.1841</v>
      </c>
      <c r="BF14" s="4"/>
      <c r="BG14" s="4">
        <f>1/1.4452</f>
        <v>0.691945751453086</v>
      </c>
      <c r="BH14" s="4">
        <v>207.21</v>
      </c>
      <c r="BI14" s="4">
        <f>BH$34/BG14</f>
        <v>207.21277600000002</v>
      </c>
      <c r="BJ14" s="4"/>
      <c r="BK14" s="4">
        <f>1/1.444</f>
        <v>0.6925207756232687</v>
      </c>
      <c r="BL14" s="4">
        <v>207.49</v>
      </c>
      <c r="BM14" s="4">
        <f>BL$34/BK14</f>
        <v>207.48835999999997</v>
      </c>
      <c r="BN14" s="4"/>
      <c r="BO14" s="4">
        <f>1/1.4476</f>
        <v>0.6907985631389887</v>
      </c>
      <c r="BP14" s="4">
        <v>208.26</v>
      </c>
      <c r="BQ14" s="4">
        <f>BP$34/BO14</f>
        <v>208.266212</v>
      </c>
      <c r="BR14" s="4"/>
      <c r="BS14" s="4">
        <f>1/1.4428</f>
        <v>0.6930967563071805</v>
      </c>
      <c r="BT14" s="4">
        <v>207.56</v>
      </c>
      <c r="BU14" s="4">
        <f>BT$34/BS14</f>
        <v>207.56120800000002</v>
      </c>
      <c r="BV14" s="4"/>
      <c r="BW14" s="4">
        <f>1/1.4415</f>
        <v>0.693721817551162</v>
      </c>
      <c r="BX14" s="4">
        <v>207.98</v>
      </c>
      <c r="BY14" s="4">
        <f>BX$34/BW14</f>
        <v>207.05705999999998</v>
      </c>
      <c r="BZ14" s="4"/>
      <c r="CA14" s="36">
        <f>1/1.4408</f>
        <v>0.6940588561910049</v>
      </c>
      <c r="CB14" s="36">
        <v>206.39</v>
      </c>
      <c r="CC14" s="36">
        <f>CB$34/CA14</f>
        <v>206.39460000000003</v>
      </c>
      <c r="CD14" s="4"/>
      <c r="CE14" s="4">
        <f t="shared" si="0"/>
        <v>0.6880133983174015</v>
      </c>
      <c r="CF14" s="4">
        <f t="shared" si="1"/>
        <v>207.66200000000003</v>
      </c>
      <c r="CG14" s="4">
        <f t="shared" si="1"/>
        <v>207.61626934999998</v>
      </c>
      <c r="CH14" s="4"/>
      <c r="CI14" s="23"/>
      <c r="CJ14" s="42"/>
      <c r="CK14" s="42"/>
      <c r="CL14" s="23"/>
    </row>
    <row r="15" spans="1:90" ht="13.5" customHeight="1">
      <c r="A15" s="26">
        <v>4</v>
      </c>
      <c r="B15" s="27" t="s">
        <v>41</v>
      </c>
      <c r="C15" s="4">
        <v>1.6297</v>
      </c>
      <c r="D15" s="4">
        <v>86.99</v>
      </c>
      <c r="E15" s="4">
        <f>D$34/C15</f>
        <v>86.99147082285084</v>
      </c>
      <c r="F15" s="4"/>
      <c r="G15" s="4">
        <v>1.6355</v>
      </c>
      <c r="H15" s="4">
        <v>86.69</v>
      </c>
      <c r="I15" s="4">
        <f>H$34/G15</f>
        <v>86.68297156832774</v>
      </c>
      <c r="J15" s="4"/>
      <c r="K15" s="4">
        <v>1.637</v>
      </c>
      <c r="L15" s="4">
        <v>86.67</v>
      </c>
      <c r="M15" s="4">
        <f>L$34/K15</f>
        <v>86.66463042150275</v>
      </c>
      <c r="N15" s="4"/>
      <c r="O15" s="4">
        <v>1.6458</v>
      </c>
      <c r="P15" s="4">
        <v>86.22</v>
      </c>
      <c r="Q15" s="4">
        <f>P$34/O15</f>
        <v>86.2255438084822</v>
      </c>
      <c r="R15" s="4"/>
      <c r="S15" s="4">
        <v>1.6463</v>
      </c>
      <c r="T15" s="4">
        <v>86.19</v>
      </c>
      <c r="U15" s="4">
        <f>T$34/S15</f>
        <v>86.19328190487761</v>
      </c>
      <c r="V15" s="4"/>
      <c r="W15" s="4">
        <v>1.6714</v>
      </c>
      <c r="X15" s="4">
        <v>85.2</v>
      </c>
      <c r="Y15" s="4">
        <f>X$34/W15</f>
        <v>85.2040205815484</v>
      </c>
      <c r="Z15" s="4"/>
      <c r="AA15" s="4">
        <v>1.6612</v>
      </c>
      <c r="AB15" s="4">
        <v>85.64</v>
      </c>
      <c r="AC15" s="4">
        <f>AB$34/AA15</f>
        <v>85.6429087406694</v>
      </c>
      <c r="AD15" s="4"/>
      <c r="AE15" s="4">
        <v>1.653</v>
      </c>
      <c r="AF15" s="4">
        <v>86.21</v>
      </c>
      <c r="AG15" s="4">
        <f>AF$34/AE15</f>
        <v>86.21294615849969</v>
      </c>
      <c r="AH15" s="4"/>
      <c r="AI15" s="4">
        <v>1.6596</v>
      </c>
      <c r="AJ15" s="4">
        <v>85.97</v>
      </c>
      <c r="AK15" s="4">
        <f>AJ$34/AI15</f>
        <v>85.96649795131357</v>
      </c>
      <c r="AL15" s="4"/>
      <c r="AM15" s="4">
        <v>1.6691</v>
      </c>
      <c r="AN15" s="4">
        <v>85.51</v>
      </c>
      <c r="AO15" s="4">
        <f>AN$34/AM15</f>
        <v>85.50715954706129</v>
      </c>
      <c r="AP15" s="4"/>
      <c r="AQ15" s="4">
        <v>1.6729</v>
      </c>
      <c r="AR15" s="4">
        <v>85.68</v>
      </c>
      <c r="AS15" s="4">
        <f>AR$34/AQ15</f>
        <v>85.68354354713372</v>
      </c>
      <c r="AT15" s="4"/>
      <c r="AU15" s="4">
        <v>1.6792</v>
      </c>
      <c r="AV15" s="4">
        <v>85.46</v>
      </c>
      <c r="AW15" s="4">
        <f>AV$34/AU15</f>
        <v>85.46331586469746</v>
      </c>
      <c r="AX15" s="4"/>
      <c r="AY15" s="4">
        <v>1.6719</v>
      </c>
      <c r="AZ15" s="4">
        <v>85.56</v>
      </c>
      <c r="BA15" s="4">
        <f>AZ$34/AY15</f>
        <v>85.5553561815898</v>
      </c>
      <c r="BB15" s="4"/>
      <c r="BC15" s="4">
        <v>1.6766</v>
      </c>
      <c r="BD15" s="4">
        <v>85.52</v>
      </c>
      <c r="BE15" s="4">
        <f>BD$34/BC15</f>
        <v>85.51831086723129</v>
      </c>
      <c r="BF15" s="4"/>
      <c r="BG15" s="4">
        <v>1.6722</v>
      </c>
      <c r="BH15" s="4">
        <v>85.74</v>
      </c>
      <c r="BI15" s="4">
        <f>BH$34/BG15</f>
        <v>85.74333213730415</v>
      </c>
      <c r="BJ15" s="4"/>
      <c r="BK15" s="4">
        <v>1.685</v>
      </c>
      <c r="BL15" s="4">
        <v>85.28</v>
      </c>
      <c r="BM15" s="4">
        <f>BL$34/BK15</f>
        <v>85.27596439169139</v>
      </c>
      <c r="BN15" s="4"/>
      <c r="BO15" s="4">
        <v>1.6868</v>
      </c>
      <c r="BP15" s="4">
        <v>85.29</v>
      </c>
      <c r="BQ15" s="4">
        <f>BP$34/BO15</f>
        <v>85.29167654730851</v>
      </c>
      <c r="BR15" s="4"/>
      <c r="BS15" s="4">
        <v>1.687</v>
      </c>
      <c r="BT15" s="4">
        <v>85.27</v>
      </c>
      <c r="BU15" s="4">
        <f>BT$34/BS15</f>
        <v>85.2756372258447</v>
      </c>
      <c r="BV15" s="4"/>
      <c r="BW15" s="4">
        <v>1.6769</v>
      </c>
      <c r="BX15" s="4">
        <v>85.66</v>
      </c>
      <c r="BY15" s="4">
        <f>BX$34/BW15</f>
        <v>85.65805951458046</v>
      </c>
      <c r="BZ15" s="4"/>
      <c r="CA15" s="36">
        <v>1.6752</v>
      </c>
      <c r="CB15" s="36">
        <v>85.51</v>
      </c>
      <c r="CC15" s="36">
        <f>CB$34/CA15</f>
        <v>85.51217765042979</v>
      </c>
      <c r="CD15" s="4"/>
      <c r="CE15" s="4">
        <f t="shared" si="0"/>
        <v>1.6646150000000002</v>
      </c>
      <c r="CF15" s="4">
        <f t="shared" si="1"/>
        <v>85.813</v>
      </c>
      <c r="CG15" s="4">
        <f t="shared" si="1"/>
        <v>85.81344027164724</v>
      </c>
      <c r="CH15" s="4"/>
      <c r="CI15" s="23"/>
      <c r="CJ15" s="42"/>
      <c r="CK15" s="42"/>
      <c r="CL15" s="23"/>
    </row>
    <row r="16" spans="1:90" ht="13.5" customHeight="1">
      <c r="A16" s="26">
        <v>5</v>
      </c>
      <c r="B16" s="27" t="s">
        <v>42</v>
      </c>
      <c r="C16" s="4">
        <v>6.9775</v>
      </c>
      <c r="D16" s="4">
        <v>20.32</v>
      </c>
      <c r="E16" s="4">
        <f>D$34/C16</f>
        <v>20.31816553206736</v>
      </c>
      <c r="F16" s="4"/>
      <c r="G16" s="4">
        <v>7.0088</v>
      </c>
      <c r="H16" s="4">
        <v>20.23</v>
      </c>
      <c r="I16" s="4">
        <f>H$34/G16</f>
        <v>20.227428375756194</v>
      </c>
      <c r="J16" s="4"/>
      <c r="K16" s="4">
        <v>6.9857</v>
      </c>
      <c r="L16" s="4">
        <v>20.31</v>
      </c>
      <c r="M16" s="4">
        <f>L$34/K16</f>
        <v>20.30863048799691</v>
      </c>
      <c r="N16" s="4"/>
      <c r="O16" s="4">
        <v>7.0201</v>
      </c>
      <c r="P16" s="4">
        <v>20.21</v>
      </c>
      <c r="Q16" s="4">
        <f>P$34/O16</f>
        <v>20.214811754818307</v>
      </c>
      <c r="R16" s="4"/>
      <c r="S16" s="4">
        <v>7.0284</v>
      </c>
      <c r="T16" s="4">
        <v>20.19</v>
      </c>
      <c r="U16" s="4">
        <f>T$34/S16</f>
        <v>20.18951681748335</v>
      </c>
      <c r="V16" s="4"/>
      <c r="W16" s="4">
        <v>7.1416</v>
      </c>
      <c r="X16" s="4">
        <v>19.94</v>
      </c>
      <c r="Y16" s="4">
        <f>X$34/W16</f>
        <v>19.940909600089615</v>
      </c>
      <c r="Z16" s="4"/>
      <c r="AA16" s="4">
        <v>7.1053</v>
      </c>
      <c r="AB16" s="4">
        <v>20.02</v>
      </c>
      <c r="AC16" s="4">
        <f>AB$34/AA16</f>
        <v>20.023081361800347</v>
      </c>
      <c r="AD16" s="4"/>
      <c r="AE16" s="4">
        <v>7.0609</v>
      </c>
      <c r="AF16" s="4">
        <v>20.18</v>
      </c>
      <c r="AG16" s="4">
        <f>AF$34/AE16</f>
        <v>20.18297950686173</v>
      </c>
      <c r="AH16" s="4"/>
      <c r="AI16" s="4">
        <v>7.0769</v>
      </c>
      <c r="AJ16" s="4">
        <v>20.16</v>
      </c>
      <c r="AK16" s="4">
        <f>AJ$34/AI16</f>
        <v>20.15995704333818</v>
      </c>
      <c r="AL16" s="4"/>
      <c r="AM16" s="4">
        <v>7.1331</v>
      </c>
      <c r="AN16" s="4">
        <v>20.01</v>
      </c>
      <c r="AO16" s="4">
        <f>AN$34/AM16</f>
        <v>20.00813110709229</v>
      </c>
      <c r="AP16" s="4"/>
      <c r="AQ16" s="4">
        <v>7.1619</v>
      </c>
      <c r="AR16" s="4">
        <v>20.01</v>
      </c>
      <c r="AS16" s="4">
        <f>AR$34/AQ16</f>
        <v>20.014242030746033</v>
      </c>
      <c r="AT16" s="4"/>
      <c r="AU16" s="4">
        <v>7.1642</v>
      </c>
      <c r="AV16" s="4">
        <v>20.03</v>
      </c>
      <c r="AW16" s="4">
        <f>AV$34/AU16</f>
        <v>20.03154574132492</v>
      </c>
      <c r="AX16" s="4"/>
      <c r="AY16" s="4">
        <v>7.1292</v>
      </c>
      <c r="AZ16" s="4">
        <v>20.06</v>
      </c>
      <c r="BA16" s="4">
        <f>AZ$34/AY16</f>
        <v>20.06396229590978</v>
      </c>
      <c r="BB16" s="4"/>
      <c r="BC16" s="4">
        <v>7.1603</v>
      </c>
      <c r="BD16" s="4">
        <v>20.02</v>
      </c>
      <c r="BE16" s="4">
        <f>BD$34/BC16</f>
        <v>20.024300657793667</v>
      </c>
      <c r="BF16" s="4"/>
      <c r="BG16" s="4">
        <v>7.1541</v>
      </c>
      <c r="BH16" s="4">
        <v>20.04</v>
      </c>
      <c r="BI16" s="4">
        <f>BH$34/BG16</f>
        <v>20.041654435917867</v>
      </c>
      <c r="BJ16" s="4"/>
      <c r="BK16" s="4">
        <v>7.2162</v>
      </c>
      <c r="BL16" s="4">
        <v>19.91</v>
      </c>
      <c r="BM16" s="4">
        <f>BL$34/BK16</f>
        <v>19.91214212466395</v>
      </c>
      <c r="BN16" s="4"/>
      <c r="BO16" s="4">
        <v>7.2186</v>
      </c>
      <c r="BP16" s="4">
        <v>19.23</v>
      </c>
      <c r="BQ16" s="4">
        <f>BP$34/BO16</f>
        <v>19.930457429418446</v>
      </c>
      <c r="BR16" s="4"/>
      <c r="BS16" s="4">
        <v>7.2083</v>
      </c>
      <c r="BT16" s="4">
        <v>19.96</v>
      </c>
      <c r="BU16" s="4">
        <f>BT$34/BS16</f>
        <v>19.957548936642482</v>
      </c>
      <c r="BV16" s="4"/>
      <c r="BW16" s="4">
        <v>7.158</v>
      </c>
      <c r="BX16" s="4">
        <v>20.07</v>
      </c>
      <c r="BY16" s="4">
        <f>BX$34/BW16</f>
        <v>20.06705783738474</v>
      </c>
      <c r="BZ16" s="4"/>
      <c r="CA16" s="36">
        <v>7.13</v>
      </c>
      <c r="CB16" s="36">
        <v>20.09</v>
      </c>
      <c r="CC16" s="36">
        <f>CB$34/CA16</f>
        <v>20.09116409537167</v>
      </c>
      <c r="CD16" s="4"/>
      <c r="CE16" s="4">
        <f t="shared" si="0"/>
        <v>7.111954999999999</v>
      </c>
      <c r="CF16" s="4">
        <f t="shared" si="1"/>
        <v>20.0495</v>
      </c>
      <c r="CG16" s="4">
        <f t="shared" si="1"/>
        <v>20.08538435862389</v>
      </c>
      <c r="CH16" s="4"/>
      <c r="CI16" s="23"/>
      <c r="CJ16" s="42"/>
      <c r="CK16" s="42"/>
      <c r="CL16" s="23"/>
    </row>
    <row r="17" spans="1:90" ht="13.5" customHeight="1">
      <c r="A17" s="26">
        <v>6</v>
      </c>
      <c r="B17" s="27" t="s">
        <v>43</v>
      </c>
      <c r="C17" s="4">
        <v>2.3441</v>
      </c>
      <c r="D17" s="4">
        <v>60.48</v>
      </c>
      <c r="E17" s="4">
        <f>D$34/C17</f>
        <v>60.47950172774199</v>
      </c>
      <c r="F17" s="4"/>
      <c r="G17" s="4">
        <v>2.3546</v>
      </c>
      <c r="H17" s="4">
        <v>60.21</v>
      </c>
      <c r="I17" s="4">
        <f>H$34/G17</f>
        <v>60.20980208952689</v>
      </c>
      <c r="J17" s="4"/>
      <c r="K17" s="4">
        <v>2.3469</v>
      </c>
      <c r="L17" s="4">
        <v>60.45</v>
      </c>
      <c r="M17" s="4">
        <f>L$34/K17</f>
        <v>60.44995526013038</v>
      </c>
      <c r="N17" s="4"/>
      <c r="O17" s="4">
        <v>2.3584</v>
      </c>
      <c r="P17" s="4">
        <v>60.17</v>
      </c>
      <c r="Q17" s="4">
        <f>P$34/O17</f>
        <v>60.172150610583444</v>
      </c>
      <c r="R17" s="4"/>
      <c r="S17" s="4">
        <v>2.3612</v>
      </c>
      <c r="T17" s="4">
        <v>60.1</v>
      </c>
      <c r="U17" s="4">
        <f>T$34/S17</f>
        <v>60.096561070642046</v>
      </c>
      <c r="V17" s="4"/>
      <c r="W17" s="4">
        <v>2.3992</v>
      </c>
      <c r="X17" s="4">
        <v>59.36</v>
      </c>
      <c r="Y17" s="4">
        <f>X$34/W17</f>
        <v>59.357285761920636</v>
      </c>
      <c r="Z17" s="4"/>
      <c r="AA17" s="4">
        <v>2.387</v>
      </c>
      <c r="AB17" s="4">
        <v>59.6</v>
      </c>
      <c r="AC17" s="4">
        <f>AB$34/AA17</f>
        <v>59.602010892333475</v>
      </c>
      <c r="AD17" s="4"/>
      <c r="AE17" s="4">
        <v>2.3721</v>
      </c>
      <c r="AF17" s="4">
        <v>60.08</v>
      </c>
      <c r="AG17" s="4">
        <f>AF$34/AE17</f>
        <v>60.077568399308625</v>
      </c>
      <c r="AH17" s="4"/>
      <c r="AI17" s="4">
        <v>2.3775</v>
      </c>
      <c r="AJ17" s="4">
        <v>60.01</v>
      </c>
      <c r="AK17" s="4">
        <f>AJ$34/AI17</f>
        <v>60.00841219768664</v>
      </c>
      <c r="AL17" s="4"/>
      <c r="AM17" s="4">
        <v>2.3964</v>
      </c>
      <c r="AN17" s="4">
        <v>59.56</v>
      </c>
      <c r="AO17" s="4">
        <f>AN$34/AM17</f>
        <v>59.55600066766817</v>
      </c>
      <c r="AP17" s="4"/>
      <c r="AQ17" s="4">
        <v>2.4061</v>
      </c>
      <c r="AR17" s="4">
        <v>59.57</v>
      </c>
      <c r="AS17" s="4">
        <f>AR$34/AQ17</f>
        <v>59.57358380782179</v>
      </c>
      <c r="AT17" s="4"/>
      <c r="AU17" s="4">
        <v>2.4068</v>
      </c>
      <c r="AV17" s="4">
        <v>59.62</v>
      </c>
      <c r="AW17" s="4">
        <f>AV$34/AU17</f>
        <v>59.62689047698188</v>
      </c>
      <c r="AX17" s="4"/>
      <c r="AY17" s="4">
        <v>2.3951</v>
      </c>
      <c r="AZ17" s="4">
        <v>59.72</v>
      </c>
      <c r="BA17" s="4">
        <f>AZ$34/AY17</f>
        <v>59.72193227840174</v>
      </c>
      <c r="BB17" s="4"/>
      <c r="BC17" s="4">
        <v>2.4055</v>
      </c>
      <c r="BD17" s="4">
        <v>59.6</v>
      </c>
      <c r="BE17" s="4">
        <f>BD$34/BC17</f>
        <v>59.60507171066306</v>
      </c>
      <c r="BF17" s="4"/>
      <c r="BG17" s="4">
        <v>2.4034</v>
      </c>
      <c r="BH17" s="4">
        <v>59.66</v>
      </c>
      <c r="BI17" s="4">
        <f>BH$34/BG17</f>
        <v>59.657152367479405</v>
      </c>
      <c r="BJ17" s="4"/>
      <c r="BK17" s="4">
        <v>2.4243</v>
      </c>
      <c r="BL17" s="4">
        <v>59.27</v>
      </c>
      <c r="BM17" s="4">
        <f>BL$34/BK17</f>
        <v>59.27071732046363</v>
      </c>
      <c r="BN17" s="4"/>
      <c r="BO17" s="4">
        <v>2.4251</v>
      </c>
      <c r="BP17" s="4">
        <v>59.32</v>
      </c>
      <c r="BQ17" s="4">
        <f>BP$34/BO17</f>
        <v>59.32538864376727</v>
      </c>
      <c r="BR17" s="4"/>
      <c r="BS17" s="4">
        <v>2.4217</v>
      </c>
      <c r="BT17" s="4">
        <v>59.4</v>
      </c>
      <c r="BU17" s="4">
        <f>BT$34/BS17</f>
        <v>59.40455052236033</v>
      </c>
      <c r="BV17" s="4"/>
      <c r="BW17" s="4">
        <v>2.4047</v>
      </c>
      <c r="BX17" s="4">
        <v>59.73</v>
      </c>
      <c r="BY17" s="4">
        <f>BX$34/BW17</f>
        <v>59.73302283029067</v>
      </c>
      <c r="BZ17" s="4"/>
      <c r="CA17" s="36">
        <v>2.3953</v>
      </c>
      <c r="CB17" s="36">
        <v>59.8</v>
      </c>
      <c r="CC17" s="36">
        <f>CB$34/CA17</f>
        <v>59.804617375694065</v>
      </c>
      <c r="CD17" s="4"/>
      <c r="CE17" s="4">
        <f t="shared" si="0"/>
        <v>2.3892700000000002</v>
      </c>
      <c r="CF17" s="4">
        <f t="shared" si="1"/>
        <v>59.7855</v>
      </c>
      <c r="CG17" s="4">
        <f t="shared" si="1"/>
        <v>59.7866088005733</v>
      </c>
      <c r="CH17" s="4"/>
      <c r="CI17" s="23"/>
      <c r="CJ17" s="42"/>
      <c r="CK17" s="42"/>
      <c r="CL17" s="23"/>
    </row>
    <row r="18" spans="1:90" ht="13.5" customHeight="1">
      <c r="A18" s="26">
        <v>7</v>
      </c>
      <c r="B18" s="27" t="s">
        <v>44</v>
      </c>
      <c r="C18" s="4">
        <v>2059.6426</v>
      </c>
      <c r="D18" s="4">
        <v>68.83</v>
      </c>
      <c r="E18" s="4">
        <f>D$34/C18*1000</f>
        <v>68.83233042470573</v>
      </c>
      <c r="F18" s="4">
        <v>68.68</v>
      </c>
      <c r="G18" s="4">
        <v>2068.8856</v>
      </c>
      <c r="H18" s="4">
        <v>68.53</v>
      </c>
      <c r="I18" s="4">
        <f>H$34/G18*1000</f>
        <v>68.52481355179812</v>
      </c>
      <c r="J18" s="4">
        <v>68.63</v>
      </c>
      <c r="K18" s="4">
        <v>2062.0554</v>
      </c>
      <c r="L18" s="4">
        <v>68.8</v>
      </c>
      <c r="M18" s="4">
        <f>L$34/K18*1000</f>
        <v>68.80028538515502</v>
      </c>
      <c r="N18" s="4">
        <v>68.72</v>
      </c>
      <c r="O18" s="4">
        <v>2072.2068</v>
      </c>
      <c r="P18" s="4">
        <v>68.48</v>
      </c>
      <c r="Q18" s="4">
        <f>P$34/O18*1000</f>
        <v>68.48254720523067</v>
      </c>
      <c r="R18" s="4">
        <v>68.5</v>
      </c>
      <c r="S18" s="4">
        <v>2074.6491</v>
      </c>
      <c r="T18" s="4">
        <v>68.4</v>
      </c>
      <c r="U18" s="4">
        <f>T$34/S18*1000</f>
        <v>68.39710869659838</v>
      </c>
      <c r="V18" s="4">
        <v>68.39</v>
      </c>
      <c r="W18" s="4">
        <v>2108.0784</v>
      </c>
      <c r="X18" s="4">
        <v>67.55</v>
      </c>
      <c r="Y18" s="4">
        <f>X$34/W18*1000</f>
        <v>67.55441353604307</v>
      </c>
      <c r="Z18" s="4">
        <v>68.26</v>
      </c>
      <c r="AA18" s="4">
        <v>2097.3462</v>
      </c>
      <c r="AB18" s="4">
        <v>67.83</v>
      </c>
      <c r="AC18" s="4">
        <f>AB$34/AA18*1000</f>
        <v>67.83334100970075</v>
      </c>
      <c r="AD18" s="4">
        <v>67.99</v>
      </c>
      <c r="AE18" s="4">
        <v>2084.2519</v>
      </c>
      <c r="AF18" s="4">
        <v>68.38</v>
      </c>
      <c r="AG18" s="4">
        <f>AF$34/AE18*1000</f>
        <v>68.3746527950868</v>
      </c>
      <c r="AH18" s="4">
        <v>68.35</v>
      </c>
      <c r="AI18" s="4">
        <v>2088.974</v>
      </c>
      <c r="AJ18" s="4">
        <v>68.3</v>
      </c>
      <c r="AK18" s="4">
        <f>AJ$34/AI18*1000</f>
        <v>68.29668535845826</v>
      </c>
      <c r="AL18" s="4">
        <v>68.15</v>
      </c>
      <c r="AM18" s="4">
        <v>2105.5568</v>
      </c>
      <c r="AN18" s="4">
        <v>67.78</v>
      </c>
      <c r="AO18" s="4">
        <f>AN$34/AM18*1000</f>
        <v>67.78254569052709</v>
      </c>
      <c r="AP18" s="4">
        <v>68.05</v>
      </c>
      <c r="AQ18" s="4">
        <v>2114.0627</v>
      </c>
      <c r="AR18" s="4">
        <v>67.8</v>
      </c>
      <c r="AS18" s="4">
        <f>AR$34/AQ18*1000</f>
        <v>67.80309779837657</v>
      </c>
      <c r="AT18" s="4">
        <v>67.85</v>
      </c>
      <c r="AU18" s="4">
        <v>2114.7554</v>
      </c>
      <c r="AV18" s="4">
        <v>67.86</v>
      </c>
      <c r="AW18" s="4">
        <f>AV$34/AU18*1000</f>
        <v>67.86127606057892</v>
      </c>
      <c r="AX18" s="4">
        <v>67.78</v>
      </c>
      <c r="AY18" s="4">
        <v>2104.4126</v>
      </c>
      <c r="AZ18" s="4">
        <v>67.97</v>
      </c>
      <c r="BA18" s="4">
        <f>AZ$34/AY18*1000</f>
        <v>67.9714614900139</v>
      </c>
      <c r="BB18" s="4">
        <v>68.08</v>
      </c>
      <c r="BC18" s="4">
        <v>2113.6011</v>
      </c>
      <c r="BD18" s="4">
        <v>67.83</v>
      </c>
      <c r="BE18" s="4">
        <f>BD$34/BC18*1000</f>
        <v>67.83683070566154</v>
      </c>
      <c r="BF18" s="4">
        <v>67.98</v>
      </c>
      <c r="BG18" s="4">
        <v>2111.757</v>
      </c>
      <c r="BH18" s="4">
        <v>67.9</v>
      </c>
      <c r="BI18" s="4">
        <f>BH$34/BG18*1000</f>
        <v>67.89606948147916</v>
      </c>
      <c r="BJ18" s="4">
        <v>67.83</v>
      </c>
      <c r="BK18" s="4">
        <v>2130.11</v>
      </c>
      <c r="BL18" s="4">
        <v>67.46</v>
      </c>
      <c r="BM18" s="4">
        <f>BL$34/BK18*1000</f>
        <v>67.45661022200731</v>
      </c>
      <c r="BN18" s="4">
        <v>67.69</v>
      </c>
      <c r="BO18" s="4">
        <v>2130.8132</v>
      </c>
      <c r="BP18" s="4">
        <v>67.52</v>
      </c>
      <c r="BQ18" s="4">
        <f>BP$34/BO18*1000</f>
        <v>67.518823329985</v>
      </c>
      <c r="BR18" s="4">
        <v>67.57</v>
      </c>
      <c r="BS18" s="4">
        <v>2127.7692</v>
      </c>
      <c r="BT18" s="4">
        <v>67.61</v>
      </c>
      <c r="BU18" s="4">
        <f>BT$34/BS18*1000</f>
        <v>67.6107164254469</v>
      </c>
      <c r="BV18" s="4">
        <v>67.67</v>
      </c>
      <c r="BW18" s="4">
        <v>2112.9092</v>
      </c>
      <c r="BX18" s="4">
        <v>67.98</v>
      </c>
      <c r="BY18" s="4">
        <f>BX$34/BW18*1000</f>
        <v>67.98209785825155</v>
      </c>
      <c r="BZ18" s="4">
        <v>67.98</v>
      </c>
      <c r="CA18" s="36">
        <v>2104.6413</v>
      </c>
      <c r="CB18" s="36">
        <v>68.06</v>
      </c>
      <c r="CC18" s="36">
        <f>CB$34/CA18*1000</f>
        <v>68.06385487161162</v>
      </c>
      <c r="CD18" s="4">
        <v>68.1</v>
      </c>
      <c r="CE18" s="4">
        <f t="shared" si="0"/>
        <v>2099.323925</v>
      </c>
      <c r="CF18" s="4">
        <f t="shared" si="1"/>
        <v>68.0435</v>
      </c>
      <c r="CG18" s="4">
        <f t="shared" si="1"/>
        <v>68.04397809483582</v>
      </c>
      <c r="CH18" s="4">
        <f t="shared" si="1"/>
        <v>68.1125</v>
      </c>
      <c r="CI18" s="23"/>
      <c r="CJ18" s="42"/>
      <c r="CK18" s="42"/>
      <c r="CL18" s="42"/>
    </row>
    <row r="19" spans="1:90" ht="13.5" customHeight="1">
      <c r="A19" s="26">
        <v>8</v>
      </c>
      <c r="B19" s="27" t="s">
        <v>45</v>
      </c>
      <c r="C19" s="4">
        <v>42.9102</v>
      </c>
      <c r="D19" s="4">
        <v>3.3</v>
      </c>
      <c r="E19" s="4">
        <f>D$34/C19</f>
        <v>3.3038764675997783</v>
      </c>
      <c r="F19" s="4"/>
      <c r="G19" s="4">
        <v>42.1028</v>
      </c>
      <c r="H19" s="4">
        <v>3.29</v>
      </c>
      <c r="I19" s="4">
        <f>H$34/G19</f>
        <v>3.3672344832172683</v>
      </c>
      <c r="J19" s="4"/>
      <c r="K19" s="4">
        <v>42.9605</v>
      </c>
      <c r="L19" s="4">
        <v>3.3</v>
      </c>
      <c r="M19" s="4">
        <f>L$34/K19</f>
        <v>3.3023358666682183</v>
      </c>
      <c r="N19" s="4"/>
      <c r="O19" s="4">
        <v>43.172</v>
      </c>
      <c r="P19" s="4">
        <v>3.29</v>
      </c>
      <c r="Q19" s="4">
        <f>P$34/O19</f>
        <v>3.287084221254517</v>
      </c>
      <c r="R19" s="4"/>
      <c r="S19" s="4">
        <v>43.2229</v>
      </c>
      <c r="T19" s="4">
        <v>3.28</v>
      </c>
      <c r="U19" s="4">
        <f>T$34/S19</f>
        <v>3.282981937815371</v>
      </c>
      <c r="V19" s="4"/>
      <c r="W19" s="4">
        <v>43.9193</v>
      </c>
      <c r="X19" s="4">
        <v>3.24</v>
      </c>
      <c r="Y19" s="4">
        <f>X$34/W19</f>
        <v>3.2425380185931925</v>
      </c>
      <c r="Z19" s="4"/>
      <c r="AA19" s="4">
        <v>43.6957</v>
      </c>
      <c r="AB19" s="4">
        <v>3.26</v>
      </c>
      <c r="AC19" s="4">
        <f>AB$34/AA19</f>
        <v>3.255926784557748</v>
      </c>
      <c r="AD19" s="4"/>
      <c r="AE19" s="4">
        <v>43.4229</v>
      </c>
      <c r="AF19" s="4">
        <v>3.28</v>
      </c>
      <c r="AG19" s="4">
        <f>AF$34/AE19</f>
        <v>3.281908854544491</v>
      </c>
      <c r="AH19" s="4"/>
      <c r="AI19" s="4">
        <v>43.5213</v>
      </c>
      <c r="AJ19" s="4">
        <v>3.28</v>
      </c>
      <c r="AK19" s="4">
        <f>AJ$34/AI19</f>
        <v>3.2781649445214183</v>
      </c>
      <c r="AL19" s="4"/>
      <c r="AM19" s="4">
        <v>43.8668</v>
      </c>
      <c r="AN19" s="4">
        <v>3.25</v>
      </c>
      <c r="AO19" s="4">
        <f>AN$34/AM19</f>
        <v>3.2534855517156482</v>
      </c>
      <c r="AP19" s="4"/>
      <c r="AQ19" s="4">
        <v>44.044</v>
      </c>
      <c r="AR19" s="4">
        <v>3.25</v>
      </c>
      <c r="AS19" s="4">
        <f>AR$34/AQ19</f>
        <v>3.2544727999273455</v>
      </c>
      <c r="AT19" s="4"/>
      <c r="AU19" s="4">
        <v>44.0584</v>
      </c>
      <c r="AV19" s="4">
        <v>3.26</v>
      </c>
      <c r="AW19" s="4">
        <f>AV$34/AU19</f>
        <v>3.2572676266046883</v>
      </c>
      <c r="AX19" s="4"/>
      <c r="AY19" s="4">
        <v>43.843</v>
      </c>
      <c r="AZ19" s="4">
        <v>3.26</v>
      </c>
      <c r="BA19" s="4">
        <f>AZ$34/AY19</f>
        <v>3.262550464156193</v>
      </c>
      <c r="BB19" s="4"/>
      <c r="BC19" s="4">
        <v>44.0344</v>
      </c>
      <c r="BD19" s="4">
        <v>3.26</v>
      </c>
      <c r="BE19" s="4">
        <f>BD$34/BC19</f>
        <v>3.2560906927311377</v>
      </c>
      <c r="BF19" s="4"/>
      <c r="BG19" s="4">
        <v>43.996</v>
      </c>
      <c r="BH19" s="4">
        <v>3.26</v>
      </c>
      <c r="BI19" s="4">
        <f>BH$34/BG19</f>
        <v>3.258932630239112</v>
      </c>
      <c r="BJ19" s="4"/>
      <c r="BK19" s="4">
        <v>44.3783</v>
      </c>
      <c r="BL19" s="4">
        <v>3.24</v>
      </c>
      <c r="BM19" s="4">
        <f>BL$34/BK19</f>
        <v>3.2378437209176556</v>
      </c>
      <c r="BN19" s="4"/>
      <c r="BO19" s="4">
        <v>44.393</v>
      </c>
      <c r="BP19" s="4">
        <v>3.24</v>
      </c>
      <c r="BQ19" s="4">
        <f>BP$34/BO19</f>
        <v>3.2408262563917734</v>
      </c>
      <c r="BR19" s="4"/>
      <c r="BS19" s="4">
        <v>44.3296</v>
      </c>
      <c r="BT19" s="4">
        <v>3.25</v>
      </c>
      <c r="BU19" s="4">
        <f>BT$34/BS19</f>
        <v>3.2452356890204292</v>
      </c>
      <c r="BV19" s="4"/>
      <c r="BW19" s="4">
        <v>44.02</v>
      </c>
      <c r="BX19" s="4">
        <v>3.26</v>
      </c>
      <c r="BY19" s="4">
        <f>BX$34/BW19</f>
        <v>3.2630622444343476</v>
      </c>
      <c r="BZ19" s="4"/>
      <c r="CA19" s="36">
        <v>43.8477</v>
      </c>
      <c r="CB19" s="36">
        <v>3.27</v>
      </c>
      <c r="CC19" s="36">
        <f>CB$34/CA19</f>
        <v>3.2669900587716114</v>
      </c>
      <c r="CD19" s="4"/>
      <c r="CE19" s="4">
        <f t="shared" si="0"/>
        <v>43.68694</v>
      </c>
      <c r="CF19" s="4">
        <f t="shared" si="1"/>
        <v>3.2659999999999996</v>
      </c>
      <c r="CG19" s="4">
        <f t="shared" si="1"/>
        <v>3.2699404656840967</v>
      </c>
      <c r="CH19" s="4"/>
      <c r="CI19" s="23"/>
      <c r="CJ19" s="42"/>
      <c r="CK19" s="42"/>
      <c r="CL19" s="23"/>
    </row>
    <row r="20" spans="1:90" ht="13.5" customHeight="1">
      <c r="A20" s="26">
        <v>9</v>
      </c>
      <c r="B20" s="27" t="s">
        <v>46</v>
      </c>
      <c r="C20" s="4">
        <f>1/0.9401</f>
        <v>1.0637166258908626</v>
      </c>
      <c r="D20" s="4">
        <v>133.28</v>
      </c>
      <c r="E20" s="4">
        <f>D$34/C20</f>
        <v>133.27797700000002</v>
      </c>
      <c r="F20" s="4"/>
      <c r="G20" s="4">
        <f>1/0.9359</f>
        <v>1.0684902233144566</v>
      </c>
      <c r="H20" s="4">
        <v>132.69</v>
      </c>
      <c r="I20" s="4">
        <f>H$34/G20</f>
        <v>132.682543</v>
      </c>
      <c r="J20" s="4"/>
      <c r="K20" s="4">
        <f>1/0.939</f>
        <v>1.0649627263045793</v>
      </c>
      <c r="L20" s="4">
        <v>133.22</v>
      </c>
      <c r="M20" s="4">
        <f>L$34/K20</f>
        <v>133.21593000000001</v>
      </c>
      <c r="N20" s="4"/>
      <c r="O20" s="4">
        <f>1/0.9344</f>
        <v>1.0702054794520548</v>
      </c>
      <c r="P20" s="4">
        <v>132.6</v>
      </c>
      <c r="Q20" s="4">
        <f>P$34/O20</f>
        <v>132.600704</v>
      </c>
      <c r="R20" s="4"/>
      <c r="S20" s="4">
        <f>1/0.9333</f>
        <v>1.0714668381013608</v>
      </c>
      <c r="T20" s="4">
        <v>132.43</v>
      </c>
      <c r="U20" s="4">
        <f>T$34/S20</f>
        <v>132.43527</v>
      </c>
      <c r="V20" s="4"/>
      <c r="W20" s="4">
        <f>1/0.9185</f>
        <v>1.0887316276537833</v>
      </c>
      <c r="X20" s="4">
        <v>130.8</v>
      </c>
      <c r="Y20" s="4">
        <f>X$34/W20</f>
        <v>130.803585</v>
      </c>
      <c r="Z20" s="4"/>
      <c r="AA20" s="4">
        <f>1/0.9232</f>
        <v>1.0831889081455806</v>
      </c>
      <c r="AB20" s="4">
        <v>131.34</v>
      </c>
      <c r="AC20" s="4">
        <f>AB$34/AA20</f>
        <v>131.34366400000002</v>
      </c>
      <c r="AD20" s="4"/>
      <c r="AE20" s="4">
        <f>1/0.929</f>
        <v>1.0764262648008611</v>
      </c>
      <c r="AF20" s="4">
        <v>132.39</v>
      </c>
      <c r="AG20" s="4">
        <f>AF$34/AE20</f>
        <v>132.39179</v>
      </c>
      <c r="AH20" s="4"/>
      <c r="AI20" s="4">
        <f>1/0.9269</f>
        <v>1.0788650339842487</v>
      </c>
      <c r="AJ20" s="4">
        <v>132.24</v>
      </c>
      <c r="AK20" s="4">
        <f>AJ$34/AI20</f>
        <v>132.24082299999998</v>
      </c>
      <c r="AL20" s="4"/>
      <c r="AM20" s="4">
        <f>1/0.9196</f>
        <v>1.087429317094389</v>
      </c>
      <c r="AN20" s="4">
        <v>131.25</v>
      </c>
      <c r="AO20" s="4">
        <f>AN$34/AM20</f>
        <v>131.24531199999998</v>
      </c>
      <c r="AP20" s="4"/>
      <c r="AQ20" s="4">
        <f>1/0.9159</f>
        <v>1.0918222513374822</v>
      </c>
      <c r="AR20" s="4">
        <v>131.28</v>
      </c>
      <c r="AS20" s="4">
        <f>AR$34/AQ20</f>
        <v>131.285106</v>
      </c>
      <c r="AT20" s="4"/>
      <c r="AU20" s="4">
        <f>1/0.9156</f>
        <v>1.09217999126256</v>
      </c>
      <c r="AV20" s="4">
        <v>131.39</v>
      </c>
      <c r="AW20" s="4">
        <f>AV$34/AU20</f>
        <v>131.397756</v>
      </c>
      <c r="AX20" s="4"/>
      <c r="AY20" s="25">
        <f>1/0.9201</f>
        <v>1.0868383871318334</v>
      </c>
      <c r="AZ20" s="4">
        <v>131.61</v>
      </c>
      <c r="BA20" s="4">
        <f>AZ$34/AY20</f>
        <v>131.611104</v>
      </c>
      <c r="BB20" s="4"/>
      <c r="BC20" s="25">
        <f>1/0.9161</f>
        <v>1.0915838882218099</v>
      </c>
      <c r="BD20" s="4">
        <v>131.35</v>
      </c>
      <c r="BE20" s="4">
        <f>BD$34/BC20</f>
        <v>131.350418</v>
      </c>
      <c r="BF20" s="4"/>
      <c r="BG20" s="4">
        <f>1/0.9169</f>
        <v>1.0906314756243864</v>
      </c>
      <c r="BH20" s="4">
        <v>131.46</v>
      </c>
      <c r="BI20" s="4">
        <f>BH$34/BG20</f>
        <v>131.465122</v>
      </c>
      <c r="BJ20" s="4"/>
      <c r="BK20" s="4">
        <f>1/0.909</f>
        <v>1.1001100110011002</v>
      </c>
      <c r="BL20" s="4">
        <v>130.61</v>
      </c>
      <c r="BM20" s="4">
        <f>BL$34/BK20</f>
        <v>130.61420999999999</v>
      </c>
      <c r="BN20" s="4"/>
      <c r="BO20" s="4">
        <f>1/0.9087</f>
        <v>1.1004732034774953</v>
      </c>
      <c r="BP20" s="4">
        <v>130.73</v>
      </c>
      <c r="BQ20" s="4">
        <f>BP$34/BO20</f>
        <v>130.734669</v>
      </c>
      <c r="BR20" s="4"/>
      <c r="BS20" s="4">
        <f>1/0.91</f>
        <v>1.0989010989010988</v>
      </c>
      <c r="BT20" s="4">
        <v>130.91</v>
      </c>
      <c r="BU20" s="4">
        <f>BT$34/BS20</f>
        <v>130.91260000000003</v>
      </c>
      <c r="BV20" s="4"/>
      <c r="BW20" s="4">
        <f>1/0.9164</f>
        <v>1.0912265386294195</v>
      </c>
      <c r="BX20" s="4">
        <v>131.63</v>
      </c>
      <c r="BY20" s="4">
        <f>BX$34/BW20</f>
        <v>131.63169599999998</v>
      </c>
      <c r="BZ20" s="4"/>
      <c r="CA20" s="36">
        <f>1/0.92</f>
        <v>1.0869565217391304</v>
      </c>
      <c r="CB20" s="36">
        <v>131.79</v>
      </c>
      <c r="CC20" s="36">
        <f>CB$34/CA20</f>
        <v>131.79000000000002</v>
      </c>
      <c r="CD20" s="4"/>
      <c r="CE20" s="4">
        <f t="shared" si="0"/>
        <v>1.0842103206034248</v>
      </c>
      <c r="CF20" s="4">
        <f t="shared" si="1"/>
        <v>131.75</v>
      </c>
      <c r="CG20" s="4">
        <f t="shared" si="1"/>
        <v>131.75151395000003</v>
      </c>
      <c r="CH20" s="4"/>
      <c r="CI20" s="23"/>
      <c r="CJ20" s="42"/>
      <c r="CK20" s="42"/>
      <c r="CL20" s="23"/>
    </row>
    <row r="21" spans="1:90" ht="13.5" customHeight="1">
      <c r="A21" s="26">
        <v>10</v>
      </c>
      <c r="B21" s="27" t="s">
        <v>47</v>
      </c>
      <c r="C21" s="4">
        <v>266.7</v>
      </c>
      <c r="D21" s="4">
        <v>37810.05</v>
      </c>
      <c r="E21" s="4">
        <f>D$34*C21</f>
        <v>37810.059</v>
      </c>
      <c r="F21" s="4"/>
      <c r="G21" s="4">
        <v>267.9</v>
      </c>
      <c r="H21" s="4">
        <v>37981.51</v>
      </c>
      <c r="I21" s="4">
        <f>H$34*G21</f>
        <v>37980.183</v>
      </c>
      <c r="J21" s="4"/>
      <c r="K21" s="4">
        <v>265.5</v>
      </c>
      <c r="L21" s="4">
        <v>37667.13</v>
      </c>
      <c r="M21" s="4">
        <f>L$34*K21</f>
        <v>37666.485</v>
      </c>
      <c r="N21" s="4"/>
      <c r="O21" s="4">
        <v>264.6</v>
      </c>
      <c r="P21" s="4">
        <v>37548.51</v>
      </c>
      <c r="Q21" s="4">
        <f>P$34*O21</f>
        <v>37549.386000000006</v>
      </c>
      <c r="R21" s="4"/>
      <c r="S21" s="4">
        <v>263.7</v>
      </c>
      <c r="T21" s="4">
        <v>37418.51</v>
      </c>
      <c r="U21" s="4">
        <f>T$34*S21</f>
        <v>37419.03</v>
      </c>
      <c r="V21" s="4"/>
      <c r="W21" s="4">
        <v>262.5</v>
      </c>
      <c r="X21" s="4">
        <v>37382.27</v>
      </c>
      <c r="Y21" s="4">
        <f>X$34*W21</f>
        <v>37382.625</v>
      </c>
      <c r="Z21" s="4"/>
      <c r="AA21" s="4">
        <v>259.65</v>
      </c>
      <c r="AB21" s="4">
        <v>36939.5</v>
      </c>
      <c r="AC21" s="4">
        <f>AB$34*AA21</f>
        <v>36940.4055</v>
      </c>
      <c r="AD21" s="4"/>
      <c r="AE21" s="4">
        <v>260.75</v>
      </c>
      <c r="AF21" s="4">
        <v>37159.97</v>
      </c>
      <c r="AG21" s="4">
        <f>AF$34*AE21</f>
        <v>37159.4825</v>
      </c>
      <c r="AH21" s="4"/>
      <c r="AI21" s="4">
        <v>261.4</v>
      </c>
      <c r="AJ21" s="4">
        <v>37293.66</v>
      </c>
      <c r="AK21" s="4">
        <f>AJ$34*AI21</f>
        <v>37293.937999999995</v>
      </c>
      <c r="AL21" s="4"/>
      <c r="AM21" s="4">
        <v>260.8</v>
      </c>
      <c r="AN21" s="4">
        <v>37222.67</v>
      </c>
      <c r="AO21" s="4">
        <f>AN$34*AM21</f>
        <v>37221.376000000004</v>
      </c>
      <c r="AP21" s="4"/>
      <c r="AQ21" s="4">
        <v>259.5</v>
      </c>
      <c r="AR21" s="4">
        <v>37195.98</v>
      </c>
      <c r="AS21" s="4">
        <f>AR$34*AQ21</f>
        <v>37196.73</v>
      </c>
      <c r="AT21" s="4"/>
      <c r="AU21" s="4">
        <v>258.1</v>
      </c>
      <c r="AV21" s="4">
        <v>37039.12</v>
      </c>
      <c r="AW21" s="4">
        <f>AV$34*AU21</f>
        <v>37039.931000000004</v>
      </c>
      <c r="AX21" s="4"/>
      <c r="AY21" s="4">
        <v>259.4</v>
      </c>
      <c r="AZ21" s="4">
        <v>37105.29</v>
      </c>
      <c r="BA21" s="4">
        <f>AZ$34*AY21</f>
        <v>37104.575999999994</v>
      </c>
      <c r="BB21" s="4"/>
      <c r="BC21" s="4">
        <v>258.6</v>
      </c>
      <c r="BD21" s="4">
        <v>37076.97</v>
      </c>
      <c r="BE21" s="4">
        <f>BD$34*BC21</f>
        <v>37078.068</v>
      </c>
      <c r="BF21" s="4"/>
      <c r="BG21" s="4">
        <v>258.7</v>
      </c>
      <c r="BH21" s="4">
        <v>37092.1</v>
      </c>
      <c r="BI21" s="4">
        <f>BH$34*BG21</f>
        <v>37092.405999999995</v>
      </c>
      <c r="BJ21" s="4"/>
      <c r="BK21" s="4">
        <v>258</v>
      </c>
      <c r="BL21" s="4">
        <v>37072.08</v>
      </c>
      <c r="BM21" s="4">
        <f>BL$34*BK21</f>
        <v>37072.02</v>
      </c>
      <c r="BN21" s="4"/>
      <c r="BO21" s="4">
        <v>260.1</v>
      </c>
      <c r="BP21" s="4">
        <v>37419.42</v>
      </c>
      <c r="BQ21" s="4">
        <f>BP$34*BO21</f>
        <v>37420.58700000001</v>
      </c>
      <c r="BR21" s="4"/>
      <c r="BS21" s="4">
        <v>263</v>
      </c>
      <c r="BT21" s="4">
        <v>37834.17</v>
      </c>
      <c r="BU21" s="4">
        <f>BT$34*BS21</f>
        <v>37835.18</v>
      </c>
      <c r="BV21" s="4"/>
      <c r="BW21" s="4">
        <v>268.3</v>
      </c>
      <c r="BX21" s="4">
        <v>38539.53</v>
      </c>
      <c r="BY21" s="4">
        <f>BX$34*BW21</f>
        <v>38538.612</v>
      </c>
      <c r="BZ21" s="4"/>
      <c r="CA21" s="36">
        <v>266.6</v>
      </c>
      <c r="CB21" s="36">
        <v>38190.11</v>
      </c>
      <c r="CC21" s="36">
        <f>CB$34*CA21</f>
        <v>38190.450000000004</v>
      </c>
      <c r="CD21" s="4"/>
      <c r="CE21" s="4">
        <f t="shared" si="0"/>
        <v>262.19</v>
      </c>
      <c r="CF21" s="4">
        <f t="shared" si="1"/>
        <v>37449.4275</v>
      </c>
      <c r="CG21" s="4">
        <f t="shared" si="1"/>
        <v>37449.5765</v>
      </c>
      <c r="CH21" s="4"/>
      <c r="CI21" s="23"/>
      <c r="CJ21" s="42"/>
      <c r="CK21" s="42"/>
      <c r="CL21" s="23"/>
    </row>
    <row r="22" spans="1:90" ht="13.5" customHeight="1">
      <c r="A22" s="26">
        <v>11</v>
      </c>
      <c r="B22" s="28" t="s">
        <v>48</v>
      </c>
      <c r="C22" s="4">
        <v>4.75</v>
      </c>
      <c r="D22" s="4">
        <v>673.41</v>
      </c>
      <c r="E22" s="4">
        <f>D$34*C22</f>
        <v>673.4075</v>
      </c>
      <c r="F22" s="4"/>
      <c r="G22" s="4">
        <v>4.77</v>
      </c>
      <c r="H22" s="4">
        <v>676.27</v>
      </c>
      <c r="I22" s="4">
        <f>H$34*G22</f>
        <v>676.2429</v>
      </c>
      <c r="J22" s="4"/>
      <c r="K22" s="4">
        <v>4.7</v>
      </c>
      <c r="L22" s="4">
        <v>666.8</v>
      </c>
      <c r="M22" s="4">
        <f>L$34*K22</f>
        <v>666.7890000000001</v>
      </c>
      <c r="N22" s="4"/>
      <c r="O22" s="4">
        <v>4.66</v>
      </c>
      <c r="P22" s="4">
        <v>661.29</v>
      </c>
      <c r="Q22" s="4">
        <f>P$34*O22</f>
        <v>661.3006</v>
      </c>
      <c r="R22" s="4"/>
      <c r="S22" s="4">
        <v>4.64</v>
      </c>
      <c r="T22" s="4">
        <v>658.41</v>
      </c>
      <c r="U22" s="4">
        <f>T$34*S22</f>
        <v>658.4159999999999</v>
      </c>
      <c r="V22" s="4"/>
      <c r="W22" s="4">
        <v>4.58</v>
      </c>
      <c r="X22" s="4">
        <v>652.23</v>
      </c>
      <c r="Y22" s="4">
        <f>X$34*W22</f>
        <v>652.2378</v>
      </c>
      <c r="Z22" s="4"/>
      <c r="AA22" s="4">
        <v>4.53</v>
      </c>
      <c r="AB22" s="4">
        <v>644.47</v>
      </c>
      <c r="AC22" s="4">
        <f>AB$34*AA22</f>
        <v>644.4831</v>
      </c>
      <c r="AD22" s="4"/>
      <c r="AE22" s="4">
        <v>4.54</v>
      </c>
      <c r="AF22" s="4">
        <v>647</v>
      </c>
      <c r="AG22" s="4">
        <f>AF$34*AE22</f>
        <v>646.9954</v>
      </c>
      <c r="AH22" s="4"/>
      <c r="AI22" s="4">
        <v>4.57</v>
      </c>
      <c r="AJ22" s="4">
        <v>652</v>
      </c>
      <c r="AK22" s="4">
        <f>AJ$34*AI22</f>
        <v>652.0019</v>
      </c>
      <c r="AL22" s="4"/>
      <c r="AM22" s="4">
        <v>4.55</v>
      </c>
      <c r="AN22" s="4">
        <v>649.4</v>
      </c>
      <c r="AO22" s="4">
        <f>AN$34*AM22</f>
        <v>649.376</v>
      </c>
      <c r="AP22" s="4"/>
      <c r="AQ22" s="4">
        <v>4.51</v>
      </c>
      <c r="AR22" s="4">
        <v>646.45</v>
      </c>
      <c r="AS22" s="4">
        <f>AR$34*AQ22</f>
        <v>646.4634</v>
      </c>
      <c r="AT22" s="4"/>
      <c r="AU22" s="4">
        <v>4.5</v>
      </c>
      <c r="AV22" s="4">
        <v>645.78</v>
      </c>
      <c r="AW22" s="4">
        <f>AV$34*AU22</f>
        <v>645.795</v>
      </c>
      <c r="AX22" s="4"/>
      <c r="AY22" s="4">
        <v>4.5</v>
      </c>
      <c r="AZ22" s="4">
        <v>643.69</v>
      </c>
      <c r="BA22" s="4">
        <f>AZ$34*AY22</f>
        <v>643.68</v>
      </c>
      <c r="BB22" s="4"/>
      <c r="BC22" s="4">
        <v>4.49</v>
      </c>
      <c r="BD22" s="4">
        <v>643.76</v>
      </c>
      <c r="BE22" s="4">
        <f>BD$34*BC22</f>
        <v>643.7762</v>
      </c>
      <c r="BF22" s="4"/>
      <c r="BG22" s="4">
        <v>4.41</v>
      </c>
      <c r="BH22" s="4">
        <v>632.3</v>
      </c>
      <c r="BI22" s="4">
        <f>BH$34*BG22</f>
        <v>632.3058</v>
      </c>
      <c r="BJ22" s="4"/>
      <c r="BK22" s="4">
        <v>4.42</v>
      </c>
      <c r="BL22" s="4">
        <v>635.11</v>
      </c>
      <c r="BM22" s="4">
        <f>BL$34*BK22</f>
        <v>635.1098</v>
      </c>
      <c r="BN22" s="4"/>
      <c r="BO22" s="4">
        <v>4.45</v>
      </c>
      <c r="BP22" s="4">
        <v>640.2</v>
      </c>
      <c r="BQ22" s="4">
        <f>BP$34*BO22</f>
        <v>640.2215</v>
      </c>
      <c r="BR22" s="4"/>
      <c r="BS22" s="4">
        <v>4.44</v>
      </c>
      <c r="BT22" s="4">
        <v>638.72</v>
      </c>
      <c r="BU22" s="4">
        <f>BT$34*BS22</f>
        <v>638.7384000000001</v>
      </c>
      <c r="BV22" s="4"/>
      <c r="BW22" s="4">
        <v>4.43</v>
      </c>
      <c r="BX22" s="4">
        <v>636.34</v>
      </c>
      <c r="BY22" s="4">
        <f>BX$34*BW22</f>
        <v>636.3251999999999</v>
      </c>
      <c r="BZ22" s="4"/>
      <c r="CA22" s="36">
        <v>4.5</v>
      </c>
      <c r="CB22" s="36">
        <v>644.62</v>
      </c>
      <c r="CC22" s="36">
        <f>CB$34*CA22</f>
        <v>644.625</v>
      </c>
      <c r="CD22" s="4"/>
      <c r="CE22" s="4">
        <f t="shared" si="0"/>
        <v>4.547</v>
      </c>
      <c r="CF22" s="4">
        <f t="shared" si="1"/>
        <v>649.4125</v>
      </c>
      <c r="CG22" s="4">
        <f t="shared" si="1"/>
        <v>649.4145249999999</v>
      </c>
      <c r="CH22" s="4"/>
      <c r="CI22" s="23"/>
      <c r="CJ22" s="42"/>
      <c r="CK22" s="42"/>
      <c r="CL22" s="23"/>
    </row>
    <row r="23" spans="1:90" ht="13.5" customHeight="1">
      <c r="A23" s="26">
        <v>12</v>
      </c>
      <c r="B23" s="27" t="s">
        <v>49</v>
      </c>
      <c r="C23" s="4">
        <f>1/0.5544</f>
        <v>1.8037518037518037</v>
      </c>
      <c r="D23" s="4">
        <v>78.6</v>
      </c>
      <c r="E23" s="4">
        <f>D$34/C23</f>
        <v>78.597288</v>
      </c>
      <c r="F23" s="4"/>
      <c r="G23" s="4">
        <f>1/0.5522</f>
        <v>1.8109380659181455</v>
      </c>
      <c r="H23" s="4">
        <v>78.29</v>
      </c>
      <c r="I23" s="4">
        <f>H$34/G23</f>
        <v>78.28539400000001</v>
      </c>
      <c r="J23" s="4"/>
      <c r="K23" s="4">
        <f>1/0.5497</f>
        <v>1.8191740949608879</v>
      </c>
      <c r="L23" s="4">
        <v>77.99</v>
      </c>
      <c r="M23" s="4">
        <f>L$34/K23</f>
        <v>77.985939</v>
      </c>
      <c r="N23" s="4"/>
      <c r="O23" s="4">
        <f>1/0.549</f>
        <v>1.8214936247723132</v>
      </c>
      <c r="P23" s="4">
        <v>77.91</v>
      </c>
      <c r="Q23" s="4">
        <f>P$34/O23</f>
        <v>77.90859</v>
      </c>
      <c r="R23" s="4"/>
      <c r="S23" s="4">
        <f>1/0.5462</f>
        <v>1.8308311973636031</v>
      </c>
      <c r="T23" s="4">
        <v>77.5</v>
      </c>
      <c r="U23" s="4">
        <f>T$34/S23</f>
        <v>77.50578</v>
      </c>
      <c r="V23" s="4"/>
      <c r="W23" s="4">
        <f>1/0.5363</f>
        <v>1.8646280067126608</v>
      </c>
      <c r="X23" s="4">
        <v>76.37</v>
      </c>
      <c r="Y23" s="4">
        <f>X$34/W23</f>
        <v>76.374483</v>
      </c>
      <c r="Z23" s="4"/>
      <c r="AA23" s="4">
        <f>1/0.5351</f>
        <v>1.8688095683049897</v>
      </c>
      <c r="AB23" s="4">
        <v>76.13</v>
      </c>
      <c r="AC23" s="4">
        <f>AB$34/AA23</f>
        <v>76.12867700000001</v>
      </c>
      <c r="AD23" s="4"/>
      <c r="AE23" s="4">
        <f>1/0.5377</f>
        <v>1.859773107680863</v>
      </c>
      <c r="AF23" s="4">
        <v>76.63</v>
      </c>
      <c r="AG23" s="4">
        <f>AF$34/AE23</f>
        <v>76.62762699999999</v>
      </c>
      <c r="AH23" s="4"/>
      <c r="AI23" s="4">
        <f>1/0.5371</f>
        <v>1.8618506795754979</v>
      </c>
      <c r="AJ23" s="4">
        <v>76.63</v>
      </c>
      <c r="AK23" s="4">
        <f>AJ$34/AI23</f>
        <v>76.628057</v>
      </c>
      <c r="AL23" s="4"/>
      <c r="AM23" s="4">
        <f>1/0.5308</f>
        <v>1.8839487565938204</v>
      </c>
      <c r="AN23" s="4">
        <v>75.76</v>
      </c>
      <c r="AO23" s="4">
        <f>AN$34/AM23</f>
        <v>75.75577600000001</v>
      </c>
      <c r="AP23" s="4"/>
      <c r="AQ23" s="4">
        <f>1/0.526</f>
        <v>1.9011406844106462</v>
      </c>
      <c r="AR23" s="4">
        <v>75.4</v>
      </c>
      <c r="AS23" s="4">
        <f>AR$34/AQ23</f>
        <v>75.39684000000001</v>
      </c>
      <c r="AT23" s="4"/>
      <c r="AU23" s="4">
        <f>1/0.5302</f>
        <v>1.8860807242549982</v>
      </c>
      <c r="AV23" s="4">
        <v>76.09</v>
      </c>
      <c r="AW23" s="4">
        <f>AV$34/AU23</f>
        <v>76.089002</v>
      </c>
      <c r="AX23" s="4"/>
      <c r="AY23" s="4">
        <f>1/0.5292</f>
        <v>1.8896447467876039</v>
      </c>
      <c r="AZ23" s="4">
        <v>75.7</v>
      </c>
      <c r="BA23" s="4">
        <f>AZ$34/AY23</f>
        <v>75.69676799999999</v>
      </c>
      <c r="BB23" s="4"/>
      <c r="BC23" s="4">
        <f>1/0.5253</f>
        <v>1.9036740909956216</v>
      </c>
      <c r="BD23" s="4">
        <v>75.32</v>
      </c>
      <c r="BE23" s="4">
        <f>BD$34/BC23</f>
        <v>75.317514</v>
      </c>
      <c r="BF23" s="4"/>
      <c r="BG23" s="4">
        <f>1/0.527</f>
        <v>1.8975332068311195</v>
      </c>
      <c r="BH23" s="4">
        <v>75.56</v>
      </c>
      <c r="BI23" s="4">
        <f>BH$34/BG23</f>
        <v>75.56126</v>
      </c>
      <c r="BJ23" s="4"/>
      <c r="BK23" s="4">
        <f>1/0.525</f>
        <v>1.9047619047619047</v>
      </c>
      <c r="BL23" s="4">
        <v>75.44</v>
      </c>
      <c r="BM23" s="4">
        <f>BL$34/BK23</f>
        <v>75.43725</v>
      </c>
      <c r="BN23" s="4"/>
      <c r="BO23" s="4">
        <f>1/0.5221</f>
        <v>1.915341888527102</v>
      </c>
      <c r="BP23" s="4">
        <v>75.11</v>
      </c>
      <c r="BQ23" s="4">
        <f>BP$34/BO23</f>
        <v>75.11452700000001</v>
      </c>
      <c r="BR23" s="4"/>
      <c r="BS23" s="4">
        <f>1/0.5222</f>
        <v>1.9149751053236308</v>
      </c>
      <c r="BT23" s="4">
        <v>75.12</v>
      </c>
      <c r="BU23" s="4">
        <f>BT$34/BS23</f>
        <v>75.123692</v>
      </c>
      <c r="BV23" s="4"/>
      <c r="BW23" s="4">
        <f>1/0.5232</f>
        <v>1.9113149847094801</v>
      </c>
      <c r="BX23" s="4">
        <v>75.15</v>
      </c>
      <c r="BY23" s="4">
        <f>BX$34/BW23</f>
        <v>75.15244799999999</v>
      </c>
      <c r="BZ23" s="4"/>
      <c r="CA23" s="36">
        <f>1/0.5246</f>
        <v>1.9062142584826536</v>
      </c>
      <c r="CB23" s="36">
        <v>75.15</v>
      </c>
      <c r="CC23" s="36">
        <f>CB$34/CA23</f>
        <v>75.14895</v>
      </c>
      <c r="CD23" s="4"/>
      <c r="CE23" s="4">
        <f t="shared" si="0"/>
        <v>1.8727940250359674</v>
      </c>
      <c r="CF23" s="4">
        <f t="shared" si="1"/>
        <v>76.29249999999999</v>
      </c>
      <c r="CG23" s="4">
        <f t="shared" si="1"/>
        <v>76.29179309999999</v>
      </c>
      <c r="CH23" s="4"/>
      <c r="CI23" s="23"/>
      <c r="CJ23" s="42"/>
      <c r="CK23" s="42"/>
      <c r="CL23" s="23"/>
    </row>
    <row r="24" spans="1:90" ht="13.5" customHeight="1">
      <c r="A24" s="26">
        <v>13</v>
      </c>
      <c r="B24" s="27" t="s">
        <v>50</v>
      </c>
      <c r="C24" s="4">
        <v>1.4925</v>
      </c>
      <c r="D24" s="4">
        <v>94.99</v>
      </c>
      <c r="E24" s="4">
        <f>D$34/C24</f>
        <v>94.98827470686768</v>
      </c>
      <c r="F24" s="4"/>
      <c r="G24" s="4">
        <v>1.4938</v>
      </c>
      <c r="H24" s="4">
        <v>94.91</v>
      </c>
      <c r="I24" s="4">
        <f>H$34/G24</f>
        <v>94.90560985406347</v>
      </c>
      <c r="J24" s="4"/>
      <c r="K24" s="4">
        <v>1.501</v>
      </c>
      <c r="L24" s="4">
        <v>94.52</v>
      </c>
      <c r="M24" s="4">
        <f>L$34/K24</f>
        <v>94.5169886742172</v>
      </c>
      <c r="N24" s="4"/>
      <c r="O24" s="4">
        <v>1.509</v>
      </c>
      <c r="P24" s="4">
        <v>94.04</v>
      </c>
      <c r="Q24" s="4">
        <f>P$34/O24</f>
        <v>94.04241219350564</v>
      </c>
      <c r="R24" s="4"/>
      <c r="S24" s="4">
        <v>1.5116</v>
      </c>
      <c r="T24" s="4">
        <v>93.87</v>
      </c>
      <c r="U24" s="4">
        <f>T$34/S24</f>
        <v>93.87404075152156</v>
      </c>
      <c r="V24" s="4"/>
      <c r="W24" s="4">
        <v>1.5112</v>
      </c>
      <c r="X24" s="4">
        <v>94.24</v>
      </c>
      <c r="Y24" s="4">
        <f>X$34/W24</f>
        <v>94.23636844891476</v>
      </c>
      <c r="Z24" s="4"/>
      <c r="AA24" s="4">
        <v>1.5094</v>
      </c>
      <c r="AB24" s="4">
        <v>94.25</v>
      </c>
      <c r="AC24" s="4">
        <f>AB$34/AA24</f>
        <v>94.2559957599046</v>
      </c>
      <c r="AD24" s="4"/>
      <c r="AE24" s="4">
        <v>1.5122</v>
      </c>
      <c r="AF24" s="4">
        <v>94.24</v>
      </c>
      <c r="AG24" s="4">
        <f>AF$34/AE24</f>
        <v>94.24017987038751</v>
      </c>
      <c r="AH24" s="4"/>
      <c r="AI24" s="4">
        <v>1.5233</v>
      </c>
      <c r="AJ24" s="4">
        <v>93.66</v>
      </c>
      <c r="AK24" s="4">
        <f>AJ$34/AI24</f>
        <v>93.65850456246307</v>
      </c>
      <c r="AL24" s="4"/>
      <c r="AM24" s="4">
        <v>1.5208</v>
      </c>
      <c r="AN24" s="4">
        <v>93.85</v>
      </c>
      <c r="AO24" s="4">
        <f>AN$34/AM24</f>
        <v>93.8453445554971</v>
      </c>
      <c r="AP24" s="4"/>
      <c r="AQ24" s="4">
        <v>1.5264</v>
      </c>
      <c r="AR24" s="4">
        <v>93.91</v>
      </c>
      <c r="AS24" s="4">
        <f>AR$34/AQ24</f>
        <v>93.90723270440252</v>
      </c>
      <c r="AT24" s="4"/>
      <c r="AU24" s="4">
        <v>1.5334</v>
      </c>
      <c r="AV24" s="4">
        <v>93.59</v>
      </c>
      <c r="AW24" s="4">
        <f>AV$34/AU24</f>
        <v>93.58940915612364</v>
      </c>
      <c r="AX24" s="4"/>
      <c r="AY24" s="4">
        <v>1.5356</v>
      </c>
      <c r="AZ24" s="4">
        <v>93.15</v>
      </c>
      <c r="BA24" s="4">
        <f>AZ$34/AY24</f>
        <v>93.14925761917165</v>
      </c>
      <c r="BB24" s="4"/>
      <c r="BC24" s="4">
        <v>1.5348</v>
      </c>
      <c r="BD24" s="4">
        <v>93.42</v>
      </c>
      <c r="BE24" s="4">
        <f>BD$34/BC24</f>
        <v>93.4193380244983</v>
      </c>
      <c r="BF24" s="4"/>
      <c r="BG24" s="4">
        <v>1.5358</v>
      </c>
      <c r="BH24" s="4">
        <v>93.36</v>
      </c>
      <c r="BI24" s="4">
        <f>BH$34/BG24</f>
        <v>93.35851022268524</v>
      </c>
      <c r="BJ24" s="4"/>
      <c r="BK24" s="4">
        <v>1.536</v>
      </c>
      <c r="BL24" s="4">
        <v>93.55</v>
      </c>
      <c r="BM24" s="4">
        <f>BL$34/BK24</f>
        <v>93.54817708333333</v>
      </c>
      <c r="BN24" s="4"/>
      <c r="BO24" s="4">
        <v>1.5376</v>
      </c>
      <c r="BP24" s="4">
        <v>93.56</v>
      </c>
      <c r="BQ24" s="4">
        <f>BP$34/BO24</f>
        <v>93.56789802289282</v>
      </c>
      <c r="BR24" s="4"/>
      <c r="BS24" s="4">
        <v>1.5318</v>
      </c>
      <c r="BT24" s="4">
        <v>93.91</v>
      </c>
      <c r="BU24" s="4">
        <f>BT$34/BS24</f>
        <v>93.91565478522001</v>
      </c>
      <c r="BV24" s="4"/>
      <c r="BW24" s="4">
        <v>1.525</v>
      </c>
      <c r="BX24" s="4">
        <v>94.19</v>
      </c>
      <c r="BY24" s="4">
        <f>BX$34/BW24</f>
        <v>94.19016393442622</v>
      </c>
      <c r="BZ24" s="4"/>
      <c r="CA24" s="36">
        <v>1.527</v>
      </c>
      <c r="CB24" s="36">
        <v>93.81</v>
      </c>
      <c r="CC24" s="36">
        <f>CB$34/CA24</f>
        <v>93.811394891945</v>
      </c>
      <c r="CD24" s="4"/>
      <c r="CE24" s="4">
        <f t="shared" si="0"/>
        <v>1.52041</v>
      </c>
      <c r="CF24" s="4">
        <f t="shared" si="1"/>
        <v>93.951</v>
      </c>
      <c r="CG24" s="4">
        <f t="shared" si="1"/>
        <v>93.95103779110207</v>
      </c>
      <c r="CH24" s="4"/>
      <c r="CI24" s="23"/>
      <c r="CJ24" s="42"/>
      <c r="CK24" s="42"/>
      <c r="CL24" s="23"/>
    </row>
    <row r="25" spans="1:90" ht="13.5" customHeight="1">
      <c r="A25" s="26">
        <v>14</v>
      </c>
      <c r="B25" s="27" t="s">
        <v>51</v>
      </c>
      <c r="C25" s="4">
        <v>14.6371</v>
      </c>
      <c r="D25" s="4">
        <v>9.69</v>
      </c>
      <c r="E25" s="4">
        <f>D$34/C25</f>
        <v>9.685661777264622</v>
      </c>
      <c r="F25" s="4"/>
      <c r="G25" s="4">
        <v>14.7027</v>
      </c>
      <c r="H25" s="4">
        <v>9.64</v>
      </c>
      <c r="I25" s="4">
        <f>H$34/G25</f>
        <v>9.642446625449749</v>
      </c>
      <c r="J25" s="4"/>
      <c r="K25" s="4">
        <v>14.6542</v>
      </c>
      <c r="L25" s="4">
        <v>9.68</v>
      </c>
      <c r="M25" s="4">
        <f>L$34/K25</f>
        <v>9.681183551473298</v>
      </c>
      <c r="N25" s="4"/>
      <c r="O25" s="4">
        <v>14.7263</v>
      </c>
      <c r="P25" s="4">
        <v>9.64</v>
      </c>
      <c r="Q25" s="4">
        <f>P$34/O25</f>
        <v>9.636500682452482</v>
      </c>
      <c r="R25" s="4"/>
      <c r="S25" s="4">
        <v>14.7437</v>
      </c>
      <c r="T25" s="4">
        <v>9.62</v>
      </c>
      <c r="U25" s="4">
        <f>T$34/S25</f>
        <v>9.624449764984366</v>
      </c>
      <c r="V25" s="4"/>
      <c r="W25" s="4">
        <v>14.9813</v>
      </c>
      <c r="X25" s="4">
        <v>9.51</v>
      </c>
      <c r="Y25" s="4">
        <f>X$34/W25</f>
        <v>9.505850627115137</v>
      </c>
      <c r="Z25" s="4"/>
      <c r="AA25" s="4">
        <v>14.905</v>
      </c>
      <c r="AB25" s="4">
        <v>9.54</v>
      </c>
      <c r="AC25" s="4">
        <f>AB$34/AA25</f>
        <v>9.545119087554513</v>
      </c>
      <c r="AD25" s="4"/>
      <c r="AE25" s="4">
        <v>14.8119</v>
      </c>
      <c r="AF25" s="4">
        <v>9.62</v>
      </c>
      <c r="AG25" s="4">
        <f>AF$34/AE25</f>
        <v>9.621317994315381</v>
      </c>
      <c r="AH25" s="4"/>
      <c r="AI25" s="4">
        <v>14.8455</v>
      </c>
      <c r="AJ25" s="4">
        <v>9.61</v>
      </c>
      <c r="AK25" s="4">
        <f>AJ$34/AI25</f>
        <v>9.610319625475732</v>
      </c>
      <c r="AL25" s="4"/>
      <c r="AM25" s="4">
        <v>14.9634</v>
      </c>
      <c r="AN25" s="4">
        <v>9.54</v>
      </c>
      <c r="AO25" s="4">
        <f>AN$34/AM25</f>
        <v>9.537939238408383</v>
      </c>
      <c r="AP25" s="4"/>
      <c r="AQ25" s="4">
        <v>15.0238</v>
      </c>
      <c r="AR25" s="4">
        <v>9.54</v>
      </c>
      <c r="AS25" s="4">
        <f>AR$34/AQ25</f>
        <v>9.540861832559006</v>
      </c>
      <c r="AT25" s="4"/>
      <c r="AU25" s="4">
        <v>15.0287</v>
      </c>
      <c r="AV25" s="4">
        <v>9.55</v>
      </c>
      <c r="AW25" s="4">
        <f>AV$34/AU25</f>
        <v>9.54906279318903</v>
      </c>
      <c r="AX25" s="4"/>
      <c r="AY25" s="4">
        <v>14.9552</v>
      </c>
      <c r="AZ25" s="4">
        <v>9.56</v>
      </c>
      <c r="BA25" s="4">
        <f>AZ$34/AY25</f>
        <v>9.564566170963946</v>
      </c>
      <c r="BB25" s="4"/>
      <c r="BC25" s="4">
        <v>15.0205</v>
      </c>
      <c r="BD25" s="4">
        <v>9.55</v>
      </c>
      <c r="BE25" s="4">
        <f>BD$34/BC25</f>
        <v>9.545620984654306</v>
      </c>
      <c r="BF25" s="4"/>
      <c r="BG25" s="4">
        <v>15.0074</v>
      </c>
      <c r="BH25" s="4">
        <v>9.55</v>
      </c>
      <c r="BI25" s="4">
        <f>BH$34/BG25</f>
        <v>9.55395338299772</v>
      </c>
      <c r="BJ25" s="4"/>
      <c r="BK25" s="4">
        <v>15.1378</v>
      </c>
      <c r="BL25" s="4">
        <v>9.49</v>
      </c>
      <c r="BM25" s="4">
        <f>BL$34/BK25</f>
        <v>9.49213227813817</v>
      </c>
      <c r="BN25" s="4"/>
      <c r="BO25" s="4">
        <v>15.1428</v>
      </c>
      <c r="BP25" s="4">
        <v>9.5</v>
      </c>
      <c r="BQ25" s="4">
        <f>BP$34/BO25</f>
        <v>9.500884908999657</v>
      </c>
      <c r="BR25" s="4"/>
      <c r="BS25" s="4">
        <v>15.1212</v>
      </c>
      <c r="BT25" s="4">
        <v>9.51</v>
      </c>
      <c r="BU25" s="4">
        <f>BT$34/BS25</f>
        <v>9.51379520143904</v>
      </c>
      <c r="BV25" s="4"/>
      <c r="BW25" s="4">
        <v>15.0156</v>
      </c>
      <c r="BX25" s="4">
        <v>9.57</v>
      </c>
      <c r="BY25" s="4">
        <f>BX$34/BW25</f>
        <v>9.566051306641093</v>
      </c>
      <c r="BZ25" s="4"/>
      <c r="CA25" s="36">
        <v>14.9568</v>
      </c>
      <c r="CB25" s="36">
        <v>9.58</v>
      </c>
      <c r="CC25" s="36">
        <f>CB$34/CA25</f>
        <v>9.577583440308088</v>
      </c>
      <c r="CD25" s="4"/>
      <c r="CE25" s="4">
        <f t="shared" si="0"/>
        <v>14.919044999999997</v>
      </c>
      <c r="CF25" s="4">
        <f t="shared" si="1"/>
        <v>9.5745</v>
      </c>
      <c r="CG25" s="4">
        <f t="shared" si="1"/>
        <v>9.574765063719186</v>
      </c>
      <c r="CH25" s="4"/>
      <c r="CI25" s="23"/>
      <c r="CJ25" s="42"/>
      <c r="CK25" s="42"/>
      <c r="CL25" s="23"/>
    </row>
    <row r="26" spans="1:90" ht="13.5" customHeight="1">
      <c r="A26" s="26">
        <v>15</v>
      </c>
      <c r="B26" s="27" t="s">
        <v>52</v>
      </c>
      <c r="C26" s="4">
        <v>176.9876</v>
      </c>
      <c r="D26" s="4">
        <v>80.1</v>
      </c>
      <c r="E26" s="4">
        <f>D$34/C26*100</f>
        <v>80.1016568392362</v>
      </c>
      <c r="F26" s="4"/>
      <c r="G26" s="4">
        <v>177.7818</v>
      </c>
      <c r="H26" s="4">
        <v>79.75</v>
      </c>
      <c r="I26" s="4">
        <f>H$34/G26*100</f>
        <v>79.7438207960545</v>
      </c>
      <c r="J26" s="4"/>
      <c r="K26" s="4">
        <v>177.1949</v>
      </c>
      <c r="L26" s="4">
        <v>80.07</v>
      </c>
      <c r="M26" s="4">
        <f>L$34/K26*100</f>
        <v>80.06438108546014</v>
      </c>
      <c r="N26" s="4"/>
      <c r="O26" s="4">
        <v>178.0672</v>
      </c>
      <c r="P26" s="4">
        <v>79.69</v>
      </c>
      <c r="Q26" s="4">
        <f>P$34/O26*100</f>
        <v>79.69463213887789</v>
      </c>
      <c r="R26" s="4"/>
      <c r="S26" s="4">
        <v>178.2771</v>
      </c>
      <c r="T26" s="4">
        <v>79.59</v>
      </c>
      <c r="U26" s="4">
        <f>T$34/S26*100</f>
        <v>79.59519197922785</v>
      </c>
      <c r="V26" s="4"/>
      <c r="W26" s="4">
        <v>181.1497</v>
      </c>
      <c r="X26" s="4">
        <v>78.61</v>
      </c>
      <c r="Y26" s="4">
        <f>X$34/W26*100</f>
        <v>78.61453814165853</v>
      </c>
      <c r="Z26" s="4"/>
      <c r="AA26" s="4">
        <v>180.2275</v>
      </c>
      <c r="AB26" s="4">
        <v>78.94</v>
      </c>
      <c r="AC26" s="4">
        <f>AB$34/AA26*100</f>
        <v>78.93911861397402</v>
      </c>
      <c r="AD26" s="4"/>
      <c r="AE26" s="4">
        <v>179.1023</v>
      </c>
      <c r="AF26" s="11">
        <v>79.57</v>
      </c>
      <c r="AG26" s="4">
        <f>AF$34/AE26*100</f>
        <v>79.56905076037548</v>
      </c>
      <c r="AH26" s="4"/>
      <c r="AI26" s="4">
        <v>179.508</v>
      </c>
      <c r="AJ26" s="4">
        <v>79.48</v>
      </c>
      <c r="AK26" s="4">
        <f>AJ$34/AI26*100</f>
        <v>79.4783519397464</v>
      </c>
      <c r="AL26" s="4"/>
      <c r="AM26" s="4">
        <v>180.933</v>
      </c>
      <c r="AN26" s="4">
        <v>78.88</v>
      </c>
      <c r="AO26" s="4">
        <f>AN$34/AM26*100</f>
        <v>78.88002741346244</v>
      </c>
      <c r="AP26" s="4"/>
      <c r="AQ26" s="4">
        <v>181.6639</v>
      </c>
      <c r="AR26" s="4">
        <v>78.9</v>
      </c>
      <c r="AS26" s="4">
        <f>AR$34/AQ26*100</f>
        <v>78.90395395012438</v>
      </c>
      <c r="AT26" s="4"/>
      <c r="AU26" s="4">
        <v>181.7235</v>
      </c>
      <c r="AV26" s="4">
        <v>78.97</v>
      </c>
      <c r="AW26" s="4">
        <f>AV$34/AU26*100</f>
        <v>78.97162447344455</v>
      </c>
      <c r="AX26" s="4"/>
      <c r="AY26" s="4">
        <v>180.8347</v>
      </c>
      <c r="AZ26" s="4">
        <v>79.1</v>
      </c>
      <c r="BA26" s="4">
        <f>AZ$34/AY26*100</f>
        <v>79.09986302407668</v>
      </c>
      <c r="BB26" s="4"/>
      <c r="BC26" s="4">
        <v>181.6243</v>
      </c>
      <c r="BD26" s="4">
        <v>78.94</v>
      </c>
      <c r="BE26" s="4">
        <f>BD$34/BC26*100</f>
        <v>78.94318106112452</v>
      </c>
      <c r="BF26" s="4"/>
      <c r="BG26" s="4">
        <v>181.4658</v>
      </c>
      <c r="BH26" s="4">
        <v>79.01</v>
      </c>
      <c r="BI26" s="4">
        <f>BH$34/BG26*100</f>
        <v>79.0121334157731</v>
      </c>
      <c r="BJ26" s="4"/>
      <c r="BK26" s="4">
        <v>183.0429</v>
      </c>
      <c r="BL26" s="4">
        <v>78.5</v>
      </c>
      <c r="BM26" s="4">
        <f>BL$34/BK26*100</f>
        <v>78.50072305454077</v>
      </c>
      <c r="BN26" s="4"/>
      <c r="BO26" s="4">
        <v>183.1033</v>
      </c>
      <c r="BP26" s="4">
        <v>78.57</v>
      </c>
      <c r="BQ26" s="4">
        <f>BP$34/BO26*100</f>
        <v>78.57313330781041</v>
      </c>
      <c r="BR26" s="4"/>
      <c r="BS26" s="4">
        <v>182.8418</v>
      </c>
      <c r="BT26" s="4">
        <v>78.68</v>
      </c>
      <c r="BU26" s="4">
        <f>BT$34/BS26*100</f>
        <v>78.68003924704308</v>
      </c>
      <c r="BV26" s="4"/>
      <c r="BW26" s="4">
        <v>181.5648</v>
      </c>
      <c r="BX26" s="4">
        <v>79.11</v>
      </c>
      <c r="BY26" s="4">
        <f>BX$34/BW26*100</f>
        <v>79.11225083276054</v>
      </c>
      <c r="BZ26" s="4"/>
      <c r="CA26" s="36">
        <v>180.8543</v>
      </c>
      <c r="CB26" s="36">
        <v>79.21</v>
      </c>
      <c r="CC26" s="36">
        <f>CB$34/CA26*100</f>
        <v>79.20740618276702</v>
      </c>
      <c r="CD26" s="4"/>
      <c r="CE26" s="4">
        <f t="shared" si="0"/>
        <v>180.39742</v>
      </c>
      <c r="CF26" s="4">
        <f t="shared" si="1"/>
        <v>79.1835</v>
      </c>
      <c r="CG26" s="4">
        <f t="shared" si="1"/>
        <v>79.18425391287693</v>
      </c>
      <c r="CH26" s="4"/>
      <c r="CI26" s="23"/>
      <c r="CJ26" s="42"/>
      <c r="CK26" s="42"/>
      <c r="CL26" s="23"/>
    </row>
    <row r="27" spans="1:90" ht="13.5" customHeight="1">
      <c r="A27" s="26">
        <v>16</v>
      </c>
      <c r="B27" s="27" t="s">
        <v>53</v>
      </c>
      <c r="C27" s="4">
        <v>9.478</v>
      </c>
      <c r="D27" s="4">
        <v>14.96</v>
      </c>
      <c r="E27" s="4">
        <f>D$34/C27</f>
        <v>14.957797003587256</v>
      </c>
      <c r="F27" s="4"/>
      <c r="G27" s="4">
        <v>9.504</v>
      </c>
      <c r="H27" s="4">
        <v>14.92</v>
      </c>
      <c r="I27" s="4">
        <f>H$34/G27</f>
        <v>14.916877104377106</v>
      </c>
      <c r="J27" s="4"/>
      <c r="K27" s="4">
        <v>9.504</v>
      </c>
      <c r="L27" s="4">
        <v>14.93</v>
      </c>
      <c r="M27" s="4">
        <f>L$34/K27</f>
        <v>14.927398989898991</v>
      </c>
      <c r="N27" s="4"/>
      <c r="O27" s="4">
        <v>9.544</v>
      </c>
      <c r="P27" s="4">
        <v>14.87</v>
      </c>
      <c r="Q27" s="4">
        <f>P$34/O27</f>
        <v>14.86902766135792</v>
      </c>
      <c r="R27" s="4"/>
      <c r="S27" s="4">
        <v>9.523</v>
      </c>
      <c r="T27" s="4">
        <v>14.9</v>
      </c>
      <c r="U27" s="4">
        <f>T$34/S27</f>
        <v>14.90076656515804</v>
      </c>
      <c r="V27" s="4"/>
      <c r="W27" s="4">
        <v>9.6619</v>
      </c>
      <c r="X27" s="4">
        <v>14.74</v>
      </c>
      <c r="Y27" s="4">
        <f>X$34/W27</f>
        <v>14.73933698340906</v>
      </c>
      <c r="Z27" s="4"/>
      <c r="AA27" s="4">
        <v>9.664</v>
      </c>
      <c r="AB27" s="4">
        <v>14.72</v>
      </c>
      <c r="AC27" s="4">
        <f>AB$34/AA27</f>
        <v>14.72164735099338</v>
      </c>
      <c r="AD27" s="4"/>
      <c r="AE27" s="4">
        <v>9.63</v>
      </c>
      <c r="AF27" s="4">
        <v>14.8</v>
      </c>
      <c r="AG27" s="4">
        <f>AF$34/AE27</f>
        <v>14.798546209761161</v>
      </c>
      <c r="AH27" s="4"/>
      <c r="AI27" s="4">
        <v>9.7</v>
      </c>
      <c r="AJ27" s="4">
        <v>14.71</v>
      </c>
      <c r="AK27" s="4">
        <f>AJ$34/AI27</f>
        <v>14.708247422680412</v>
      </c>
      <c r="AL27" s="4"/>
      <c r="AM27" s="4">
        <v>9.822</v>
      </c>
      <c r="AN27" s="4">
        <v>14.53</v>
      </c>
      <c r="AO27" s="4">
        <f>AN$34/AM27</f>
        <v>14.530645489716964</v>
      </c>
      <c r="AP27" s="4"/>
      <c r="AQ27" s="4">
        <v>9.838</v>
      </c>
      <c r="AR27" s="4">
        <v>14.57</v>
      </c>
      <c r="AS27" s="4">
        <f>AR$34/AQ27</f>
        <v>14.570034559869894</v>
      </c>
      <c r="AT27" s="4"/>
      <c r="AU27" s="4">
        <v>9.78</v>
      </c>
      <c r="AV27" s="4">
        <v>14.67</v>
      </c>
      <c r="AW27" s="4">
        <f>AV$34/AU27</f>
        <v>14.673824130879346</v>
      </c>
      <c r="AX27" s="4"/>
      <c r="AY27" s="4">
        <v>9.778</v>
      </c>
      <c r="AZ27" s="4">
        <v>14.63</v>
      </c>
      <c r="BA27" s="4">
        <f>AZ$34/AY27</f>
        <v>14.62875843730824</v>
      </c>
      <c r="BB27" s="4"/>
      <c r="BC27" s="4">
        <v>9.822</v>
      </c>
      <c r="BD27" s="4">
        <v>14.6</v>
      </c>
      <c r="BE27" s="4">
        <f>BD$34/BC27</f>
        <v>14.597841580126248</v>
      </c>
      <c r="BF27" s="4"/>
      <c r="BG27" s="4">
        <v>9.832</v>
      </c>
      <c r="BH27" s="4">
        <v>14.58</v>
      </c>
      <c r="BI27" s="4">
        <f>BH$34/BG27</f>
        <v>14.582994304312448</v>
      </c>
      <c r="BJ27" s="4"/>
      <c r="BK27" s="4">
        <v>9.9</v>
      </c>
      <c r="BL27" s="4">
        <v>14.51</v>
      </c>
      <c r="BM27" s="4">
        <f>BL$34/BK27</f>
        <v>14.514141414141413</v>
      </c>
      <c r="BN27" s="4"/>
      <c r="BO27" s="4">
        <v>9.998</v>
      </c>
      <c r="BP27" s="4">
        <v>14.39</v>
      </c>
      <c r="BQ27" s="4">
        <f>BP$34/BO27</f>
        <v>14.38987797559512</v>
      </c>
      <c r="BR27" s="4"/>
      <c r="BS27" s="4">
        <v>9.916</v>
      </c>
      <c r="BT27" s="4">
        <v>14.51</v>
      </c>
      <c r="BU27" s="4">
        <f>BT$34/BS27</f>
        <v>14.507866075030256</v>
      </c>
      <c r="BV27" s="4"/>
      <c r="BW27" s="4">
        <v>9.866</v>
      </c>
      <c r="BX27" s="4">
        <v>14.56</v>
      </c>
      <c r="BY27" s="4">
        <f>BX$34/BW27</f>
        <v>14.55909183052909</v>
      </c>
      <c r="BZ27" s="4"/>
      <c r="CA27" s="36">
        <v>9.8228</v>
      </c>
      <c r="CB27" s="36">
        <v>14.58</v>
      </c>
      <c r="CC27" s="36">
        <f>CB$34/CA27</f>
        <v>14.583418169971901</v>
      </c>
      <c r="CD27" s="4"/>
      <c r="CE27" s="4">
        <f t="shared" si="0"/>
        <v>9.729185</v>
      </c>
      <c r="CF27" s="4">
        <f t="shared" si="1"/>
        <v>14.683999999999997</v>
      </c>
      <c r="CG27" s="4">
        <f t="shared" si="1"/>
        <v>14.683906962935211</v>
      </c>
      <c r="CH27" s="4"/>
      <c r="CI27" s="23"/>
      <c r="CJ27" s="42"/>
      <c r="CK27" s="42"/>
      <c r="CL27" s="23"/>
    </row>
    <row r="28" spans="1:90" ht="13.5" customHeight="1">
      <c r="A28" s="26">
        <v>17</v>
      </c>
      <c r="B28" s="27" t="s">
        <v>54</v>
      </c>
      <c r="C28" s="4">
        <v>8.7347</v>
      </c>
      <c r="D28" s="4">
        <v>16.23</v>
      </c>
      <c r="E28" s="4">
        <f>D$34/C28</f>
        <v>16.230666193458276</v>
      </c>
      <c r="F28" s="4"/>
      <c r="G28" s="4">
        <v>8.778</v>
      </c>
      <c r="H28" s="4">
        <v>16.15</v>
      </c>
      <c r="I28" s="4">
        <f>H$34/G28</f>
        <v>16.15060378218273</v>
      </c>
      <c r="J28" s="4"/>
      <c r="K28" s="4">
        <v>8.7266</v>
      </c>
      <c r="L28" s="4">
        <v>16.26</v>
      </c>
      <c r="M28" s="4">
        <f>L$34/K28</f>
        <v>16.25719065844659</v>
      </c>
      <c r="N28" s="4"/>
      <c r="O28" s="4">
        <v>8.752</v>
      </c>
      <c r="P28" s="4">
        <v>16.21</v>
      </c>
      <c r="Q28" s="4">
        <f>P$34/O28</f>
        <v>16.214579524680072</v>
      </c>
      <c r="R28" s="4"/>
      <c r="S28" s="4">
        <v>8.7658</v>
      </c>
      <c r="T28" s="4">
        <v>16.19</v>
      </c>
      <c r="U28" s="4">
        <f>T$34/S28</f>
        <v>16.187912112984552</v>
      </c>
      <c r="V28" s="4"/>
      <c r="W28" s="4">
        <v>8.8809</v>
      </c>
      <c r="X28" s="4">
        <v>16.04</v>
      </c>
      <c r="Y28" s="4">
        <f>X$34/W28</f>
        <v>16.035536938823768</v>
      </c>
      <c r="Z28" s="4"/>
      <c r="AA28" s="4">
        <v>8.8744</v>
      </c>
      <c r="AB28" s="4">
        <v>16.03</v>
      </c>
      <c r="AC28" s="4">
        <f>AB$34/AA28</f>
        <v>16.031506355359237</v>
      </c>
      <c r="AD28" s="4"/>
      <c r="AE28" s="4">
        <v>8.8232</v>
      </c>
      <c r="AF28" s="4">
        <v>16.15</v>
      </c>
      <c r="AG28" s="4">
        <f>AF$34/AE28</f>
        <v>16.151736331489708</v>
      </c>
      <c r="AH28" s="4"/>
      <c r="AI28" s="4">
        <v>8.8566</v>
      </c>
      <c r="AJ28" s="4">
        <v>16.11</v>
      </c>
      <c r="AK28" s="4">
        <f>AJ$34/AI28</f>
        <v>16.108890544904362</v>
      </c>
      <c r="AL28" s="4"/>
      <c r="AM28" s="4">
        <v>8.933</v>
      </c>
      <c r="AN28" s="4">
        <v>15.98</v>
      </c>
      <c r="AO28" s="4">
        <f>AN$34/AM28</f>
        <v>15.976715549087652</v>
      </c>
      <c r="AP28" s="4"/>
      <c r="AQ28" s="4">
        <v>8.9724</v>
      </c>
      <c r="AR28" s="4">
        <v>15.98</v>
      </c>
      <c r="AS28" s="4">
        <f>AR$34/AQ28</f>
        <v>15.975658686639026</v>
      </c>
      <c r="AT28" s="4"/>
      <c r="AU28" s="4">
        <v>8.9377</v>
      </c>
      <c r="AV28" s="4">
        <v>16.06</v>
      </c>
      <c r="AW28" s="4">
        <f>AV$34/AU28</f>
        <v>16.05670362621256</v>
      </c>
      <c r="AX28" s="4"/>
      <c r="AY28" s="4">
        <v>8.9227</v>
      </c>
      <c r="AZ28" s="4">
        <v>16.03</v>
      </c>
      <c r="BA28" s="4">
        <f>AZ$34/AY28</f>
        <v>16.031022000067242</v>
      </c>
      <c r="BB28" s="4"/>
      <c r="BC28" s="4">
        <v>8.9766</v>
      </c>
      <c r="BD28" s="4">
        <v>15.97</v>
      </c>
      <c r="BE28" s="4">
        <f>BD$34/BC28</f>
        <v>15.972639975046231</v>
      </c>
      <c r="BF28" s="4"/>
      <c r="BG28" s="4">
        <v>8.988</v>
      </c>
      <c r="BH28" s="4">
        <v>15.95</v>
      </c>
      <c r="BI28" s="4">
        <f>BH$34/BG28</f>
        <v>15.952380952380953</v>
      </c>
      <c r="BJ28" s="4"/>
      <c r="BK28" s="4">
        <v>9.05</v>
      </c>
      <c r="BL28" s="4">
        <v>15.88</v>
      </c>
      <c r="BM28" s="4">
        <f>BL$34/BK28</f>
        <v>15.87734806629834</v>
      </c>
      <c r="BN28" s="4"/>
      <c r="BO28" s="4">
        <v>9.101</v>
      </c>
      <c r="BP28" s="4">
        <v>15.81</v>
      </c>
      <c r="BQ28" s="4">
        <f>BP$34/BO28</f>
        <v>15.80815295022525</v>
      </c>
      <c r="BR28" s="4"/>
      <c r="BS28" s="4">
        <v>9.0248</v>
      </c>
      <c r="BT28" s="4">
        <v>15.94</v>
      </c>
      <c r="BU28" s="4">
        <f>BT$34/BS28</f>
        <v>15.940519457494903</v>
      </c>
      <c r="BV28" s="4"/>
      <c r="BW28" s="4">
        <v>8.9668</v>
      </c>
      <c r="BX28" s="4">
        <v>16.02</v>
      </c>
      <c r="BY28" s="4">
        <f>BX$34/BW28</f>
        <v>16.019092652897356</v>
      </c>
      <c r="BZ28" s="4"/>
      <c r="CA28" s="36">
        <v>8.9348</v>
      </c>
      <c r="CB28" s="36">
        <v>16.03</v>
      </c>
      <c r="CC28" s="36">
        <f>CB$34/CA28</f>
        <v>16.032815507901688</v>
      </c>
      <c r="CD28" s="4"/>
      <c r="CE28" s="4">
        <f t="shared" si="0"/>
        <v>8.900000000000002</v>
      </c>
      <c r="CF28" s="4">
        <f aca="true" t="shared" si="2" ref="CF28:CG34">(+D28+H28+L28+P28+T28+X28+AB28+AF28+AJ28+AN28+AR28+AV28+AZ28+BD28+BH28+BL28+BP28+BT28+BX28+CB28)/20</f>
        <v>16.051</v>
      </c>
      <c r="CG28" s="4">
        <f t="shared" si="2"/>
        <v>16.05058359332903</v>
      </c>
      <c r="CH28" s="4"/>
      <c r="CI28" s="23"/>
      <c r="CJ28" s="42"/>
      <c r="CK28" s="42"/>
      <c r="CL28" s="23"/>
    </row>
    <row r="29" spans="1:90" ht="13.5" customHeight="1">
      <c r="A29" s="26">
        <v>18</v>
      </c>
      <c r="B29" s="27" t="s">
        <v>55</v>
      </c>
      <c r="C29" s="4">
        <v>7.932</v>
      </c>
      <c r="D29" s="4">
        <v>17.87</v>
      </c>
      <c r="E29" s="4">
        <f>D$34/C29</f>
        <v>17.87317196167423</v>
      </c>
      <c r="F29" s="4"/>
      <c r="G29" s="4">
        <v>7.9665</v>
      </c>
      <c r="H29" s="4">
        <v>17.8</v>
      </c>
      <c r="I29" s="4">
        <f>H$34/G29</f>
        <v>17.795769785978788</v>
      </c>
      <c r="J29" s="4"/>
      <c r="K29" s="4">
        <v>7.9423</v>
      </c>
      <c r="L29" s="4">
        <v>17.86</v>
      </c>
      <c r="M29" s="4">
        <f>L$34/K29</f>
        <v>17.862583886279793</v>
      </c>
      <c r="N29" s="4"/>
      <c r="O29" s="4">
        <v>7.987</v>
      </c>
      <c r="P29" s="4">
        <v>17.77</v>
      </c>
      <c r="Q29" s="4">
        <f>P$34/O29</f>
        <v>17.767622386377862</v>
      </c>
      <c r="R29" s="4"/>
      <c r="S29" s="4">
        <v>7.993</v>
      </c>
      <c r="T29" s="4">
        <v>17.75</v>
      </c>
      <c r="U29" s="4">
        <f>T$34/S29</f>
        <v>17.753033904666584</v>
      </c>
      <c r="V29" s="4"/>
      <c r="W29" s="4">
        <v>8.12</v>
      </c>
      <c r="X29" s="4">
        <v>17.54</v>
      </c>
      <c r="Y29" s="4">
        <f>X$34/W29</f>
        <v>17.53817733990148</v>
      </c>
      <c r="Z29" s="4"/>
      <c r="AA29" s="4">
        <v>8.0787</v>
      </c>
      <c r="AB29" s="4">
        <v>17.61</v>
      </c>
      <c r="AC29" s="4">
        <f>AB$34/AA29</f>
        <v>17.61050664091995</v>
      </c>
      <c r="AD29" s="4"/>
      <c r="AE29" s="4">
        <v>8.0275</v>
      </c>
      <c r="AF29" s="4">
        <v>17.75</v>
      </c>
      <c r="AG29" s="4">
        <f>AF$34/AE29</f>
        <v>17.752725007785735</v>
      </c>
      <c r="AH29" s="4"/>
      <c r="AI29" s="4">
        <v>8.058</v>
      </c>
      <c r="AJ29" s="4">
        <v>17.71</v>
      </c>
      <c r="AK29" s="4">
        <f>AJ$34/AI29</f>
        <v>17.70538595184909</v>
      </c>
      <c r="AL29" s="4"/>
      <c r="AM29" s="4">
        <v>8.112</v>
      </c>
      <c r="AN29" s="4">
        <v>17.59</v>
      </c>
      <c r="AO29" s="4">
        <f>AN$34/AM29</f>
        <v>17.59368836291913</v>
      </c>
      <c r="AP29" s="4"/>
      <c r="AQ29" s="4">
        <v>8.1444</v>
      </c>
      <c r="AR29" s="4">
        <v>17.6</v>
      </c>
      <c r="AS29" s="4">
        <f>AR$34/AQ29</f>
        <v>17.599823191395316</v>
      </c>
      <c r="AT29" s="4"/>
      <c r="AU29" s="4">
        <v>8.1565</v>
      </c>
      <c r="AV29" s="4">
        <v>17.59</v>
      </c>
      <c r="AW29" s="4">
        <f>AV$34/AU29</f>
        <v>17.594556488690003</v>
      </c>
      <c r="AX29" s="4"/>
      <c r="AY29" s="4">
        <v>8.1122</v>
      </c>
      <c r="AZ29" s="4">
        <v>17.63</v>
      </c>
      <c r="BA29" s="4">
        <f>AZ$34/AY29</f>
        <v>17.632701363378615</v>
      </c>
      <c r="BB29" s="4"/>
      <c r="BC29" s="4">
        <v>8.145</v>
      </c>
      <c r="BD29" s="4">
        <v>17.6</v>
      </c>
      <c r="BE29" s="4">
        <f>BD$34/BC29</f>
        <v>17.60343769183548</v>
      </c>
      <c r="BF29" s="4"/>
      <c r="BG29" s="4">
        <v>8.138</v>
      </c>
      <c r="BH29" s="4">
        <v>17.62</v>
      </c>
      <c r="BI29" s="4">
        <f>BH$34/BG29</f>
        <v>17.618579503563527</v>
      </c>
      <c r="BJ29" s="4"/>
      <c r="BK29" s="4">
        <v>8.21</v>
      </c>
      <c r="BL29" s="4">
        <v>17.5</v>
      </c>
      <c r="BM29" s="4">
        <f>BL$34/BK29</f>
        <v>17.501827040194883</v>
      </c>
      <c r="BN29" s="4"/>
      <c r="BO29" s="4">
        <v>8.235</v>
      </c>
      <c r="BP29" s="4">
        <v>17.47</v>
      </c>
      <c r="BQ29" s="4">
        <f>BP$34/BO29</f>
        <v>17.47055251973285</v>
      </c>
      <c r="BR29" s="4"/>
      <c r="BS29" s="4">
        <v>8.1986</v>
      </c>
      <c r="BT29" s="4">
        <v>17.55</v>
      </c>
      <c r="BU29" s="4">
        <f>BT$34/BS29</f>
        <v>17.54689825092089</v>
      </c>
      <c r="BV29" s="4"/>
      <c r="BW29" s="4">
        <v>8.1402</v>
      </c>
      <c r="BX29" s="4">
        <v>17.65</v>
      </c>
      <c r="BY29" s="4">
        <f>BX$34/BW29</f>
        <v>17.64575808948183</v>
      </c>
      <c r="BZ29" s="4"/>
      <c r="CA29" s="36">
        <v>8.1097</v>
      </c>
      <c r="CB29" s="36">
        <v>17.66</v>
      </c>
      <c r="CC29" s="36">
        <f>CB$34/CA29</f>
        <v>17.66403196172485</v>
      </c>
      <c r="CD29" s="4"/>
      <c r="CE29" s="4">
        <f t="shared" si="0"/>
        <v>8.090329999999998</v>
      </c>
      <c r="CF29" s="4">
        <f t="shared" si="2"/>
        <v>17.656</v>
      </c>
      <c r="CG29" s="4">
        <f t="shared" si="2"/>
        <v>17.65654156646354</v>
      </c>
      <c r="CH29" s="4"/>
      <c r="CI29" s="23"/>
      <c r="CJ29" s="42"/>
      <c r="CK29" s="42"/>
      <c r="CL29" s="23"/>
    </row>
    <row r="30" spans="1:90" ht="13.5" customHeight="1">
      <c r="A30" s="26">
        <v>19</v>
      </c>
      <c r="B30" s="27" t="s">
        <v>56</v>
      </c>
      <c r="C30" s="4">
        <v>6.3246</v>
      </c>
      <c r="D30" s="4">
        <v>22.42</v>
      </c>
      <c r="E30" s="4">
        <f>D$34/C30</f>
        <v>22.41564683932581</v>
      </c>
      <c r="F30" s="4"/>
      <c r="G30" s="4">
        <v>6.353</v>
      </c>
      <c r="H30" s="4">
        <v>22.32</v>
      </c>
      <c r="I30" s="4">
        <f>H$34/G30</f>
        <v>22.315441523689596</v>
      </c>
      <c r="J30" s="4"/>
      <c r="K30" s="4">
        <v>6.332</v>
      </c>
      <c r="L30" s="4">
        <v>22.41</v>
      </c>
      <c r="M30" s="4">
        <f>L$34/K30</f>
        <v>22.405243209096653</v>
      </c>
      <c r="N30" s="4"/>
      <c r="O30" s="4">
        <v>6.3632</v>
      </c>
      <c r="P30" s="4">
        <v>22.3</v>
      </c>
      <c r="Q30" s="4">
        <f>P$34/O30</f>
        <v>22.30167211465929</v>
      </c>
      <c r="R30" s="4"/>
      <c r="S30" s="4">
        <v>6.3707</v>
      </c>
      <c r="T30" s="4">
        <v>22.27</v>
      </c>
      <c r="U30" s="4">
        <f>T$34/S30</f>
        <v>22.27384745789317</v>
      </c>
      <c r="V30" s="4"/>
      <c r="W30" s="4">
        <v>6.4733</v>
      </c>
      <c r="X30" s="4">
        <v>22</v>
      </c>
      <c r="Y30" s="4">
        <f>X$34/W30</f>
        <v>21.999598350145984</v>
      </c>
      <c r="Z30" s="4"/>
      <c r="AA30" s="4">
        <v>6.4403</v>
      </c>
      <c r="AB30" s="4">
        <v>22.09</v>
      </c>
      <c r="AC30" s="4">
        <f>AB$34/AA30</f>
        <v>22.090585842274432</v>
      </c>
      <c r="AD30" s="4"/>
      <c r="AE30" s="4">
        <v>6.4001</v>
      </c>
      <c r="AF30" s="4">
        <v>22.27</v>
      </c>
      <c r="AG30" s="4">
        <f>AF$34/AE30</f>
        <v>22.26683958063155</v>
      </c>
      <c r="AH30" s="4"/>
      <c r="AI30" s="4">
        <v>6.4146</v>
      </c>
      <c r="AJ30" s="4">
        <v>22.24</v>
      </c>
      <c r="AK30" s="4">
        <f>AJ$34/AI30</f>
        <v>22.241449194026124</v>
      </c>
      <c r="AL30" s="4"/>
      <c r="AM30" s="4">
        <v>6.4656</v>
      </c>
      <c r="AN30" s="4">
        <v>22.07</v>
      </c>
      <c r="AO30" s="4">
        <f>AN$34/AM30</f>
        <v>22.073744122741896</v>
      </c>
      <c r="AP30" s="4"/>
      <c r="AQ30" s="4">
        <v>6.4917</v>
      </c>
      <c r="AR30" s="4">
        <v>22.08</v>
      </c>
      <c r="AS30" s="4">
        <f>AR$34/AQ30</f>
        <v>22.080502795877816</v>
      </c>
      <c r="AT30" s="4"/>
      <c r="AU30" s="4">
        <v>6.4938</v>
      </c>
      <c r="AV30" s="4">
        <v>22.1</v>
      </c>
      <c r="AW30" s="4">
        <f>AV$34/AU30</f>
        <v>22.099541100742243</v>
      </c>
      <c r="AX30" s="4"/>
      <c r="AY30" s="4">
        <v>6.462</v>
      </c>
      <c r="AZ30" s="4">
        <v>22.14</v>
      </c>
      <c r="BA30" s="4">
        <f>AZ$34/AY30</f>
        <v>22.1355617455896</v>
      </c>
      <c r="BB30" s="4"/>
      <c r="BC30" s="4">
        <v>6.4903</v>
      </c>
      <c r="BD30" s="4">
        <v>22.09</v>
      </c>
      <c r="BE30" s="4">
        <f>BD$34/BC30</f>
        <v>22.091428747515522</v>
      </c>
      <c r="BF30" s="4"/>
      <c r="BG30" s="4">
        <v>6.4846</v>
      </c>
      <c r="BH30" s="4">
        <v>22.11</v>
      </c>
      <c r="BI30" s="4">
        <f>BH$34/BG30</f>
        <v>22.110847238071738</v>
      </c>
      <c r="BJ30" s="4"/>
      <c r="BK30" s="4">
        <v>6.541</v>
      </c>
      <c r="BL30" s="4">
        <v>21.97</v>
      </c>
      <c r="BM30" s="4">
        <f>BL$34/BK30</f>
        <v>21.967589053661516</v>
      </c>
      <c r="BN30" s="4"/>
      <c r="BO30" s="4">
        <v>6.5431</v>
      </c>
      <c r="BP30" s="4">
        <v>21.99</v>
      </c>
      <c r="BQ30" s="4">
        <f>BP$34/BO30</f>
        <v>21.988048478549924</v>
      </c>
      <c r="BR30" s="4"/>
      <c r="BS30" s="4">
        <v>6.5338</v>
      </c>
      <c r="BT30" s="4">
        <v>22.02</v>
      </c>
      <c r="BU30" s="4">
        <f>BT$34/BS30</f>
        <v>22.017815054026755</v>
      </c>
      <c r="BV30" s="4"/>
      <c r="BW30" s="4">
        <v>6.4881</v>
      </c>
      <c r="BX30" s="4">
        <v>22.14</v>
      </c>
      <c r="BY30" s="4">
        <f>BX$34/BW30</f>
        <v>22.138992925509775</v>
      </c>
      <c r="BZ30" s="4"/>
      <c r="CA30" s="36">
        <v>6.4628</v>
      </c>
      <c r="CB30" s="36">
        <v>22.17</v>
      </c>
      <c r="CC30" s="36">
        <f>CB$34/CA30</f>
        <v>22.1653153431949</v>
      </c>
      <c r="CD30" s="4"/>
      <c r="CE30" s="4">
        <f t="shared" si="0"/>
        <v>6.446429999999999</v>
      </c>
      <c r="CF30" s="4">
        <f t="shared" si="2"/>
        <v>22.16</v>
      </c>
      <c r="CG30" s="4">
        <f t="shared" si="2"/>
        <v>22.158985535861213</v>
      </c>
      <c r="CH30" s="4"/>
      <c r="CI30" s="23"/>
      <c r="CJ30" s="42"/>
      <c r="CK30" s="42"/>
      <c r="CL30" s="23"/>
    </row>
    <row r="31" spans="1:90" ht="13.5" customHeight="1">
      <c r="A31" s="26">
        <v>20</v>
      </c>
      <c r="B31" s="27" t="s">
        <v>57</v>
      </c>
      <c r="C31" s="4">
        <v>213.256</v>
      </c>
      <c r="D31" s="4">
        <v>66.48</v>
      </c>
      <c r="E31" s="4">
        <f>D$34/C31*100</f>
        <v>66.47878605994674</v>
      </c>
      <c r="F31" s="4"/>
      <c r="G31" s="4">
        <v>214.2131</v>
      </c>
      <c r="H31" s="4">
        <v>66.18</v>
      </c>
      <c r="I31" s="4">
        <f>H$34/G31*100</f>
        <v>66.1817601257813</v>
      </c>
      <c r="J31" s="4"/>
      <c r="K31" s="4">
        <v>213.5059</v>
      </c>
      <c r="L31" s="4">
        <v>66.45</v>
      </c>
      <c r="M31" s="4">
        <f>L$34/K31*100</f>
        <v>66.44781244921101</v>
      </c>
      <c r="N31" s="4"/>
      <c r="O31" s="4">
        <v>214.5569</v>
      </c>
      <c r="P31" s="4">
        <v>66.14</v>
      </c>
      <c r="Q31" s="4">
        <f>P$34/O31*100</f>
        <v>66.14096307319876</v>
      </c>
      <c r="R31" s="4"/>
      <c r="S31" s="4">
        <v>214.8098</v>
      </c>
      <c r="T31" s="4">
        <v>66.06</v>
      </c>
      <c r="U31" s="4">
        <f>T$34/S31*100</f>
        <v>66.05843867458562</v>
      </c>
      <c r="V31" s="4"/>
      <c r="W31" s="4">
        <v>218.2711</v>
      </c>
      <c r="X31" s="4">
        <v>65.24</v>
      </c>
      <c r="Y31" s="4">
        <f>X$34/W31*100</f>
        <v>65.2445513858683</v>
      </c>
      <c r="Z31" s="4"/>
      <c r="AA31" s="4">
        <v>217.1599</v>
      </c>
      <c r="AB31" s="4">
        <v>65.51</v>
      </c>
      <c r="AC31" s="4">
        <f>AB$34/AA31*100</f>
        <v>65.51393696534214</v>
      </c>
      <c r="AD31" s="4"/>
      <c r="AE31" s="4">
        <v>215.8041</v>
      </c>
      <c r="AF31" s="4">
        <v>66.04</v>
      </c>
      <c r="AG31" s="4">
        <f>AF$34/AE31*100</f>
        <v>66.036743509507</v>
      </c>
      <c r="AH31" s="4"/>
      <c r="AI31" s="4">
        <v>216.293</v>
      </c>
      <c r="AJ31" s="4">
        <v>65.96</v>
      </c>
      <c r="AK31" s="4">
        <f>AJ$34/AI31*100</f>
        <v>65.96145043991251</v>
      </c>
      <c r="AL31" s="4"/>
      <c r="AM31" s="4">
        <v>218.01</v>
      </c>
      <c r="AN31" s="4">
        <v>65.47</v>
      </c>
      <c r="AO31" s="4">
        <f>AN$34/AM31*100</f>
        <v>65.46488693179212</v>
      </c>
      <c r="AP31" s="4"/>
      <c r="AQ31" s="4">
        <v>218.8907</v>
      </c>
      <c r="AR31" s="4">
        <v>65.48</v>
      </c>
      <c r="AS31" s="4">
        <f>AR$34/AQ31*100</f>
        <v>65.48473735978733</v>
      </c>
      <c r="AT31" s="4"/>
      <c r="AU31" s="4">
        <v>218.9624</v>
      </c>
      <c r="AV31" s="4">
        <v>65.54</v>
      </c>
      <c r="AW31" s="4">
        <f>AV$34/AU31*100</f>
        <v>65.54093305517293</v>
      </c>
      <c r="AX31" s="4"/>
      <c r="AY31" s="4">
        <v>217.8915</v>
      </c>
      <c r="AZ31" s="4">
        <v>65.65</v>
      </c>
      <c r="BA31" s="4">
        <f>AZ$34/AY31*100</f>
        <v>65.64735200776532</v>
      </c>
      <c r="BB31" s="4"/>
      <c r="BC31" s="4">
        <v>218.8429</v>
      </c>
      <c r="BD31" s="4">
        <v>65.52</v>
      </c>
      <c r="BE31" s="4">
        <f>BD$34/BC31*100</f>
        <v>65.51731858790028</v>
      </c>
      <c r="BF31" s="4"/>
      <c r="BG31" s="4">
        <v>218.652</v>
      </c>
      <c r="BH31" s="4">
        <v>65.57</v>
      </c>
      <c r="BI31" s="4">
        <f>BH$34/BG31*100</f>
        <v>65.57452024221136</v>
      </c>
      <c r="BJ31" s="4"/>
      <c r="BK31" s="4">
        <v>220.5523</v>
      </c>
      <c r="BL31" s="4">
        <v>65.15</v>
      </c>
      <c r="BM31" s="4">
        <f>BL$34/BK31*100</f>
        <v>65.15008004904051</v>
      </c>
      <c r="BN31" s="4"/>
      <c r="BO31" s="4">
        <v>220.6251</v>
      </c>
      <c r="BP31" s="4">
        <v>65.21</v>
      </c>
      <c r="BQ31" s="4">
        <f>BP$34/BO31*100</f>
        <v>65.2101687432663</v>
      </c>
      <c r="BR31" s="4"/>
      <c r="BS31" s="4">
        <v>220.3099</v>
      </c>
      <c r="BT31" s="4">
        <v>65.3</v>
      </c>
      <c r="BU31" s="4">
        <f>BT$34/BS31*100</f>
        <v>65.29892664832585</v>
      </c>
      <c r="BV31" s="4"/>
      <c r="BW31" s="4">
        <v>218.7713</v>
      </c>
      <c r="BX31" s="4">
        <v>65.66</v>
      </c>
      <c r="BY31" s="4">
        <f>BX$34/BW31*100</f>
        <v>65.65760682502686</v>
      </c>
      <c r="BZ31" s="4"/>
      <c r="CA31" s="36">
        <v>217.9152</v>
      </c>
      <c r="CB31" s="36">
        <v>65.74</v>
      </c>
      <c r="CC31" s="36">
        <f>CB$34/CA31*100</f>
        <v>65.73658010088327</v>
      </c>
      <c r="CD31" s="4"/>
      <c r="CE31" s="4">
        <f t="shared" si="0"/>
        <v>217.36465500000003</v>
      </c>
      <c r="CF31" s="4">
        <f t="shared" si="2"/>
        <v>65.7175</v>
      </c>
      <c r="CG31" s="4">
        <f t="shared" si="2"/>
        <v>65.71737766172627</v>
      </c>
      <c r="CH31" s="4"/>
      <c r="CI31" s="23"/>
      <c r="CJ31" s="42"/>
      <c r="CK31" s="42"/>
      <c r="CL31" s="23"/>
    </row>
    <row r="32" spans="1:90" ht="13.5" customHeight="1">
      <c r="A32" s="26">
        <v>21</v>
      </c>
      <c r="B32" s="27" t="s">
        <v>58</v>
      </c>
      <c r="C32" s="4">
        <f>1/1.30544</f>
        <v>0.7660252481921804</v>
      </c>
      <c r="D32" s="4">
        <v>185.07</v>
      </c>
      <c r="E32" s="4">
        <f>D$34*C32</f>
        <v>108.59939943620543</v>
      </c>
      <c r="F32" s="4"/>
      <c r="G32" s="4">
        <f>1/1.30546</f>
        <v>0.76601351247836</v>
      </c>
      <c r="H32" s="4">
        <v>185.08</v>
      </c>
      <c r="I32" s="4">
        <f>H$34*G32</f>
        <v>108.59773566405711</v>
      </c>
      <c r="J32" s="4"/>
      <c r="K32" s="4">
        <f>1/1.30485</f>
        <v>0.7663716135954324</v>
      </c>
      <c r="L32" s="4">
        <v>185.12</v>
      </c>
      <c r="M32" s="4">
        <f>L$34*K32</f>
        <v>108.72514082078399</v>
      </c>
      <c r="N32" s="4"/>
      <c r="O32" s="4">
        <f>1/1.30254</f>
        <v>0.76773074147435</v>
      </c>
      <c r="P32" s="4">
        <v>184.84</v>
      </c>
      <c r="Q32" s="4">
        <f>P$34*O32</f>
        <v>108.94866952262501</v>
      </c>
      <c r="R32" s="4"/>
      <c r="S32" s="4">
        <f>1/1.29899</f>
        <v>0.7698288670428564</v>
      </c>
      <c r="T32" s="4">
        <v>184.32</v>
      </c>
      <c r="U32" s="4">
        <f>T$34*S32</f>
        <v>109.23871623338133</v>
      </c>
      <c r="V32" s="4"/>
      <c r="W32" s="4">
        <f>1/1.29312</f>
        <v>0.773323434793368</v>
      </c>
      <c r="X32" s="4">
        <v>184.15</v>
      </c>
      <c r="Y32" s="4">
        <f>X$34*W32</f>
        <v>110.12899034892352</v>
      </c>
      <c r="Z32" s="4"/>
      <c r="AA32" s="4">
        <f>1/1.29112</f>
        <v>0.7745213458082905</v>
      </c>
      <c r="AB32" s="4">
        <v>183.68</v>
      </c>
      <c r="AC32" s="4">
        <f>AB$34*AA32</f>
        <v>110.1911518681455</v>
      </c>
      <c r="AD32" s="4"/>
      <c r="AE32" s="4">
        <f>1/1.29332</f>
        <v>0.7732038474623449</v>
      </c>
      <c r="AF32" s="4">
        <v>184.31</v>
      </c>
      <c r="AG32" s="4">
        <f>AF$34*AE32</f>
        <v>110.18928030185877</v>
      </c>
      <c r="AH32" s="4"/>
      <c r="AI32" s="4">
        <f>1/1.29464</f>
        <v>0.7724154977445468</v>
      </c>
      <c r="AJ32" s="4">
        <v>184.7</v>
      </c>
      <c r="AK32" s="4">
        <f>AJ$34*AI32</f>
        <v>110.20051906321447</v>
      </c>
      <c r="AL32" s="4"/>
      <c r="AM32" s="4">
        <f>1/1.29256</f>
        <v>0.7736584762022654</v>
      </c>
      <c r="AN32" s="4">
        <v>184.48</v>
      </c>
      <c r="AO32" s="4">
        <f>AN$34*AM32</f>
        <v>110.41653772358731</v>
      </c>
      <c r="AP32" s="4"/>
      <c r="AQ32" s="4">
        <f>1/1.28693</f>
        <v>0.7770430404140086</v>
      </c>
      <c r="AR32" s="4">
        <v>184.46</v>
      </c>
      <c r="AS32" s="4">
        <f>AR$34*AQ32</f>
        <v>111.381349412944</v>
      </c>
      <c r="AT32" s="4"/>
      <c r="AU32" s="4">
        <f>1/1.29156</f>
        <v>0.7742574870698999</v>
      </c>
      <c r="AV32" s="4">
        <v>185.35</v>
      </c>
      <c r="AW32" s="4">
        <f>AV$34*AU32</f>
        <v>111.11369196940133</v>
      </c>
      <c r="AX32" s="4"/>
      <c r="AY32" s="4">
        <f>1/1.29156</f>
        <v>0.7742574870698999</v>
      </c>
      <c r="AZ32" s="4">
        <v>184.75</v>
      </c>
      <c r="BA32" s="4">
        <f>AZ$34*AY32</f>
        <v>110.74979095047848</v>
      </c>
      <c r="BB32" s="4"/>
      <c r="BC32" s="4">
        <f>1/1.28682</f>
        <v>0.7771094636390482</v>
      </c>
      <c r="BD32" s="4">
        <v>184.5</v>
      </c>
      <c r="BE32" s="4">
        <f>BD$34*BC32</f>
        <v>111.42195489656673</v>
      </c>
      <c r="BF32" s="4"/>
      <c r="BG32" s="4">
        <f>1/1.28898</f>
        <v>0.7758072274201306</v>
      </c>
      <c r="BH32" s="4">
        <v>184.81</v>
      </c>
      <c r="BI32" s="4">
        <f>BH$34*BG32</f>
        <v>111.23524026749833</v>
      </c>
      <c r="BJ32" s="4"/>
      <c r="BK32" s="4">
        <f>1/1.28756</f>
        <v>0.7766628351300133</v>
      </c>
      <c r="BL32" s="4">
        <v>185.01</v>
      </c>
      <c r="BM32" s="4">
        <f>BL$34*BK32</f>
        <v>111.59868277983162</v>
      </c>
      <c r="BN32" s="4"/>
      <c r="BO32" s="4">
        <f>1/1.28459</f>
        <v>0.77845849648526</v>
      </c>
      <c r="BP32" s="4">
        <v>184.81</v>
      </c>
      <c r="BQ32" s="4">
        <f>BP$34*BO32</f>
        <v>111.99682388933437</v>
      </c>
      <c r="BR32" s="4"/>
      <c r="BS32" s="4">
        <f>1/1.28723</f>
        <v>0.7768619438639559</v>
      </c>
      <c r="BT32" s="4">
        <v>185.18</v>
      </c>
      <c r="BU32" s="4">
        <f>BT$34*BS32</f>
        <v>111.75935924426871</v>
      </c>
      <c r="BV32" s="4"/>
      <c r="BW32" s="4">
        <f>1/1.28984</f>
        <v>0.7752899584444581</v>
      </c>
      <c r="BX32" s="4">
        <v>185.28</v>
      </c>
      <c r="BY32" s="4">
        <f>BX$34*BW32</f>
        <v>111.36264963096195</v>
      </c>
      <c r="BZ32" s="4"/>
      <c r="CA32" s="36">
        <f>1/1.29248</f>
        <v>0.7737063629611289</v>
      </c>
      <c r="CB32" s="36">
        <v>185.15</v>
      </c>
      <c r="CC32" s="36">
        <f>CB$34*CA32</f>
        <v>110.83343649418173</v>
      </c>
      <c r="CD32" s="4"/>
      <c r="CE32" s="4">
        <f t="shared" si="0"/>
        <v>0.77312734436459</v>
      </c>
      <c r="CF32" s="4">
        <f t="shared" si="2"/>
        <v>184.7525</v>
      </c>
      <c r="CG32" s="4">
        <f t="shared" si="2"/>
        <v>110.43445602591245</v>
      </c>
      <c r="CH32" s="4"/>
      <c r="CI32" s="23"/>
      <c r="CJ32" s="42"/>
      <c r="CK32" s="42"/>
      <c r="CL32" s="23"/>
    </row>
    <row r="33" spans="1:90" ht="13.5" customHeight="1">
      <c r="A33" s="26">
        <v>22</v>
      </c>
      <c r="B33" s="27" t="s">
        <v>59</v>
      </c>
      <c r="C33" s="4">
        <v>362.4614</v>
      </c>
      <c r="D33" s="4">
        <v>39.11</v>
      </c>
      <c r="E33" s="4">
        <f>D$34/C33*100</f>
        <v>39.11313039126373</v>
      </c>
      <c r="F33" s="4">
        <v>38.98</v>
      </c>
      <c r="G33" s="4">
        <v>364.088</v>
      </c>
      <c r="H33" s="4">
        <v>38.94</v>
      </c>
      <c r="I33" s="4">
        <f>H$34/G33*100</f>
        <v>38.93838852145635</v>
      </c>
      <c r="J33" s="4">
        <v>38.95</v>
      </c>
      <c r="K33" s="4">
        <v>362.886</v>
      </c>
      <c r="L33" s="4">
        <v>39.1</v>
      </c>
      <c r="M33" s="4">
        <f>L$34/K33*100</f>
        <v>39.094922372315274</v>
      </c>
      <c r="N33" s="4">
        <v>39.03</v>
      </c>
      <c r="O33" s="4">
        <v>364.6725</v>
      </c>
      <c r="P33" s="4">
        <v>38.91</v>
      </c>
      <c r="Q33" s="4">
        <f>P$34/O33*100</f>
        <v>38.91436837162111</v>
      </c>
      <c r="R33" s="4">
        <v>38.89</v>
      </c>
      <c r="S33" s="4">
        <v>365.1023</v>
      </c>
      <c r="T33" s="4">
        <v>38.87</v>
      </c>
      <c r="U33" s="4">
        <f>T$34/S33*100</f>
        <v>38.86581925120713</v>
      </c>
      <c r="V33" s="4">
        <v>38.82</v>
      </c>
      <c r="W33" s="4">
        <v>370.9853</v>
      </c>
      <c r="X33" s="4">
        <v>38.39</v>
      </c>
      <c r="Y33" s="4">
        <f>X$34/W33*100</f>
        <v>38.38696573691734</v>
      </c>
      <c r="Z33" s="4">
        <v>38.76</v>
      </c>
      <c r="AA33" s="4">
        <v>369.0966</v>
      </c>
      <c r="AB33" s="4">
        <v>38.54</v>
      </c>
      <c r="AC33" s="4">
        <f>AB$34/AA33*100</f>
        <v>38.54546479160198</v>
      </c>
      <c r="AD33" s="4">
        <v>38.56</v>
      </c>
      <c r="AE33" s="4">
        <v>366.7922</v>
      </c>
      <c r="AF33" s="4">
        <v>38.51</v>
      </c>
      <c r="AG33" s="4">
        <f>AF$34/AE33*100</f>
        <v>38.853061760855326</v>
      </c>
      <c r="AH33" s="4">
        <v>38.85</v>
      </c>
      <c r="AI33" s="4">
        <v>367.6233</v>
      </c>
      <c r="AJ33" s="4">
        <v>38.81</v>
      </c>
      <c r="AK33" s="4">
        <f>AJ$34/AI33*100</f>
        <v>38.80874797652923</v>
      </c>
      <c r="AL33" s="4">
        <v>38.8</v>
      </c>
      <c r="AM33" s="4">
        <v>370.5415</v>
      </c>
      <c r="AN33" s="4">
        <v>38.52</v>
      </c>
      <c r="AO33" s="4">
        <f>AN$34/AM33*100</f>
        <v>38.51660340339746</v>
      </c>
      <c r="AP33" s="4">
        <v>38.7</v>
      </c>
      <c r="AQ33" s="4">
        <v>372.0384</v>
      </c>
      <c r="AR33" s="4">
        <v>38.53</v>
      </c>
      <c r="AS33" s="4">
        <f>AR$34/AQ33*100</f>
        <v>38.5282809516437</v>
      </c>
      <c r="AT33" s="4">
        <v>38.6</v>
      </c>
      <c r="AU33" s="4">
        <v>372.1603</v>
      </c>
      <c r="AV33" s="4">
        <v>38.56</v>
      </c>
      <c r="AW33" s="4">
        <f>AV$34/AU33*100</f>
        <v>38.56134036865297</v>
      </c>
      <c r="AX33" s="4">
        <v>38.57</v>
      </c>
      <c r="AY33" s="4">
        <v>370.3402</v>
      </c>
      <c r="AZ33" s="4">
        <v>38.62</v>
      </c>
      <c r="BA33" s="4">
        <f>AZ$34/AY33*100</f>
        <v>38.62394630666614</v>
      </c>
      <c r="BB33" s="4">
        <v>38.7</v>
      </c>
      <c r="BC33" s="4">
        <v>371.9572</v>
      </c>
      <c r="BD33" s="4">
        <v>38.55</v>
      </c>
      <c r="BE33" s="4">
        <f>BD$34/BC33*100</f>
        <v>38.547445781396355</v>
      </c>
      <c r="BF33" s="4">
        <v>38.61</v>
      </c>
      <c r="BG33" s="4">
        <v>371.6327</v>
      </c>
      <c r="BH33" s="4">
        <v>38.58</v>
      </c>
      <c r="BI33" s="4">
        <f>BH$34/BG33*100</f>
        <v>38.58110440765842</v>
      </c>
      <c r="BJ33" s="4">
        <v>38.59</v>
      </c>
      <c r="BK33" s="4">
        <v>374.8625</v>
      </c>
      <c r="BL33" s="4">
        <v>38.33</v>
      </c>
      <c r="BM33" s="4">
        <f>BL$34/BK33*100</f>
        <v>38.33138817566441</v>
      </c>
      <c r="BN33" s="4">
        <v>38.48</v>
      </c>
      <c r="BO33" s="4">
        <v>374.9862</v>
      </c>
      <c r="BP33" s="4">
        <v>38.37</v>
      </c>
      <c r="BQ33" s="4">
        <f>BP$34/BO33*100</f>
        <v>38.36674522955778</v>
      </c>
      <c r="BR33" s="4">
        <v>38.4</v>
      </c>
      <c r="BS33" s="4">
        <v>374.4505</v>
      </c>
      <c r="BT33" s="4">
        <v>38.42</v>
      </c>
      <c r="BU33" s="4">
        <f>BT$34/BS33*100</f>
        <v>38.418963254155095</v>
      </c>
      <c r="BV33" s="4">
        <v>38.46</v>
      </c>
      <c r="BW33" s="4">
        <v>371.8354</v>
      </c>
      <c r="BX33" s="4">
        <v>38.63</v>
      </c>
      <c r="BY33" s="4">
        <f>BX$34/BW33*100</f>
        <v>38.62999596057825</v>
      </c>
      <c r="BZ33" s="4">
        <v>38.6</v>
      </c>
      <c r="CA33" s="36">
        <v>370.3804</v>
      </c>
      <c r="CB33" s="36">
        <v>38.68</v>
      </c>
      <c r="CC33" s="36">
        <f>CB$34/CA33*100</f>
        <v>38.676452641662465</v>
      </c>
      <c r="CD33" s="4">
        <v>38.64</v>
      </c>
      <c r="CE33" s="4">
        <f t="shared" si="0"/>
        <v>369.444645</v>
      </c>
      <c r="CF33" s="4">
        <f t="shared" si="2"/>
        <v>38.6485</v>
      </c>
      <c r="CG33" s="4">
        <f t="shared" si="2"/>
        <v>38.66515678274003</v>
      </c>
      <c r="CH33" s="4">
        <f>(+F33+J33+N33+R33+V33+Z33+AD33+AH33+AL33+AP33+AT33+AX33+BB33+BF33+BJ33+BN33+BR33+BV33+BZ33+CD33)/20</f>
        <v>38.69950000000001</v>
      </c>
      <c r="CI33" s="23"/>
      <c r="CJ33" s="42"/>
      <c r="CK33" s="42"/>
      <c r="CL33" s="42"/>
    </row>
    <row r="34" spans="1:90" ht="13.5" customHeight="1" thickBot="1">
      <c r="A34" s="29">
        <v>23</v>
      </c>
      <c r="B34" s="30" t="s">
        <v>60</v>
      </c>
      <c r="C34" s="13">
        <v>1</v>
      </c>
      <c r="D34" s="13">
        <v>141.77</v>
      </c>
      <c r="E34" s="24">
        <f>D$34/C34</f>
        <v>141.77</v>
      </c>
      <c r="F34" s="13">
        <v>142.04</v>
      </c>
      <c r="G34" s="13">
        <v>1</v>
      </c>
      <c r="H34" s="13">
        <v>141.77</v>
      </c>
      <c r="I34" s="24">
        <f>H$34/G34</f>
        <v>141.77</v>
      </c>
      <c r="J34" s="13">
        <v>142.22</v>
      </c>
      <c r="K34" s="13">
        <v>1</v>
      </c>
      <c r="L34" s="13">
        <v>141.87</v>
      </c>
      <c r="M34" s="24">
        <f>L$34/K34</f>
        <v>141.87</v>
      </c>
      <c r="N34" s="13">
        <v>142.24</v>
      </c>
      <c r="O34" s="13">
        <v>1</v>
      </c>
      <c r="P34" s="13">
        <v>141.91</v>
      </c>
      <c r="Q34" s="24">
        <f>P$34/O34</f>
        <v>141.91</v>
      </c>
      <c r="R34" s="13">
        <v>142.28</v>
      </c>
      <c r="S34" s="13">
        <v>1</v>
      </c>
      <c r="T34" s="13">
        <v>141.9</v>
      </c>
      <c r="U34" s="24">
        <f>T$34/S34</f>
        <v>141.9</v>
      </c>
      <c r="V34" s="13">
        <v>142.34</v>
      </c>
      <c r="W34" s="13">
        <v>1</v>
      </c>
      <c r="X34" s="13">
        <v>142.41</v>
      </c>
      <c r="Y34" s="24">
        <f>X$34/W34</f>
        <v>142.41</v>
      </c>
      <c r="Z34" s="13">
        <v>142.3</v>
      </c>
      <c r="AA34" s="13">
        <v>1</v>
      </c>
      <c r="AB34" s="13">
        <v>142.27</v>
      </c>
      <c r="AC34" s="24">
        <f>AB$34/AA34</f>
        <v>142.27</v>
      </c>
      <c r="AD34" s="13">
        <v>142.54</v>
      </c>
      <c r="AE34" s="13">
        <v>1</v>
      </c>
      <c r="AF34" s="13">
        <v>142.51</v>
      </c>
      <c r="AG34" s="24">
        <f>AF$34/AE34</f>
        <v>142.51</v>
      </c>
      <c r="AH34" s="13">
        <v>142.56</v>
      </c>
      <c r="AI34" s="13">
        <v>1</v>
      </c>
      <c r="AJ34" s="13">
        <v>142.67</v>
      </c>
      <c r="AK34" s="24">
        <f>AJ$34/AI34</f>
        <v>142.67</v>
      </c>
      <c r="AL34" s="13">
        <v>142.53</v>
      </c>
      <c r="AM34" s="13">
        <v>1</v>
      </c>
      <c r="AN34" s="13">
        <v>142.72</v>
      </c>
      <c r="AO34" s="24">
        <f>AN$34/AM34</f>
        <v>142.72</v>
      </c>
      <c r="AP34" s="13">
        <v>142.75</v>
      </c>
      <c r="AQ34" s="13">
        <v>1</v>
      </c>
      <c r="AR34" s="13">
        <v>143.34</v>
      </c>
      <c r="AS34" s="24">
        <f>AR$34/AQ34</f>
        <v>143.34</v>
      </c>
      <c r="AT34" s="13">
        <v>143.44</v>
      </c>
      <c r="AU34" s="13">
        <v>1</v>
      </c>
      <c r="AV34" s="13">
        <v>143.51</v>
      </c>
      <c r="AW34" s="24">
        <f>AV$34/AU34</f>
        <v>143.51</v>
      </c>
      <c r="AX34" s="13">
        <v>143.66</v>
      </c>
      <c r="AY34" s="13">
        <v>1</v>
      </c>
      <c r="AZ34" s="13">
        <v>143.04</v>
      </c>
      <c r="BA34" s="24">
        <f>AZ$34/AY34</f>
        <v>143.04</v>
      </c>
      <c r="BB34" s="13">
        <v>143.48</v>
      </c>
      <c r="BC34" s="13">
        <v>1</v>
      </c>
      <c r="BD34" s="13">
        <v>143.38</v>
      </c>
      <c r="BE34" s="24">
        <f>BD$34/BC34</f>
        <v>143.38</v>
      </c>
      <c r="BF34" s="13">
        <v>143.62</v>
      </c>
      <c r="BG34" s="13">
        <v>1</v>
      </c>
      <c r="BH34" s="13">
        <v>143.38</v>
      </c>
      <c r="BI34" s="24">
        <f>BH$34/BG34</f>
        <v>143.38</v>
      </c>
      <c r="BJ34" s="13">
        <v>143.76</v>
      </c>
      <c r="BK34" s="13">
        <v>1</v>
      </c>
      <c r="BL34" s="13">
        <v>143.69</v>
      </c>
      <c r="BM34" s="24">
        <f>BL$34/BK34</f>
        <v>143.69</v>
      </c>
      <c r="BN34" s="13">
        <v>144.04</v>
      </c>
      <c r="BO34" s="13">
        <v>1</v>
      </c>
      <c r="BP34" s="13">
        <v>143.87</v>
      </c>
      <c r="BQ34" s="24">
        <f>BP$34/BO34</f>
        <v>143.87</v>
      </c>
      <c r="BR34" s="13">
        <v>144.3</v>
      </c>
      <c r="BS34" s="13">
        <v>1</v>
      </c>
      <c r="BT34" s="13">
        <v>143.86</v>
      </c>
      <c r="BU34" s="24">
        <f>BT$34/BS34</f>
        <v>143.86</v>
      </c>
      <c r="BV34" s="13">
        <v>144</v>
      </c>
      <c r="BW34" s="13">
        <v>1</v>
      </c>
      <c r="BX34" s="13">
        <v>143.64</v>
      </c>
      <c r="BY34" s="24">
        <f>BX$34/BW34</f>
        <v>143.64</v>
      </c>
      <c r="BZ34" s="13">
        <v>144.18</v>
      </c>
      <c r="CA34" s="37">
        <v>1</v>
      </c>
      <c r="CB34" s="37">
        <v>143.25</v>
      </c>
      <c r="CC34" s="38">
        <f>CB$34/CA34</f>
        <v>143.25</v>
      </c>
      <c r="CD34" s="13">
        <v>143.86</v>
      </c>
      <c r="CE34" s="24">
        <f t="shared" si="0"/>
        <v>1</v>
      </c>
      <c r="CF34" s="24">
        <f t="shared" si="2"/>
        <v>142.838</v>
      </c>
      <c r="CG34" s="24">
        <f t="shared" si="2"/>
        <v>142.838</v>
      </c>
      <c r="CH34" s="24">
        <f>(+F34+J34+N34+R34+V34+Z34+AD34+AH34+AL34+AP34+AT34+AX34+BB34+BF34+BJ34+BN34+BR34+BV34+BZ34+CD34)/20</f>
        <v>143.10700000000003</v>
      </c>
      <c r="CI34" s="23"/>
      <c r="CJ34" s="42"/>
      <c r="CK34" s="42"/>
      <c r="CL34" s="42"/>
    </row>
    <row r="35" spans="1:90" ht="13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4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34"/>
      <c r="CA35" s="23"/>
      <c r="CB35" s="23"/>
      <c r="CC35" s="23"/>
      <c r="CD35" s="23"/>
      <c r="CE35" s="1"/>
      <c r="CF35" s="1"/>
      <c r="CG35" s="1"/>
      <c r="CH35" s="34"/>
      <c r="CI35" s="14"/>
      <c r="CJ35" s="14"/>
      <c r="CK35" s="14"/>
      <c r="CL35" s="35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12" r:id="rId1"/>
  <headerFooter alignWithMargins="0">
    <oddHeader>&amp;L&amp;"Times New Roman,Bold"&amp;12Sektori i Informacionit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42"/>
  <sheetViews>
    <sheetView zoomScale="75" zoomScaleNormal="75" zoomScalePageLayoutView="0" workbookViewId="0" topLeftCell="A1">
      <pane xSplit="2" ySplit="10" topLeftCell="BX16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B34" sqref="CB34"/>
    </sheetView>
  </sheetViews>
  <sheetFormatPr defaultColWidth="9.140625" defaultRowHeight="12.75"/>
  <cols>
    <col min="1" max="1" width="4.28125" style="55" customWidth="1"/>
    <col min="2" max="2" width="34.00390625" style="55" bestFit="1" customWidth="1"/>
    <col min="3" max="3" width="10.421875" style="55" customWidth="1"/>
    <col min="4" max="4" width="10.7109375" style="55" customWidth="1"/>
    <col min="5" max="5" width="10.421875" style="55" customWidth="1"/>
    <col min="6" max="6" width="9.140625" style="55" customWidth="1"/>
    <col min="7" max="7" width="10.421875" style="55" customWidth="1"/>
    <col min="8" max="8" width="10.8515625" style="55" customWidth="1"/>
    <col min="9" max="9" width="10.421875" style="55" customWidth="1"/>
    <col min="10" max="10" width="9.140625" style="55" customWidth="1"/>
    <col min="11" max="11" width="10.421875" style="55" customWidth="1"/>
    <col min="12" max="12" width="11.00390625" style="55" customWidth="1"/>
    <col min="13" max="13" width="10.421875" style="55" customWidth="1"/>
    <col min="14" max="14" width="9.140625" style="55" customWidth="1"/>
    <col min="15" max="15" width="10.421875" style="55" customWidth="1"/>
    <col min="16" max="16" width="10.8515625" style="55" customWidth="1"/>
    <col min="17" max="17" width="10.421875" style="55" customWidth="1"/>
    <col min="18" max="18" width="9.140625" style="55" customWidth="1"/>
    <col min="19" max="19" width="10.421875" style="55" customWidth="1"/>
    <col min="20" max="20" width="10.8515625" style="55" customWidth="1"/>
    <col min="21" max="21" width="10.421875" style="55" customWidth="1"/>
    <col min="22" max="22" width="9.140625" style="55" customWidth="1"/>
    <col min="23" max="23" width="10.421875" style="55" customWidth="1"/>
    <col min="24" max="24" width="11.140625" style="55" customWidth="1"/>
    <col min="25" max="25" width="10.421875" style="55" customWidth="1"/>
    <col min="26" max="26" width="9.140625" style="55" customWidth="1"/>
    <col min="27" max="29" width="10.421875" style="55" customWidth="1"/>
    <col min="30" max="30" width="9.140625" style="55" customWidth="1"/>
    <col min="31" max="31" width="10.421875" style="55" customWidth="1"/>
    <col min="32" max="32" width="10.57421875" style="55" customWidth="1"/>
    <col min="33" max="33" width="10.421875" style="55" customWidth="1"/>
    <col min="34" max="34" width="9.140625" style="55" customWidth="1"/>
    <col min="35" max="35" width="10.421875" style="55" customWidth="1"/>
    <col min="36" max="36" width="10.28125" style="55" customWidth="1"/>
    <col min="37" max="37" width="10.421875" style="55" customWidth="1"/>
    <col min="38" max="38" width="9.140625" style="55" customWidth="1"/>
    <col min="39" max="39" width="10.421875" style="55" customWidth="1"/>
    <col min="40" max="40" width="11.28125" style="55" customWidth="1"/>
    <col min="41" max="41" width="11.57421875" style="55" customWidth="1"/>
    <col min="42" max="42" width="9.140625" style="55" customWidth="1"/>
    <col min="43" max="43" width="10.421875" style="55" customWidth="1"/>
    <col min="44" max="44" width="10.140625" style="55" customWidth="1"/>
    <col min="45" max="45" width="10.421875" style="55" customWidth="1"/>
    <col min="46" max="46" width="9.140625" style="55" customWidth="1"/>
    <col min="47" max="47" width="10.421875" style="55" customWidth="1"/>
    <col min="48" max="48" width="10.7109375" style="55" customWidth="1"/>
    <col min="49" max="49" width="10.421875" style="55" customWidth="1"/>
    <col min="50" max="50" width="9.140625" style="55" customWidth="1"/>
    <col min="51" max="51" width="10.421875" style="55" customWidth="1"/>
    <col min="52" max="52" width="10.28125" style="55" customWidth="1"/>
    <col min="53" max="53" width="10.421875" style="55" customWidth="1"/>
    <col min="54" max="54" width="9.140625" style="55" customWidth="1"/>
    <col min="55" max="55" width="10.421875" style="55" customWidth="1"/>
    <col min="56" max="56" width="10.7109375" style="55" customWidth="1"/>
    <col min="57" max="57" width="10.421875" style="55" customWidth="1"/>
    <col min="58" max="58" width="9.140625" style="55" customWidth="1"/>
    <col min="59" max="59" width="10.421875" style="55" customWidth="1"/>
    <col min="60" max="60" width="10.140625" style="55" customWidth="1"/>
    <col min="61" max="61" width="10.421875" style="55" customWidth="1"/>
    <col min="62" max="62" width="9.140625" style="55" customWidth="1"/>
    <col min="63" max="63" width="10.421875" style="55" customWidth="1"/>
    <col min="64" max="64" width="10.140625" style="55" customWidth="1"/>
    <col min="65" max="65" width="10.421875" style="55" customWidth="1"/>
    <col min="66" max="66" width="9.140625" style="55" customWidth="1"/>
    <col min="67" max="67" width="10.421875" style="55" customWidth="1"/>
    <col min="68" max="68" width="10.28125" style="55" customWidth="1"/>
    <col min="69" max="69" width="10.421875" style="55" customWidth="1"/>
    <col min="70" max="70" width="9.140625" style="55" customWidth="1"/>
    <col min="71" max="71" width="10.421875" style="55" customWidth="1"/>
    <col min="72" max="72" width="10.140625" style="55" customWidth="1"/>
    <col min="73" max="73" width="10.421875" style="55" customWidth="1"/>
    <col min="74" max="74" width="9.140625" style="55" customWidth="1"/>
    <col min="75" max="75" width="10.421875" style="55" customWidth="1"/>
    <col min="76" max="76" width="10.28125" style="55" customWidth="1"/>
    <col min="77" max="77" width="10.421875" style="55" customWidth="1"/>
    <col min="78" max="78" width="9.140625" style="55" customWidth="1"/>
    <col min="79" max="79" width="9.8515625" style="55" bestFit="1" customWidth="1"/>
    <col min="80" max="80" width="10.421875" style="55" customWidth="1"/>
    <col min="81" max="81" width="9.8515625" style="55" bestFit="1" customWidth="1"/>
    <col min="82" max="82" width="9.140625" style="55" customWidth="1"/>
    <col min="83" max="83" width="11.57421875" style="55" customWidth="1"/>
    <col min="84" max="84" width="11.8515625" style="55" customWidth="1"/>
    <col min="85" max="85" width="12.00390625" style="55" customWidth="1"/>
    <col min="86" max="86" width="9.140625" style="55" customWidth="1"/>
    <col min="87" max="87" width="10.421875" style="55" bestFit="1" customWidth="1"/>
    <col min="88" max="88" width="10.28125" style="55" customWidth="1"/>
    <col min="89" max="89" width="10.421875" style="55" bestFit="1" customWidth="1"/>
    <col min="90" max="16384" width="9.140625" style="55" customWidth="1"/>
  </cols>
  <sheetData>
    <row r="1" spans="1:87" ht="15.75">
      <c r="A1" s="50"/>
      <c r="B1" s="32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2" t="s">
        <v>1</v>
      </c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3"/>
      <c r="CB1" s="53"/>
      <c r="CC1" s="54"/>
      <c r="CD1" s="53"/>
      <c r="CE1" s="53"/>
      <c r="CF1" s="53"/>
      <c r="CG1" s="53"/>
      <c r="CH1" s="53"/>
      <c r="CI1" s="53"/>
    </row>
    <row r="2" spans="1:87" ht="15.75">
      <c r="A2" s="51"/>
      <c r="B2" s="33" t="s">
        <v>86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6"/>
      <c r="CB2" s="56"/>
      <c r="CC2" s="56"/>
      <c r="CD2" s="56"/>
      <c r="CE2" s="56"/>
      <c r="CF2" s="56"/>
      <c r="CG2" s="56"/>
      <c r="CH2" s="56"/>
      <c r="CI2" s="56"/>
    </row>
    <row r="3" spans="1:95" ht="15.75">
      <c r="A3" s="52" t="s">
        <v>3</v>
      </c>
      <c r="B3" s="51"/>
      <c r="C3" s="57"/>
      <c r="D3" s="50" t="s">
        <v>87</v>
      </c>
      <c r="E3" s="57"/>
      <c r="F3" s="57"/>
      <c r="G3" s="57"/>
      <c r="H3" s="50" t="s">
        <v>88</v>
      </c>
      <c r="I3" s="57"/>
      <c r="J3" s="57"/>
      <c r="K3" s="57"/>
      <c r="L3" s="50" t="s">
        <v>89</v>
      </c>
      <c r="M3" s="57"/>
      <c r="N3" s="57"/>
      <c r="O3" s="57"/>
      <c r="P3" s="50" t="s">
        <v>90</v>
      </c>
      <c r="Q3" s="57"/>
      <c r="R3" s="57"/>
      <c r="S3" s="57"/>
      <c r="T3" s="50" t="s">
        <v>91</v>
      </c>
      <c r="U3" s="57"/>
      <c r="V3" s="57"/>
      <c r="W3" s="57"/>
      <c r="X3" s="50" t="s">
        <v>92</v>
      </c>
      <c r="Y3" s="57"/>
      <c r="Z3" s="57"/>
      <c r="AA3" s="57"/>
      <c r="AB3" s="50" t="s">
        <v>93</v>
      </c>
      <c r="AC3" s="57"/>
      <c r="AD3" s="57"/>
      <c r="AE3" s="57"/>
      <c r="AF3" s="50" t="s">
        <v>94</v>
      </c>
      <c r="AG3" s="57"/>
      <c r="AH3" s="57"/>
      <c r="AI3" s="57"/>
      <c r="AJ3" s="50" t="s">
        <v>95</v>
      </c>
      <c r="AK3" s="57"/>
      <c r="AL3" s="57"/>
      <c r="AM3" s="57"/>
      <c r="AN3" s="50" t="s">
        <v>96</v>
      </c>
      <c r="AO3" s="57"/>
      <c r="AP3" s="57"/>
      <c r="AQ3" s="57"/>
      <c r="AR3" s="50" t="s">
        <v>97</v>
      </c>
      <c r="AS3" s="57"/>
      <c r="AT3" s="57"/>
      <c r="AU3" s="57"/>
      <c r="AV3" s="50" t="s">
        <v>98</v>
      </c>
      <c r="AW3" s="57"/>
      <c r="AX3" s="57"/>
      <c r="AY3" s="57"/>
      <c r="AZ3" s="50" t="s">
        <v>99</v>
      </c>
      <c r="BA3" s="57"/>
      <c r="BB3" s="57"/>
      <c r="BC3" s="57"/>
      <c r="BD3" s="50" t="s">
        <v>100</v>
      </c>
      <c r="BE3" s="57"/>
      <c r="BF3" s="57"/>
      <c r="BG3" s="57"/>
      <c r="BH3" s="50" t="s">
        <v>101</v>
      </c>
      <c r="BI3" s="57"/>
      <c r="BJ3" s="57"/>
      <c r="BK3" s="57"/>
      <c r="BL3" s="50" t="s">
        <v>102</v>
      </c>
      <c r="BM3" s="57"/>
      <c r="BN3" s="57"/>
      <c r="BO3" s="57"/>
      <c r="BP3" s="50" t="s">
        <v>103</v>
      </c>
      <c r="BQ3" s="57"/>
      <c r="BR3" s="57"/>
      <c r="BS3" s="57"/>
      <c r="BT3" s="50" t="s">
        <v>104</v>
      </c>
      <c r="BU3" s="57"/>
      <c r="BV3" s="57"/>
      <c r="BW3" s="57"/>
      <c r="BX3" s="50" t="s">
        <v>105</v>
      </c>
      <c r="BY3" s="57"/>
      <c r="BZ3" s="57"/>
      <c r="CA3" s="57"/>
      <c r="CB3" s="50" t="s">
        <v>114</v>
      </c>
      <c r="CC3" s="57"/>
      <c r="CD3" s="57"/>
      <c r="CE3" s="57"/>
      <c r="CF3" s="50" t="s">
        <v>106</v>
      </c>
      <c r="CG3" s="57"/>
      <c r="CH3" s="57"/>
      <c r="CI3" s="83"/>
      <c r="CJ3" s="84"/>
      <c r="CK3" s="83"/>
      <c r="CL3" s="83"/>
      <c r="CM3" s="85"/>
      <c r="CN3" s="84"/>
      <c r="CO3" s="83"/>
      <c r="CP3" s="85"/>
      <c r="CQ3" s="86"/>
    </row>
    <row r="4" spans="1:95" ht="16.5" thickBo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6"/>
      <c r="CJ4" s="56"/>
      <c r="CK4" s="56"/>
      <c r="CL4" s="56"/>
      <c r="CM4" s="85"/>
      <c r="CN4" s="85"/>
      <c r="CO4" s="85"/>
      <c r="CP4" s="85"/>
      <c r="CQ4" s="86"/>
    </row>
    <row r="5" spans="1:95" ht="16.5" thickTop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6"/>
      <c r="CJ5" s="56"/>
      <c r="CK5" s="56"/>
      <c r="CL5" s="56"/>
      <c r="CM5" s="56"/>
      <c r="CN5" s="56"/>
      <c r="CO5" s="56"/>
      <c r="CP5" s="56"/>
      <c r="CQ5" s="86"/>
    </row>
    <row r="6" spans="1:95" ht="15.75">
      <c r="A6" s="57"/>
      <c r="B6" s="51"/>
      <c r="C6" s="59" t="s">
        <v>26</v>
      </c>
      <c r="D6" s="59" t="s">
        <v>26</v>
      </c>
      <c r="E6" s="59" t="s">
        <v>26</v>
      </c>
      <c r="F6" s="59" t="s">
        <v>26</v>
      </c>
      <c r="G6" s="59" t="s">
        <v>26</v>
      </c>
      <c r="H6" s="59" t="s">
        <v>26</v>
      </c>
      <c r="I6" s="59" t="s">
        <v>26</v>
      </c>
      <c r="J6" s="59" t="s">
        <v>26</v>
      </c>
      <c r="K6" s="59" t="s">
        <v>26</v>
      </c>
      <c r="L6" s="59" t="s">
        <v>26</v>
      </c>
      <c r="M6" s="59" t="s">
        <v>26</v>
      </c>
      <c r="N6" s="59" t="s">
        <v>26</v>
      </c>
      <c r="O6" s="59" t="s">
        <v>26</v>
      </c>
      <c r="P6" s="59" t="s">
        <v>26</v>
      </c>
      <c r="Q6" s="59" t="s">
        <v>26</v>
      </c>
      <c r="R6" s="59" t="s">
        <v>26</v>
      </c>
      <c r="S6" s="59" t="s">
        <v>26</v>
      </c>
      <c r="T6" s="59" t="s">
        <v>26</v>
      </c>
      <c r="U6" s="59" t="s">
        <v>26</v>
      </c>
      <c r="V6" s="59" t="s">
        <v>26</v>
      </c>
      <c r="W6" s="59" t="s">
        <v>26</v>
      </c>
      <c r="X6" s="59" t="s">
        <v>26</v>
      </c>
      <c r="Y6" s="59" t="s">
        <v>26</v>
      </c>
      <c r="Z6" s="59" t="s">
        <v>26</v>
      </c>
      <c r="AA6" s="59" t="s">
        <v>26</v>
      </c>
      <c r="AB6" s="59" t="s">
        <v>26</v>
      </c>
      <c r="AC6" s="59" t="s">
        <v>26</v>
      </c>
      <c r="AD6" s="59" t="s">
        <v>26</v>
      </c>
      <c r="AE6" s="59" t="s">
        <v>26</v>
      </c>
      <c r="AF6" s="59" t="s">
        <v>26</v>
      </c>
      <c r="AG6" s="59" t="s">
        <v>26</v>
      </c>
      <c r="AH6" s="59" t="s">
        <v>26</v>
      </c>
      <c r="AI6" s="59" t="s">
        <v>26</v>
      </c>
      <c r="AJ6" s="59" t="s">
        <v>26</v>
      </c>
      <c r="AK6" s="59" t="s">
        <v>26</v>
      </c>
      <c r="AL6" s="59" t="s">
        <v>26</v>
      </c>
      <c r="AM6" s="59" t="s">
        <v>26</v>
      </c>
      <c r="AN6" s="59" t="s">
        <v>26</v>
      </c>
      <c r="AO6" s="59" t="s">
        <v>26</v>
      </c>
      <c r="AP6" s="59" t="s">
        <v>26</v>
      </c>
      <c r="AQ6" s="59" t="s">
        <v>26</v>
      </c>
      <c r="AR6" s="59" t="s">
        <v>26</v>
      </c>
      <c r="AS6" s="59" t="s">
        <v>26</v>
      </c>
      <c r="AT6" s="59" t="s">
        <v>26</v>
      </c>
      <c r="AU6" s="59" t="s">
        <v>26</v>
      </c>
      <c r="AV6" s="59" t="s">
        <v>26</v>
      </c>
      <c r="AW6" s="59" t="s">
        <v>26</v>
      </c>
      <c r="AX6" s="59" t="s">
        <v>26</v>
      </c>
      <c r="AY6" s="59" t="s">
        <v>26</v>
      </c>
      <c r="AZ6" s="59" t="s">
        <v>26</v>
      </c>
      <c r="BA6" s="59" t="s">
        <v>26</v>
      </c>
      <c r="BB6" s="59" t="s">
        <v>26</v>
      </c>
      <c r="BC6" s="59" t="s">
        <v>26</v>
      </c>
      <c r="BD6" s="59" t="s">
        <v>26</v>
      </c>
      <c r="BE6" s="59" t="s">
        <v>26</v>
      </c>
      <c r="BF6" s="59" t="s">
        <v>26</v>
      </c>
      <c r="BG6" s="59" t="s">
        <v>26</v>
      </c>
      <c r="BH6" s="59" t="s">
        <v>26</v>
      </c>
      <c r="BI6" s="59" t="s">
        <v>26</v>
      </c>
      <c r="BJ6" s="59" t="s">
        <v>26</v>
      </c>
      <c r="BK6" s="59" t="s">
        <v>26</v>
      </c>
      <c r="BL6" s="59" t="s">
        <v>26</v>
      </c>
      <c r="BM6" s="59" t="s">
        <v>26</v>
      </c>
      <c r="BN6" s="59" t="s">
        <v>26</v>
      </c>
      <c r="BO6" s="59" t="s">
        <v>26</v>
      </c>
      <c r="BP6" s="59" t="s">
        <v>26</v>
      </c>
      <c r="BQ6" s="59" t="s">
        <v>26</v>
      </c>
      <c r="BR6" s="59" t="s">
        <v>26</v>
      </c>
      <c r="BS6" s="59" t="s">
        <v>26</v>
      </c>
      <c r="BT6" s="59" t="s">
        <v>26</v>
      </c>
      <c r="BU6" s="59" t="s">
        <v>26</v>
      </c>
      <c r="BV6" s="59" t="s">
        <v>26</v>
      </c>
      <c r="BW6" s="59" t="s">
        <v>26</v>
      </c>
      <c r="BX6" s="59" t="s">
        <v>26</v>
      </c>
      <c r="BY6" s="59" t="s">
        <v>26</v>
      </c>
      <c r="BZ6" s="59" t="s">
        <v>26</v>
      </c>
      <c r="CA6" s="59" t="s">
        <v>26</v>
      </c>
      <c r="CB6" s="59" t="s">
        <v>26</v>
      </c>
      <c r="CC6" s="59" t="s">
        <v>26</v>
      </c>
      <c r="CD6" s="59" t="s">
        <v>26</v>
      </c>
      <c r="CE6" s="59" t="s">
        <v>26</v>
      </c>
      <c r="CF6" s="59" t="s">
        <v>26</v>
      </c>
      <c r="CG6" s="59" t="s">
        <v>26</v>
      </c>
      <c r="CH6" s="59" t="s">
        <v>26</v>
      </c>
      <c r="CI6" s="87"/>
      <c r="CJ6" s="87"/>
      <c r="CK6" s="87"/>
      <c r="CL6" s="87"/>
      <c r="CM6" s="87"/>
      <c r="CN6" s="87"/>
      <c r="CO6" s="87"/>
      <c r="CP6" s="87"/>
      <c r="CQ6" s="86"/>
    </row>
    <row r="7" spans="1:95" ht="15.75">
      <c r="A7" s="51"/>
      <c r="B7" s="60" t="s">
        <v>28</v>
      </c>
      <c r="C7" s="59" t="s">
        <v>29</v>
      </c>
      <c r="D7" s="59" t="s">
        <v>29</v>
      </c>
      <c r="E7" s="59" t="s">
        <v>29</v>
      </c>
      <c r="F7" s="59" t="s">
        <v>30</v>
      </c>
      <c r="G7" s="59" t="s">
        <v>29</v>
      </c>
      <c r="H7" s="59" t="s">
        <v>29</v>
      </c>
      <c r="I7" s="59" t="s">
        <v>29</v>
      </c>
      <c r="J7" s="59" t="s">
        <v>30</v>
      </c>
      <c r="K7" s="59" t="s">
        <v>29</v>
      </c>
      <c r="L7" s="59" t="s">
        <v>29</v>
      </c>
      <c r="M7" s="59" t="s">
        <v>29</v>
      </c>
      <c r="N7" s="59" t="s">
        <v>30</v>
      </c>
      <c r="O7" s="59" t="s">
        <v>29</v>
      </c>
      <c r="P7" s="59" t="s">
        <v>29</v>
      </c>
      <c r="Q7" s="59" t="s">
        <v>29</v>
      </c>
      <c r="R7" s="59" t="s">
        <v>30</v>
      </c>
      <c r="S7" s="59" t="s">
        <v>29</v>
      </c>
      <c r="T7" s="59" t="s">
        <v>29</v>
      </c>
      <c r="U7" s="59" t="s">
        <v>29</v>
      </c>
      <c r="V7" s="59" t="s">
        <v>30</v>
      </c>
      <c r="W7" s="59" t="s">
        <v>29</v>
      </c>
      <c r="X7" s="59" t="s">
        <v>29</v>
      </c>
      <c r="Y7" s="59" t="s">
        <v>29</v>
      </c>
      <c r="Z7" s="59" t="s">
        <v>30</v>
      </c>
      <c r="AA7" s="59" t="s">
        <v>29</v>
      </c>
      <c r="AB7" s="59" t="s">
        <v>29</v>
      </c>
      <c r="AC7" s="59" t="s">
        <v>29</v>
      </c>
      <c r="AD7" s="59" t="s">
        <v>30</v>
      </c>
      <c r="AE7" s="59" t="s">
        <v>29</v>
      </c>
      <c r="AF7" s="59" t="s">
        <v>29</v>
      </c>
      <c r="AG7" s="59" t="s">
        <v>29</v>
      </c>
      <c r="AH7" s="59" t="s">
        <v>30</v>
      </c>
      <c r="AI7" s="59" t="s">
        <v>29</v>
      </c>
      <c r="AJ7" s="59" t="s">
        <v>29</v>
      </c>
      <c r="AK7" s="59" t="s">
        <v>29</v>
      </c>
      <c r="AL7" s="59" t="s">
        <v>30</v>
      </c>
      <c r="AM7" s="59" t="s">
        <v>29</v>
      </c>
      <c r="AN7" s="59" t="s">
        <v>29</v>
      </c>
      <c r="AO7" s="59" t="s">
        <v>29</v>
      </c>
      <c r="AP7" s="59" t="s">
        <v>30</v>
      </c>
      <c r="AQ7" s="59" t="s">
        <v>29</v>
      </c>
      <c r="AR7" s="59" t="s">
        <v>29</v>
      </c>
      <c r="AS7" s="59" t="s">
        <v>29</v>
      </c>
      <c r="AT7" s="59" t="s">
        <v>30</v>
      </c>
      <c r="AU7" s="59" t="s">
        <v>29</v>
      </c>
      <c r="AV7" s="59" t="s">
        <v>29</v>
      </c>
      <c r="AW7" s="59" t="s">
        <v>29</v>
      </c>
      <c r="AX7" s="59" t="s">
        <v>30</v>
      </c>
      <c r="AY7" s="59" t="s">
        <v>29</v>
      </c>
      <c r="AZ7" s="59" t="s">
        <v>29</v>
      </c>
      <c r="BA7" s="59" t="s">
        <v>29</v>
      </c>
      <c r="BB7" s="59" t="s">
        <v>30</v>
      </c>
      <c r="BC7" s="59" t="s">
        <v>29</v>
      </c>
      <c r="BD7" s="59" t="s">
        <v>29</v>
      </c>
      <c r="BE7" s="59" t="s">
        <v>29</v>
      </c>
      <c r="BF7" s="59" t="s">
        <v>30</v>
      </c>
      <c r="BG7" s="59" t="s">
        <v>29</v>
      </c>
      <c r="BH7" s="59" t="s">
        <v>29</v>
      </c>
      <c r="BI7" s="59" t="s">
        <v>29</v>
      </c>
      <c r="BJ7" s="59" t="s">
        <v>30</v>
      </c>
      <c r="BK7" s="59" t="s">
        <v>29</v>
      </c>
      <c r="BL7" s="59" t="s">
        <v>29</v>
      </c>
      <c r="BM7" s="59" t="s">
        <v>29</v>
      </c>
      <c r="BN7" s="59" t="s">
        <v>30</v>
      </c>
      <c r="BO7" s="59" t="s">
        <v>29</v>
      </c>
      <c r="BP7" s="59" t="s">
        <v>29</v>
      </c>
      <c r="BQ7" s="59" t="s">
        <v>29</v>
      </c>
      <c r="BR7" s="59" t="s">
        <v>30</v>
      </c>
      <c r="BS7" s="59" t="s">
        <v>29</v>
      </c>
      <c r="BT7" s="59" t="s">
        <v>29</v>
      </c>
      <c r="BU7" s="59" t="s">
        <v>29</v>
      </c>
      <c r="BV7" s="59" t="s">
        <v>30</v>
      </c>
      <c r="BW7" s="59" t="s">
        <v>29</v>
      </c>
      <c r="BX7" s="59" t="s">
        <v>29</v>
      </c>
      <c r="BY7" s="59" t="s">
        <v>29</v>
      </c>
      <c r="BZ7" s="59" t="s">
        <v>30</v>
      </c>
      <c r="CA7" s="59" t="s">
        <v>29</v>
      </c>
      <c r="CB7" s="59" t="s">
        <v>29</v>
      </c>
      <c r="CC7" s="59" t="s">
        <v>29</v>
      </c>
      <c r="CD7" s="59" t="s">
        <v>30</v>
      </c>
      <c r="CE7" s="59" t="s">
        <v>29</v>
      </c>
      <c r="CF7" s="59" t="s">
        <v>29</v>
      </c>
      <c r="CG7" s="59" t="s">
        <v>29</v>
      </c>
      <c r="CH7" s="59" t="s">
        <v>30</v>
      </c>
      <c r="CI7" s="87"/>
      <c r="CJ7" s="87"/>
      <c r="CK7" s="87"/>
      <c r="CL7" s="87"/>
      <c r="CM7" s="87"/>
      <c r="CN7" s="87"/>
      <c r="CO7" s="87"/>
      <c r="CP7" s="87"/>
      <c r="CQ7" s="86"/>
    </row>
    <row r="8" spans="1:95" ht="15.75">
      <c r="A8" s="51"/>
      <c r="B8" s="51"/>
      <c r="C8" s="59" t="s">
        <v>33</v>
      </c>
      <c r="D8" s="59" t="s">
        <v>32</v>
      </c>
      <c r="E8" s="59" t="s">
        <v>32</v>
      </c>
      <c r="F8" s="59" t="s">
        <v>34</v>
      </c>
      <c r="G8" s="59" t="s">
        <v>33</v>
      </c>
      <c r="H8" s="59" t="s">
        <v>32</v>
      </c>
      <c r="I8" s="59" t="s">
        <v>32</v>
      </c>
      <c r="J8" s="59" t="s">
        <v>34</v>
      </c>
      <c r="K8" s="59" t="s">
        <v>33</v>
      </c>
      <c r="L8" s="59" t="s">
        <v>32</v>
      </c>
      <c r="M8" s="59" t="s">
        <v>32</v>
      </c>
      <c r="N8" s="59" t="s">
        <v>34</v>
      </c>
      <c r="O8" s="59" t="s">
        <v>33</v>
      </c>
      <c r="P8" s="59" t="s">
        <v>32</v>
      </c>
      <c r="Q8" s="59" t="s">
        <v>32</v>
      </c>
      <c r="R8" s="59" t="s">
        <v>34</v>
      </c>
      <c r="S8" s="59" t="s">
        <v>33</v>
      </c>
      <c r="T8" s="59" t="s">
        <v>32</v>
      </c>
      <c r="U8" s="59" t="s">
        <v>32</v>
      </c>
      <c r="V8" s="59" t="s">
        <v>34</v>
      </c>
      <c r="W8" s="59" t="s">
        <v>33</v>
      </c>
      <c r="X8" s="59" t="s">
        <v>32</v>
      </c>
      <c r="Y8" s="59" t="s">
        <v>32</v>
      </c>
      <c r="Z8" s="59" t="s">
        <v>34</v>
      </c>
      <c r="AA8" s="59" t="s">
        <v>33</v>
      </c>
      <c r="AB8" s="59" t="s">
        <v>32</v>
      </c>
      <c r="AC8" s="59" t="s">
        <v>32</v>
      </c>
      <c r="AD8" s="59" t="s">
        <v>34</v>
      </c>
      <c r="AE8" s="59" t="s">
        <v>33</v>
      </c>
      <c r="AF8" s="59" t="s">
        <v>32</v>
      </c>
      <c r="AG8" s="59" t="s">
        <v>32</v>
      </c>
      <c r="AH8" s="59" t="s">
        <v>34</v>
      </c>
      <c r="AI8" s="59" t="s">
        <v>33</v>
      </c>
      <c r="AJ8" s="59" t="s">
        <v>32</v>
      </c>
      <c r="AK8" s="59" t="s">
        <v>32</v>
      </c>
      <c r="AL8" s="59" t="s">
        <v>34</v>
      </c>
      <c r="AM8" s="59" t="s">
        <v>33</v>
      </c>
      <c r="AN8" s="59" t="s">
        <v>32</v>
      </c>
      <c r="AO8" s="59" t="s">
        <v>32</v>
      </c>
      <c r="AP8" s="59" t="s">
        <v>34</v>
      </c>
      <c r="AQ8" s="59" t="s">
        <v>33</v>
      </c>
      <c r="AR8" s="59" t="s">
        <v>32</v>
      </c>
      <c r="AS8" s="59" t="s">
        <v>32</v>
      </c>
      <c r="AT8" s="59" t="s">
        <v>34</v>
      </c>
      <c r="AU8" s="59" t="s">
        <v>33</v>
      </c>
      <c r="AV8" s="59" t="s">
        <v>32</v>
      </c>
      <c r="AW8" s="59" t="s">
        <v>32</v>
      </c>
      <c r="AX8" s="59" t="s">
        <v>34</v>
      </c>
      <c r="AY8" s="59" t="s">
        <v>33</v>
      </c>
      <c r="AZ8" s="59" t="s">
        <v>32</v>
      </c>
      <c r="BA8" s="59" t="s">
        <v>32</v>
      </c>
      <c r="BB8" s="59" t="s">
        <v>34</v>
      </c>
      <c r="BC8" s="59" t="s">
        <v>33</v>
      </c>
      <c r="BD8" s="59" t="s">
        <v>32</v>
      </c>
      <c r="BE8" s="59" t="s">
        <v>32</v>
      </c>
      <c r="BF8" s="59" t="s">
        <v>34</v>
      </c>
      <c r="BG8" s="59" t="s">
        <v>33</v>
      </c>
      <c r="BH8" s="59" t="s">
        <v>32</v>
      </c>
      <c r="BI8" s="59" t="s">
        <v>32</v>
      </c>
      <c r="BJ8" s="59" t="s">
        <v>34</v>
      </c>
      <c r="BK8" s="59" t="s">
        <v>33</v>
      </c>
      <c r="BL8" s="59" t="s">
        <v>32</v>
      </c>
      <c r="BM8" s="59" t="s">
        <v>32</v>
      </c>
      <c r="BN8" s="59" t="s">
        <v>34</v>
      </c>
      <c r="BO8" s="59" t="s">
        <v>33</v>
      </c>
      <c r="BP8" s="59" t="s">
        <v>32</v>
      </c>
      <c r="BQ8" s="59" t="s">
        <v>32</v>
      </c>
      <c r="BR8" s="59" t="s">
        <v>34</v>
      </c>
      <c r="BS8" s="59" t="s">
        <v>33</v>
      </c>
      <c r="BT8" s="59" t="s">
        <v>32</v>
      </c>
      <c r="BU8" s="59" t="s">
        <v>32</v>
      </c>
      <c r="BV8" s="59" t="s">
        <v>34</v>
      </c>
      <c r="BW8" s="59" t="s">
        <v>33</v>
      </c>
      <c r="BX8" s="59" t="s">
        <v>32</v>
      </c>
      <c r="BY8" s="59" t="s">
        <v>32</v>
      </c>
      <c r="BZ8" s="59" t="s">
        <v>34</v>
      </c>
      <c r="CA8" s="59" t="s">
        <v>33</v>
      </c>
      <c r="CB8" s="59" t="s">
        <v>32</v>
      </c>
      <c r="CC8" s="59" t="s">
        <v>32</v>
      </c>
      <c r="CD8" s="59" t="s">
        <v>34</v>
      </c>
      <c r="CE8" s="59" t="s">
        <v>33</v>
      </c>
      <c r="CF8" s="59" t="s">
        <v>32</v>
      </c>
      <c r="CG8" s="59" t="s">
        <v>32</v>
      </c>
      <c r="CH8" s="59" t="s">
        <v>34</v>
      </c>
      <c r="CI8" s="87"/>
      <c r="CJ8" s="87"/>
      <c r="CK8" s="87"/>
      <c r="CL8" s="87"/>
      <c r="CM8" s="87"/>
      <c r="CN8" s="87"/>
      <c r="CO8" s="87"/>
      <c r="CP8" s="87"/>
      <c r="CQ8" s="86"/>
    </row>
    <row r="9" spans="1:95" ht="15.75">
      <c r="A9" s="51"/>
      <c r="B9" s="51"/>
      <c r="C9" s="51"/>
      <c r="D9" s="51"/>
      <c r="E9" s="59" t="s">
        <v>36</v>
      </c>
      <c r="F9" s="51"/>
      <c r="G9" s="51"/>
      <c r="H9" s="51"/>
      <c r="I9" s="59" t="s">
        <v>36</v>
      </c>
      <c r="J9" s="51"/>
      <c r="K9" s="51"/>
      <c r="L9" s="51"/>
      <c r="M9" s="59" t="s">
        <v>36</v>
      </c>
      <c r="N9" s="51"/>
      <c r="O9" s="51"/>
      <c r="P9" s="51"/>
      <c r="Q9" s="59" t="s">
        <v>36</v>
      </c>
      <c r="R9" s="51"/>
      <c r="S9" s="51"/>
      <c r="T9" s="51"/>
      <c r="U9" s="59" t="s">
        <v>36</v>
      </c>
      <c r="V9" s="51"/>
      <c r="W9" s="51"/>
      <c r="X9" s="51"/>
      <c r="Y9" s="59" t="s">
        <v>36</v>
      </c>
      <c r="Z9" s="51"/>
      <c r="AA9" s="51"/>
      <c r="AB9" s="51"/>
      <c r="AC9" s="59" t="s">
        <v>36</v>
      </c>
      <c r="AD9" s="52" t="s">
        <v>37</v>
      </c>
      <c r="AE9" s="51"/>
      <c r="AF9" s="51"/>
      <c r="AG9" s="59" t="s">
        <v>36</v>
      </c>
      <c r="AH9" s="52" t="s">
        <v>37</v>
      </c>
      <c r="AI9" s="51"/>
      <c r="AJ9" s="51"/>
      <c r="AK9" s="59" t="s">
        <v>36</v>
      </c>
      <c r="AL9" s="51"/>
      <c r="AM9" s="51"/>
      <c r="AN9" s="51"/>
      <c r="AO9" s="59" t="s">
        <v>36</v>
      </c>
      <c r="AP9" s="51"/>
      <c r="AQ9" s="51"/>
      <c r="AR9" s="51"/>
      <c r="AS9" s="59" t="s">
        <v>36</v>
      </c>
      <c r="AT9" s="51"/>
      <c r="AU9" s="51"/>
      <c r="AV9" s="51"/>
      <c r="AW9" s="59" t="s">
        <v>36</v>
      </c>
      <c r="AX9" s="51"/>
      <c r="AY9" s="51"/>
      <c r="AZ9" s="51"/>
      <c r="BA9" s="59" t="s">
        <v>36</v>
      </c>
      <c r="BB9" s="51"/>
      <c r="BC9" s="51"/>
      <c r="BD9" s="51"/>
      <c r="BE9" s="59" t="s">
        <v>36</v>
      </c>
      <c r="BF9" s="51"/>
      <c r="BG9" s="51"/>
      <c r="BH9" s="51"/>
      <c r="BI9" s="59" t="s">
        <v>36</v>
      </c>
      <c r="BJ9" s="51"/>
      <c r="BK9" s="51"/>
      <c r="BL9" s="51"/>
      <c r="BM9" s="59" t="s">
        <v>36</v>
      </c>
      <c r="BN9" s="51"/>
      <c r="BO9" s="51"/>
      <c r="BP9" s="51"/>
      <c r="BQ9" s="59" t="s">
        <v>36</v>
      </c>
      <c r="BR9" s="51"/>
      <c r="BS9" s="51"/>
      <c r="BT9" s="51"/>
      <c r="BU9" s="59" t="s">
        <v>36</v>
      </c>
      <c r="BV9" s="51"/>
      <c r="BW9" s="51"/>
      <c r="BX9" s="51"/>
      <c r="BY9" s="59" t="s">
        <v>36</v>
      </c>
      <c r="BZ9" s="51"/>
      <c r="CA9" s="51"/>
      <c r="CB9" s="51"/>
      <c r="CC9" s="59" t="s">
        <v>36</v>
      </c>
      <c r="CD9" s="51"/>
      <c r="CE9" s="51"/>
      <c r="CF9" s="51"/>
      <c r="CG9" s="59" t="s">
        <v>36</v>
      </c>
      <c r="CH9" s="51"/>
      <c r="CI9" s="56"/>
      <c r="CJ9" s="56"/>
      <c r="CK9" s="87"/>
      <c r="CL9" s="56"/>
      <c r="CM9" s="87"/>
      <c r="CN9" s="87"/>
      <c r="CO9" s="87"/>
      <c r="CP9" s="56"/>
      <c r="CQ9" s="86"/>
    </row>
    <row r="10" spans="1:95" ht="16.5" thickBo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6"/>
      <c r="CJ10" s="56"/>
      <c r="CK10" s="56"/>
      <c r="CL10" s="56"/>
      <c r="CM10" s="56"/>
      <c r="CN10" s="56"/>
      <c r="CO10" s="87"/>
      <c r="CP10" s="56"/>
      <c r="CQ10" s="86"/>
    </row>
    <row r="11" spans="1:95" ht="16.5" thickTop="1">
      <c r="A11" s="61" t="s">
        <v>3</v>
      </c>
      <c r="B11" s="58"/>
      <c r="C11" s="62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6"/>
      <c r="CJ11" s="56"/>
      <c r="CK11" s="56"/>
      <c r="CL11" s="56"/>
      <c r="CM11" s="56"/>
      <c r="CN11" s="56"/>
      <c r="CO11" s="56"/>
      <c r="CP11" s="56"/>
      <c r="CQ11" s="86"/>
    </row>
    <row r="12" spans="1:95" ht="15.75">
      <c r="A12" s="63">
        <v>1</v>
      </c>
      <c r="B12" s="64" t="s">
        <v>38</v>
      </c>
      <c r="C12" s="51">
        <v>2.1083</v>
      </c>
      <c r="D12" s="65">
        <v>67.83</v>
      </c>
      <c r="E12" s="65">
        <f>D$34/C12</f>
        <v>67.82715932267705</v>
      </c>
      <c r="F12" s="51">
        <v>67.64</v>
      </c>
      <c r="G12" s="51">
        <v>2.0929</v>
      </c>
      <c r="H12" s="65">
        <v>67.92</v>
      </c>
      <c r="I12" s="65">
        <f>H$34/G12</f>
        <v>67.92011085097234</v>
      </c>
      <c r="J12" s="51">
        <v>67.74</v>
      </c>
      <c r="K12" s="51">
        <v>2.1021</v>
      </c>
      <c r="L12" s="65">
        <v>67.77</v>
      </c>
      <c r="M12" s="65">
        <f>L$34/K12</f>
        <v>67.77508206079635</v>
      </c>
      <c r="N12" s="51">
        <v>67.53</v>
      </c>
      <c r="O12" s="51">
        <v>2.1021</v>
      </c>
      <c r="P12" s="65">
        <v>67.69</v>
      </c>
      <c r="Q12" s="65">
        <f>P$34/O12</f>
        <v>67.68945340373911</v>
      </c>
      <c r="R12" s="51">
        <v>67.65</v>
      </c>
      <c r="S12" s="51">
        <v>2.1012</v>
      </c>
      <c r="T12" s="65">
        <v>67.77</v>
      </c>
      <c r="U12" s="65">
        <f>T$34/S12</f>
        <v>67.77079763944413</v>
      </c>
      <c r="V12" s="51">
        <v>67.68</v>
      </c>
      <c r="W12" s="66">
        <v>2.0967</v>
      </c>
      <c r="X12" s="65">
        <v>67.99</v>
      </c>
      <c r="Y12" s="65">
        <f>X$34/W12</f>
        <v>67.98779033719656</v>
      </c>
      <c r="Z12" s="51">
        <v>67.77</v>
      </c>
      <c r="AA12" s="51">
        <v>2.1037</v>
      </c>
      <c r="AB12" s="65">
        <v>67.74</v>
      </c>
      <c r="AC12" s="65">
        <f>AB$34/AA12</f>
        <v>67.74254884251556</v>
      </c>
      <c r="AD12" s="51">
        <v>67.77</v>
      </c>
      <c r="AE12" s="51">
        <v>2.1221</v>
      </c>
      <c r="AF12" s="65">
        <v>67.43</v>
      </c>
      <c r="AG12" s="65">
        <f>AF$34/AE12</f>
        <v>67.42849064605815</v>
      </c>
      <c r="AH12" s="51">
        <v>67.8</v>
      </c>
      <c r="AI12" s="51">
        <v>2.1386</v>
      </c>
      <c r="AJ12" s="65">
        <v>67.33</v>
      </c>
      <c r="AK12" s="65">
        <f>AJ$34/AI12</f>
        <v>67.33376975591509</v>
      </c>
      <c r="AL12" s="51">
        <v>67.63</v>
      </c>
      <c r="AM12" s="51">
        <v>2.1471</v>
      </c>
      <c r="AN12" s="51">
        <v>67.09</v>
      </c>
      <c r="AO12" s="51">
        <f>AN$34/AM12</f>
        <v>67.0858367099809</v>
      </c>
      <c r="AP12" s="51">
        <v>67.56</v>
      </c>
      <c r="AQ12" s="51">
        <v>2.1787</v>
      </c>
      <c r="AR12" s="65">
        <v>66.5</v>
      </c>
      <c r="AS12" s="65">
        <f>AR$34/AQ12</f>
        <v>66.50296048102078</v>
      </c>
      <c r="AT12" s="51">
        <v>67.18</v>
      </c>
      <c r="AU12" s="51">
        <v>2.1751</v>
      </c>
      <c r="AV12" s="65">
        <v>66.8</v>
      </c>
      <c r="AW12" s="65">
        <f>AV$34/AU12</f>
        <v>66.80152636660384</v>
      </c>
      <c r="AX12" s="51">
        <v>67.26</v>
      </c>
      <c r="AY12" s="51">
        <v>2.1642</v>
      </c>
      <c r="AZ12" s="65">
        <v>66.98</v>
      </c>
      <c r="BA12" s="65">
        <f>AZ$34/AY12</f>
        <v>66.98087052952592</v>
      </c>
      <c r="BB12" s="51">
        <v>67.37</v>
      </c>
      <c r="BC12" s="51">
        <v>2.1758</v>
      </c>
      <c r="BD12" s="65">
        <v>66.71</v>
      </c>
      <c r="BE12" s="65">
        <f>BD$34/BC12</f>
        <v>66.7064987590771</v>
      </c>
      <c r="BF12" s="51">
        <v>67.28</v>
      </c>
      <c r="BG12" s="51">
        <v>2.1894</v>
      </c>
      <c r="BH12" s="65">
        <v>66.56</v>
      </c>
      <c r="BI12" s="65">
        <f>BH$34/BG12</f>
        <v>66.56618251575775</v>
      </c>
      <c r="BJ12" s="51">
        <v>67.1</v>
      </c>
      <c r="BK12" s="51">
        <v>2.1872</v>
      </c>
      <c r="BL12" s="65">
        <v>66.77</v>
      </c>
      <c r="BM12" s="65">
        <f>BL$34/BK12</f>
        <v>66.77029992684712</v>
      </c>
      <c r="BN12" s="51">
        <v>67.02</v>
      </c>
      <c r="BO12" s="51">
        <v>2.1792</v>
      </c>
      <c r="BP12" s="65">
        <v>67.01</v>
      </c>
      <c r="BQ12" s="65">
        <f>BP$34/BO12</f>
        <v>67.01082966226139</v>
      </c>
      <c r="BR12" s="51">
        <v>67.09</v>
      </c>
      <c r="BS12" s="51">
        <v>2.2005</v>
      </c>
      <c r="BT12" s="65">
        <v>66.59</v>
      </c>
      <c r="BU12" s="65">
        <f>BT$34/BS12</f>
        <v>66.59395591910929</v>
      </c>
      <c r="BV12" s="51">
        <v>66.94</v>
      </c>
      <c r="BW12" s="51">
        <v>2.2065</v>
      </c>
      <c r="BX12" s="65">
        <v>66.41</v>
      </c>
      <c r="BY12" s="65">
        <f>BX$34/BW12</f>
        <v>66.40833899841377</v>
      </c>
      <c r="BZ12" s="51">
        <v>66.8</v>
      </c>
      <c r="CA12" s="67">
        <v>2.2117</v>
      </c>
      <c r="CB12" s="68">
        <v>66.4</v>
      </c>
      <c r="CC12" s="68">
        <f>CB$34/CA12</f>
        <v>66.40141067956776</v>
      </c>
      <c r="CD12" s="51">
        <v>66.65</v>
      </c>
      <c r="CE12" s="51">
        <f>(+C12+G12+K12+O12+S12+W12+AA12+AE12+AI12+AM12+AQ12+AU12+AY12+BC12+BG12+BK12+BO12+BS12+BW12+CA12)/20</f>
        <v>2.149155</v>
      </c>
      <c r="CF12" s="51">
        <f aca="true" t="shared" si="0" ref="CF12:CH27">(+D12+H12+L12+P12+T12+X12+AB12+AF12+AJ12+AN12+AR12+AV12+AZ12+BD12+BH12+BL12+BP12+BT12+BX12+CB12)/20</f>
        <v>67.1645</v>
      </c>
      <c r="CG12" s="51">
        <f t="shared" si="0"/>
        <v>67.165195670374</v>
      </c>
      <c r="CH12" s="51">
        <f t="shared" si="0"/>
        <v>67.373</v>
      </c>
      <c r="CI12" s="56"/>
      <c r="CJ12" s="88"/>
      <c r="CK12" s="88"/>
      <c r="CL12" s="56"/>
      <c r="CM12" s="56"/>
      <c r="CN12" s="56"/>
      <c r="CO12" s="56"/>
      <c r="CP12" s="56"/>
      <c r="CQ12" s="86"/>
    </row>
    <row r="13" spans="1:95" ht="15.75">
      <c r="A13" s="63">
        <v>2</v>
      </c>
      <c r="B13" s="64" t="s">
        <v>39</v>
      </c>
      <c r="C13" s="51">
        <v>117.13</v>
      </c>
      <c r="D13" s="65">
        <v>122.08</v>
      </c>
      <c r="E13" s="65">
        <f>D$34/C13*100</f>
        <v>122.08657047724752</v>
      </c>
      <c r="F13" s="51"/>
      <c r="G13" s="51">
        <v>118.93</v>
      </c>
      <c r="H13" s="65">
        <v>119.53</v>
      </c>
      <c r="I13" s="65">
        <f>H$34/G13*100</f>
        <v>119.5240898007231</v>
      </c>
      <c r="J13" s="51"/>
      <c r="K13" s="51">
        <v>118.83</v>
      </c>
      <c r="L13" s="65">
        <v>119.89</v>
      </c>
      <c r="M13" s="65">
        <f>L$34/K13*100</f>
        <v>119.89396617015906</v>
      </c>
      <c r="N13" s="51"/>
      <c r="O13" s="51">
        <v>119.86</v>
      </c>
      <c r="P13" s="65">
        <v>118.71</v>
      </c>
      <c r="Q13" s="65">
        <f>P$34/O13*100</f>
        <v>118.71349908226263</v>
      </c>
      <c r="R13" s="51"/>
      <c r="S13" s="51">
        <v>119.59</v>
      </c>
      <c r="T13" s="65">
        <v>119.07</v>
      </c>
      <c r="U13" s="65">
        <f>T$34/S13*100</f>
        <v>119.07350112885693</v>
      </c>
      <c r="V13" s="51"/>
      <c r="W13" s="51">
        <v>119.69</v>
      </c>
      <c r="X13" s="65">
        <v>119.1</v>
      </c>
      <c r="Y13" s="65">
        <f>X$34/W13*100</f>
        <v>119.09933996156738</v>
      </c>
      <c r="Z13" s="51"/>
      <c r="AA13" s="51">
        <v>120.46</v>
      </c>
      <c r="AB13" s="65">
        <v>118.3</v>
      </c>
      <c r="AC13" s="65">
        <f>AB$34/AA13*100</f>
        <v>118.30483147932924</v>
      </c>
      <c r="AD13" s="51"/>
      <c r="AE13" s="51">
        <v>120.2</v>
      </c>
      <c r="AF13" s="65">
        <v>119.05</v>
      </c>
      <c r="AG13" s="65">
        <f>AF$34/AE13*100</f>
        <v>119.04326123128119</v>
      </c>
      <c r="AH13" s="51"/>
      <c r="AI13" s="51">
        <v>120.185</v>
      </c>
      <c r="AJ13" s="65">
        <v>119.82</v>
      </c>
      <c r="AK13" s="65">
        <f>AJ$34/AI13*100</f>
        <v>119.81528476931398</v>
      </c>
      <c r="AL13" s="51"/>
      <c r="AM13" s="51">
        <v>120.82</v>
      </c>
      <c r="AN13" s="51">
        <v>119.22</v>
      </c>
      <c r="AO13" s="51">
        <f>AN$34/AM13*100</f>
        <v>119.21867240523092</v>
      </c>
      <c r="AP13" s="51"/>
      <c r="AQ13" s="51">
        <v>122.58</v>
      </c>
      <c r="AR13" s="65">
        <v>118.2</v>
      </c>
      <c r="AS13" s="65">
        <f>AR$34/AQ13*100</f>
        <v>118.20035894925762</v>
      </c>
      <c r="AT13" s="51"/>
      <c r="AU13" s="51">
        <v>122.3</v>
      </c>
      <c r="AV13" s="65">
        <v>118.81</v>
      </c>
      <c r="AW13" s="65">
        <f>AV$34/AU13*100</f>
        <v>118.80621422730991</v>
      </c>
      <c r="AX13" s="51"/>
      <c r="AY13" s="51">
        <v>122.86</v>
      </c>
      <c r="AZ13" s="65">
        <v>117.99</v>
      </c>
      <c r="BA13" s="65">
        <f>AZ$34/AY13*100</f>
        <v>117.98795376851703</v>
      </c>
      <c r="BB13" s="51"/>
      <c r="BC13" s="51">
        <v>123.64</v>
      </c>
      <c r="BD13" s="65">
        <v>117.39</v>
      </c>
      <c r="BE13" s="65">
        <f>BD$34/BC13*100</f>
        <v>117.38919443545777</v>
      </c>
      <c r="BF13" s="51"/>
      <c r="BG13" s="51">
        <v>122.68</v>
      </c>
      <c r="BH13" s="65">
        <v>118.8</v>
      </c>
      <c r="BI13" s="65">
        <f>BH$34/BG13*100</f>
        <v>118.79686990544506</v>
      </c>
      <c r="BJ13" s="51"/>
      <c r="BK13" s="51">
        <v>123.02</v>
      </c>
      <c r="BL13" s="65">
        <v>118.71</v>
      </c>
      <c r="BM13" s="65">
        <f>BL$34/BK13*100</f>
        <v>118.71240448707528</v>
      </c>
      <c r="BN13" s="51"/>
      <c r="BO13" s="51">
        <v>122.92</v>
      </c>
      <c r="BP13" s="65">
        <v>118.8</v>
      </c>
      <c r="BQ13" s="65">
        <f>BP$34/BO13*100</f>
        <v>118.80084607875041</v>
      </c>
      <c r="BR13" s="51"/>
      <c r="BS13" s="51">
        <v>121.77</v>
      </c>
      <c r="BT13" s="65">
        <v>120.34</v>
      </c>
      <c r="BU13" s="65">
        <f>BT$34/BS13*100</f>
        <v>120.34162765870082</v>
      </c>
      <c r="BV13" s="51"/>
      <c r="BW13" s="51">
        <v>123.25</v>
      </c>
      <c r="BX13" s="65">
        <v>118.89</v>
      </c>
      <c r="BY13" s="65">
        <f>BX$34/BW13*100</f>
        <v>118.88843813387425</v>
      </c>
      <c r="BZ13" s="51"/>
      <c r="CA13" s="67">
        <v>124.98</v>
      </c>
      <c r="CB13" s="68">
        <v>117.51</v>
      </c>
      <c r="CC13" s="68">
        <f>CB$34/CA13*100</f>
        <v>117.5068010881741</v>
      </c>
      <c r="CD13" s="51"/>
      <c r="CE13" s="51">
        <f aca="true" t="shared" si="1" ref="CE13:CF34">(+C13+G13+K13+O13+S13+W13+AA13+AE13+AI13+AM13+AQ13+AU13+AY13+BC13+BG13+BK13+BO13+BS13+BW13+CA13)/20</f>
        <v>121.28474999999999</v>
      </c>
      <c r="CF13" s="51">
        <f t="shared" si="0"/>
        <v>119.01050000000001</v>
      </c>
      <c r="CG13" s="51">
        <f t="shared" si="0"/>
        <v>119.01018626192672</v>
      </c>
      <c r="CH13" s="51"/>
      <c r="CI13" s="56"/>
      <c r="CJ13" s="88"/>
      <c r="CK13" s="88"/>
      <c r="CL13" s="56"/>
      <c r="CM13" s="56"/>
      <c r="CN13" s="56"/>
      <c r="CO13" s="56"/>
      <c r="CP13" s="56"/>
      <c r="CQ13" s="86"/>
    </row>
    <row r="14" spans="1:95" ht="15.75">
      <c r="A14" s="63">
        <v>3</v>
      </c>
      <c r="B14" s="64" t="s">
        <v>40</v>
      </c>
      <c r="C14" s="51">
        <f>1/1.4523</f>
        <v>0.6885629690835228</v>
      </c>
      <c r="D14" s="65">
        <v>207.67</v>
      </c>
      <c r="E14" s="65">
        <f>D$34/C14</f>
        <v>207.67889999999997</v>
      </c>
      <c r="F14" s="51"/>
      <c r="G14" s="51">
        <f>1/1.4723</f>
        <v>0.6792094002580996</v>
      </c>
      <c r="H14" s="65">
        <v>209.29</v>
      </c>
      <c r="I14" s="65">
        <f>H$34/G14</f>
        <v>209.287445</v>
      </c>
      <c r="J14" s="51"/>
      <c r="K14" s="51">
        <f>1/1.4672</f>
        <v>0.6815703380588877</v>
      </c>
      <c r="L14" s="65">
        <v>209.03</v>
      </c>
      <c r="M14" s="65">
        <f>L$34/K14</f>
        <v>209.031984</v>
      </c>
      <c r="N14" s="51"/>
      <c r="O14" s="51">
        <f>1/1.4627</f>
        <v>0.6836671908115131</v>
      </c>
      <c r="P14" s="65">
        <v>208.13</v>
      </c>
      <c r="Q14" s="65">
        <f>P$34/O14</f>
        <v>208.12758299999996</v>
      </c>
      <c r="R14" s="51"/>
      <c r="S14" s="51">
        <f>1/1.4672</f>
        <v>0.6815703380588877</v>
      </c>
      <c r="T14" s="65">
        <v>208.92</v>
      </c>
      <c r="U14" s="65">
        <f>T$34/S14</f>
        <v>208.92928</v>
      </c>
      <c r="V14" s="51"/>
      <c r="W14" s="51">
        <f>1/1.4681</f>
        <v>0.6811525100469995</v>
      </c>
      <c r="X14" s="65">
        <v>209.27</v>
      </c>
      <c r="Y14" s="65">
        <f>X$34/W14</f>
        <v>209.277655</v>
      </c>
      <c r="Z14" s="51"/>
      <c r="AA14" s="51">
        <f>1/1.466</f>
        <v>0.6821282401091405</v>
      </c>
      <c r="AB14" s="65">
        <v>208.92</v>
      </c>
      <c r="AC14" s="65">
        <f>AB$34/AA14</f>
        <v>208.91966</v>
      </c>
      <c r="AD14" s="51"/>
      <c r="AE14" s="51">
        <f>1/1.4585</f>
        <v>0.6856359273225917</v>
      </c>
      <c r="AF14" s="65">
        <v>208.7</v>
      </c>
      <c r="AG14" s="65">
        <f>AF$34/AE14</f>
        <v>208.696765</v>
      </c>
      <c r="AH14" s="51"/>
      <c r="AI14" s="51">
        <f>1/1.4508</f>
        <v>0.6892748828232699</v>
      </c>
      <c r="AJ14" s="65">
        <v>208.91</v>
      </c>
      <c r="AK14" s="65">
        <f>AJ$34/AI14</f>
        <v>208.91520000000003</v>
      </c>
      <c r="AL14" s="51"/>
      <c r="AM14" s="51">
        <f>1/1.4482</f>
        <v>0.6905123601712471</v>
      </c>
      <c r="AN14" s="51">
        <v>208.6</v>
      </c>
      <c r="AO14" s="51">
        <f>AN$34/AM14</f>
        <v>208.598728</v>
      </c>
      <c r="AP14" s="51"/>
      <c r="AQ14" s="51">
        <f>1/1.4345</f>
        <v>0.6971070059254095</v>
      </c>
      <c r="AR14" s="65">
        <v>207.85</v>
      </c>
      <c r="AS14" s="65">
        <f>AR$34/AQ14</f>
        <v>207.84470499999998</v>
      </c>
      <c r="AT14" s="51"/>
      <c r="AU14" s="51">
        <f>1/1.4264</f>
        <v>0.7010656197420079</v>
      </c>
      <c r="AV14" s="65">
        <v>207.25</v>
      </c>
      <c r="AW14" s="65">
        <f>AV$34/AU14</f>
        <v>207.25592</v>
      </c>
      <c r="AX14" s="51"/>
      <c r="AY14" s="51">
        <f>1/1.4281</f>
        <v>0.7002310762551642</v>
      </c>
      <c r="AZ14" s="65">
        <v>207.02</v>
      </c>
      <c r="BA14" s="65">
        <f>AZ$34/AY14</f>
        <v>207.017376</v>
      </c>
      <c r="BB14" s="51"/>
      <c r="BC14" s="51">
        <f>1/1.4279</f>
        <v>0.7003291547027103</v>
      </c>
      <c r="BD14" s="65">
        <v>207.25</v>
      </c>
      <c r="BE14" s="65">
        <f>BD$34/BC14</f>
        <v>207.24540599999997</v>
      </c>
      <c r="BF14" s="51"/>
      <c r="BG14" s="51">
        <f>1/1.4303</f>
        <v>0.699154023631406</v>
      </c>
      <c r="BH14" s="65">
        <v>208.45</v>
      </c>
      <c r="BI14" s="65">
        <f>BH$34/BG14</f>
        <v>208.45192200000002</v>
      </c>
      <c r="BJ14" s="51"/>
      <c r="BK14" s="51">
        <f>1/1.4313</f>
        <v>0.6986655488017885</v>
      </c>
      <c r="BL14" s="65">
        <v>209.02</v>
      </c>
      <c r="BM14" s="65">
        <f>BL$34/BK14</f>
        <v>209.027052</v>
      </c>
      <c r="BN14" s="51"/>
      <c r="BO14" s="51">
        <f>1/1.4375</f>
        <v>0.6956521739130435</v>
      </c>
      <c r="BP14" s="65">
        <v>209.92</v>
      </c>
      <c r="BQ14" s="65">
        <f>BP$34/BO14</f>
        <v>209.918125</v>
      </c>
      <c r="BR14" s="51"/>
      <c r="BS14" s="51">
        <f>1/1.4347</f>
        <v>0.6970098278385725</v>
      </c>
      <c r="BT14" s="65">
        <v>210.24</v>
      </c>
      <c r="BU14" s="65">
        <f>BT$34/BS14</f>
        <v>210.240938</v>
      </c>
      <c r="BV14" s="51"/>
      <c r="BW14" s="51">
        <f>1/1.4402</f>
        <v>0.6943480072212194</v>
      </c>
      <c r="BX14" s="65">
        <v>211.04</v>
      </c>
      <c r="BY14" s="65">
        <f>BX$34/BW14</f>
        <v>211.03250599999998</v>
      </c>
      <c r="BZ14" s="51"/>
      <c r="CA14" s="67">
        <f>1/1.4248</f>
        <v>0.7018528916339135</v>
      </c>
      <c r="CB14" s="68">
        <v>209.24</v>
      </c>
      <c r="CC14" s="68">
        <f>CB$34/CA14</f>
        <v>209.24612800000003</v>
      </c>
      <c r="CD14" s="51"/>
      <c r="CE14" s="51">
        <f t="shared" si="1"/>
        <v>0.6914349743204697</v>
      </c>
      <c r="CF14" s="51">
        <f t="shared" si="0"/>
        <v>208.73599999999996</v>
      </c>
      <c r="CG14" s="51">
        <f t="shared" si="0"/>
        <v>208.73716389999998</v>
      </c>
      <c r="CH14" s="51"/>
      <c r="CI14" s="56"/>
      <c r="CJ14" s="88"/>
      <c r="CK14" s="88"/>
      <c r="CL14" s="56"/>
      <c r="CM14" s="56"/>
      <c r="CN14" s="56"/>
      <c r="CO14" s="56"/>
      <c r="CP14" s="56"/>
      <c r="CQ14" s="86"/>
    </row>
    <row r="15" spans="1:95" ht="15.75">
      <c r="A15" s="63">
        <v>4</v>
      </c>
      <c r="B15" s="64" t="s">
        <v>41</v>
      </c>
      <c r="C15" s="51">
        <v>1.6582</v>
      </c>
      <c r="D15" s="65">
        <v>86.24</v>
      </c>
      <c r="E15" s="65">
        <f>D$34/C15</f>
        <v>86.23808949463275</v>
      </c>
      <c r="F15" s="51"/>
      <c r="G15" s="51">
        <v>1.6443</v>
      </c>
      <c r="H15" s="65">
        <v>86.45</v>
      </c>
      <c r="I15" s="65">
        <f>H$34/G15</f>
        <v>86.45016116280485</v>
      </c>
      <c r="J15" s="51"/>
      <c r="K15" s="51">
        <v>1.6518</v>
      </c>
      <c r="L15" s="65">
        <v>86.25</v>
      </c>
      <c r="M15" s="65">
        <f>L$34/K15</f>
        <v>86.25136215038141</v>
      </c>
      <c r="N15" s="51"/>
      <c r="O15" s="51">
        <v>1.6514</v>
      </c>
      <c r="P15" s="65">
        <v>86.16</v>
      </c>
      <c r="Q15" s="65">
        <f>P$34/O15</f>
        <v>86.16325541964393</v>
      </c>
      <c r="R15" s="51"/>
      <c r="S15" s="51">
        <v>1.6552</v>
      </c>
      <c r="T15" s="65">
        <v>86.03</v>
      </c>
      <c r="U15" s="65">
        <f>T$34/S15</f>
        <v>86.0318994683422</v>
      </c>
      <c r="V15" s="51"/>
      <c r="W15" s="51">
        <v>1.6536</v>
      </c>
      <c r="X15" s="65">
        <v>86.2</v>
      </c>
      <c r="Y15" s="65">
        <f>X$34/W15</f>
        <v>86.20585389453315</v>
      </c>
      <c r="Z15" s="51"/>
      <c r="AA15" s="51">
        <v>1.6564</v>
      </c>
      <c r="AB15" s="65">
        <v>86.03</v>
      </c>
      <c r="AC15" s="65">
        <f>AB$34/AA15</f>
        <v>86.03598164694517</v>
      </c>
      <c r="AD15" s="51"/>
      <c r="AE15" s="51">
        <v>1.6709</v>
      </c>
      <c r="AF15" s="65">
        <v>85.64</v>
      </c>
      <c r="AG15" s="65">
        <f>AF$34/AE15</f>
        <v>85.63648333233587</v>
      </c>
      <c r="AH15" s="51"/>
      <c r="AI15" s="51">
        <v>1.6819</v>
      </c>
      <c r="AJ15" s="65">
        <v>85.62</v>
      </c>
      <c r="AK15" s="65">
        <f>AJ$34/AI15</f>
        <v>85.61745644806469</v>
      </c>
      <c r="AL15" s="51"/>
      <c r="AM15" s="51">
        <v>1.6882</v>
      </c>
      <c r="AN15" s="51">
        <v>85.32</v>
      </c>
      <c r="AO15" s="51">
        <f>AN$34/AM15</f>
        <v>85.32164435493425</v>
      </c>
      <c r="AP15" s="51"/>
      <c r="AQ15" s="51">
        <v>1.7115</v>
      </c>
      <c r="AR15" s="65">
        <v>84.66</v>
      </c>
      <c r="AS15" s="65">
        <f>AR$34/AQ15</f>
        <v>84.65673385918784</v>
      </c>
      <c r="AT15" s="51"/>
      <c r="AU15" s="51">
        <v>1.7038</v>
      </c>
      <c r="AV15" s="65">
        <v>85.28</v>
      </c>
      <c r="AW15" s="65">
        <f>AV$34/AU15</f>
        <v>85.27996243690575</v>
      </c>
      <c r="AX15" s="51"/>
      <c r="AY15" s="51">
        <v>1.695</v>
      </c>
      <c r="AZ15" s="65">
        <v>85.52</v>
      </c>
      <c r="BA15" s="65">
        <f>AZ$34/AY15</f>
        <v>85.52212389380531</v>
      </c>
      <c r="BB15" s="51"/>
      <c r="BC15" s="51">
        <v>1.7058</v>
      </c>
      <c r="BD15" s="65">
        <v>85.09</v>
      </c>
      <c r="BE15" s="65">
        <f>BD$34/BC15</f>
        <v>85.0861765740415</v>
      </c>
      <c r="BF15" s="51"/>
      <c r="BG15" s="51">
        <v>1.7145</v>
      </c>
      <c r="BH15" s="65">
        <v>85</v>
      </c>
      <c r="BI15" s="65">
        <f>BH$34/BG15</f>
        <v>85.00437445319336</v>
      </c>
      <c r="BJ15" s="51"/>
      <c r="BK15" s="51">
        <v>1.7139</v>
      </c>
      <c r="BL15" s="65">
        <v>85.21</v>
      </c>
      <c r="BM15" s="65">
        <f>BL$34/BK15</f>
        <v>85.20917206371433</v>
      </c>
      <c r="BN15" s="51"/>
      <c r="BO15" s="51">
        <v>1.7098</v>
      </c>
      <c r="BP15" s="65">
        <v>85.41</v>
      </c>
      <c r="BQ15" s="65">
        <f>BP$34/BO15</f>
        <v>85.40765001754592</v>
      </c>
      <c r="BR15" s="51"/>
      <c r="BS15" s="51">
        <v>1.7212</v>
      </c>
      <c r="BT15" s="65">
        <v>85.14</v>
      </c>
      <c r="BU15" s="65">
        <f>BT$34/BS15</f>
        <v>85.1382756216593</v>
      </c>
      <c r="BV15" s="51"/>
      <c r="BW15" s="51">
        <v>1.7238</v>
      </c>
      <c r="BX15" s="65">
        <v>85.01</v>
      </c>
      <c r="BY15" s="65">
        <f>BX$34/BW15</f>
        <v>85.004060795916</v>
      </c>
      <c r="BZ15" s="51"/>
      <c r="CA15" s="67">
        <v>1.7264</v>
      </c>
      <c r="CB15" s="68">
        <v>85.07</v>
      </c>
      <c r="CC15" s="68">
        <f>CB$34/CA15</f>
        <v>85.06719184430028</v>
      </c>
      <c r="CD15" s="51"/>
      <c r="CE15" s="51">
        <f t="shared" si="1"/>
        <v>1.68688</v>
      </c>
      <c r="CF15" s="51">
        <f t="shared" si="0"/>
        <v>85.5665</v>
      </c>
      <c r="CG15" s="51">
        <f t="shared" si="0"/>
        <v>85.56639544664438</v>
      </c>
      <c r="CH15" s="51"/>
      <c r="CI15" s="56"/>
      <c r="CJ15" s="88"/>
      <c r="CK15" s="88"/>
      <c r="CL15" s="56"/>
      <c r="CM15" s="56"/>
      <c r="CN15" s="56"/>
      <c r="CO15" s="56"/>
      <c r="CP15" s="56"/>
      <c r="CQ15" s="86"/>
    </row>
    <row r="16" spans="1:95" ht="15.75">
      <c r="A16" s="63">
        <v>5</v>
      </c>
      <c r="B16" s="64" t="s">
        <v>42</v>
      </c>
      <c r="C16" s="51">
        <v>7.0708</v>
      </c>
      <c r="D16" s="65">
        <v>20.22</v>
      </c>
      <c r="E16" s="65">
        <f>D$34/C16</f>
        <v>20.224019912881143</v>
      </c>
      <c r="F16" s="51"/>
      <c r="G16" s="51">
        <v>7.0193</v>
      </c>
      <c r="H16" s="65">
        <v>20.25</v>
      </c>
      <c r="I16" s="65">
        <f>H$34/G16</f>
        <v>20.251307110395622</v>
      </c>
      <c r="J16" s="51"/>
      <c r="K16" s="51">
        <v>7.0503</v>
      </c>
      <c r="L16" s="65">
        <v>20.21</v>
      </c>
      <c r="M16" s="65">
        <f>L$34/K16</f>
        <v>20.207650738266455</v>
      </c>
      <c r="N16" s="51"/>
      <c r="O16" s="51">
        <v>7.0503</v>
      </c>
      <c r="P16" s="65">
        <v>20.18</v>
      </c>
      <c r="Q16" s="65">
        <f>P$34/O16</f>
        <v>20.182119909791073</v>
      </c>
      <c r="R16" s="51"/>
      <c r="S16" s="51">
        <v>7.0472</v>
      </c>
      <c r="T16" s="65">
        <v>20.21</v>
      </c>
      <c r="U16" s="65">
        <f>T$34/S16</f>
        <v>20.20660687932796</v>
      </c>
      <c r="V16" s="51"/>
      <c r="W16" s="51">
        <v>7.0321</v>
      </c>
      <c r="X16" s="65">
        <v>20.27</v>
      </c>
      <c r="Y16" s="65">
        <f>X$34/W16</f>
        <v>20.27132719955632</v>
      </c>
      <c r="Z16" s="51"/>
      <c r="AA16" s="51">
        <v>7.0556</v>
      </c>
      <c r="AB16" s="65">
        <v>20.2</v>
      </c>
      <c r="AC16" s="65">
        <f>AB$34/AA16</f>
        <v>20.19814048415443</v>
      </c>
      <c r="AD16" s="51"/>
      <c r="AE16" s="51">
        <v>7.1172</v>
      </c>
      <c r="AF16" s="65">
        <v>20.11</v>
      </c>
      <c r="AG16" s="65">
        <f>AF$34/AE16</f>
        <v>20.104816500871127</v>
      </c>
      <c r="AH16" s="51"/>
      <c r="AI16" s="51">
        <v>7.1725</v>
      </c>
      <c r="AJ16" s="65">
        <v>20.08</v>
      </c>
      <c r="AK16" s="65">
        <f>AJ$34/AI16</f>
        <v>20.076681770651795</v>
      </c>
      <c r="AL16" s="51"/>
      <c r="AM16" s="51">
        <v>7.2012</v>
      </c>
      <c r="AN16" s="51">
        <v>20</v>
      </c>
      <c r="AO16" s="51">
        <f>AN$34/AM16</f>
        <v>20.002221851913568</v>
      </c>
      <c r="AP16" s="51"/>
      <c r="AQ16" s="51">
        <v>7.3071</v>
      </c>
      <c r="AR16" s="65">
        <v>19.83</v>
      </c>
      <c r="AS16" s="65">
        <f>AR$34/AQ16</f>
        <v>19.828659796636146</v>
      </c>
      <c r="AT16" s="51"/>
      <c r="AU16" s="51">
        <v>7.2949</v>
      </c>
      <c r="AV16" s="65">
        <v>19.29</v>
      </c>
      <c r="AW16" s="65">
        <f>AV$34/AU16</f>
        <v>19.918024921520516</v>
      </c>
      <c r="AX16" s="51"/>
      <c r="AY16" s="51">
        <v>7.2586</v>
      </c>
      <c r="AZ16" s="65">
        <v>19.97</v>
      </c>
      <c r="BA16" s="65">
        <f>AZ$34/AY16</f>
        <v>19.97079326591905</v>
      </c>
      <c r="BB16" s="51"/>
      <c r="BC16" s="51">
        <v>7.2973</v>
      </c>
      <c r="BD16" s="65">
        <v>19.89</v>
      </c>
      <c r="BE16" s="65">
        <f>BD$34/BC16</f>
        <v>19.889548189056224</v>
      </c>
      <c r="BF16" s="51"/>
      <c r="BG16" s="51">
        <v>7.3431</v>
      </c>
      <c r="BH16" s="65">
        <v>19.85</v>
      </c>
      <c r="BI16" s="65">
        <f>BH$34/BG16</f>
        <v>19.847203497160603</v>
      </c>
      <c r="BJ16" s="51"/>
      <c r="BK16" s="51">
        <v>7.3357</v>
      </c>
      <c r="BL16" s="65">
        <v>19.91</v>
      </c>
      <c r="BM16" s="65">
        <f>BL$34/BK16</f>
        <v>19.908120561091646</v>
      </c>
      <c r="BN16" s="51"/>
      <c r="BO16" s="51">
        <v>7.3087</v>
      </c>
      <c r="BP16" s="65">
        <v>19.98</v>
      </c>
      <c r="BQ16" s="65">
        <f>BP$34/BO16</f>
        <v>19.98029745371954</v>
      </c>
      <c r="BR16" s="51"/>
      <c r="BS16" s="51">
        <v>7.3803</v>
      </c>
      <c r="BT16" s="65">
        <v>19.86</v>
      </c>
      <c r="BU16" s="65">
        <f>BT$34/BS16</f>
        <v>19.85556142704226</v>
      </c>
      <c r="BV16" s="51"/>
      <c r="BW16" s="51">
        <v>7.4002</v>
      </c>
      <c r="BX16" s="65">
        <v>19.8</v>
      </c>
      <c r="BY16" s="65">
        <f>BX$34/BW16</f>
        <v>19.800816194156916</v>
      </c>
      <c r="BZ16" s="51"/>
      <c r="CA16" s="67">
        <v>7.4178</v>
      </c>
      <c r="CB16" s="68">
        <v>19.8</v>
      </c>
      <c r="CC16" s="68">
        <f>CB$34/CA16</f>
        <v>19.798322952897088</v>
      </c>
      <c r="CD16" s="51"/>
      <c r="CE16" s="51">
        <f t="shared" si="1"/>
        <v>7.20801</v>
      </c>
      <c r="CF16" s="51">
        <f t="shared" si="0"/>
        <v>19.9955</v>
      </c>
      <c r="CG16" s="51">
        <f t="shared" si="0"/>
        <v>20.026112030850474</v>
      </c>
      <c r="CH16" s="51"/>
      <c r="CI16" s="56"/>
      <c r="CJ16" s="88"/>
      <c r="CK16" s="88"/>
      <c r="CL16" s="56"/>
      <c r="CM16" s="56"/>
      <c r="CN16" s="56"/>
      <c r="CO16" s="56"/>
      <c r="CP16" s="56"/>
      <c r="CQ16" s="86"/>
    </row>
    <row r="17" spans="1:95" ht="15.75">
      <c r="A17" s="63">
        <v>6</v>
      </c>
      <c r="B17" s="64" t="s">
        <v>43</v>
      </c>
      <c r="C17" s="51">
        <v>2.3755</v>
      </c>
      <c r="D17" s="65">
        <v>60.2</v>
      </c>
      <c r="E17" s="65">
        <f>D$34/C17</f>
        <v>60.19785308356135</v>
      </c>
      <c r="F17" s="51"/>
      <c r="G17" s="51">
        <v>2.3582</v>
      </c>
      <c r="H17" s="65">
        <v>60.28</v>
      </c>
      <c r="I17" s="65">
        <f>H$34/G17</f>
        <v>60.27902637604953</v>
      </c>
      <c r="J17" s="51"/>
      <c r="K17" s="51">
        <v>2.3686</v>
      </c>
      <c r="L17" s="65">
        <v>60.15</v>
      </c>
      <c r="M17" s="65">
        <f>L$34/K17</f>
        <v>60.14945537448282</v>
      </c>
      <c r="N17" s="51"/>
      <c r="O17" s="51">
        <v>2.3686</v>
      </c>
      <c r="P17" s="65">
        <v>60.07</v>
      </c>
      <c r="Q17" s="65">
        <f>P$34/O17</f>
        <v>60.07346111627122</v>
      </c>
      <c r="R17" s="51"/>
      <c r="S17" s="51">
        <v>2.3675</v>
      </c>
      <c r="T17" s="65">
        <v>60.14</v>
      </c>
      <c r="U17" s="65">
        <f>T$34/S17</f>
        <v>60.14783526927138</v>
      </c>
      <c r="V17" s="51"/>
      <c r="W17" s="51">
        <v>2.3625</v>
      </c>
      <c r="X17" s="65">
        <v>60.34</v>
      </c>
      <c r="Y17" s="65">
        <f>X$34/W17</f>
        <v>60.33862433862435</v>
      </c>
      <c r="Z17" s="51"/>
      <c r="AA17" s="51">
        <v>2.3703</v>
      </c>
      <c r="AB17" s="65">
        <v>60.12</v>
      </c>
      <c r="AC17" s="65">
        <f>AB$34/AA17</f>
        <v>60.12319115723748</v>
      </c>
      <c r="AD17" s="51"/>
      <c r="AE17" s="51">
        <v>2.391</v>
      </c>
      <c r="AF17" s="65">
        <v>59.85</v>
      </c>
      <c r="AG17" s="65">
        <f>AF$34/AE17</f>
        <v>59.8452530322041</v>
      </c>
      <c r="AH17" s="51"/>
      <c r="AI17" s="51">
        <v>2.4096</v>
      </c>
      <c r="AJ17" s="65">
        <v>59.76</v>
      </c>
      <c r="AK17" s="65">
        <f>AJ$34/AI17</f>
        <v>59.7609561752988</v>
      </c>
      <c r="AL17" s="51"/>
      <c r="AM17" s="51">
        <v>2.4193</v>
      </c>
      <c r="AN17" s="51">
        <v>59.54</v>
      </c>
      <c r="AO17" s="51">
        <f>AN$34/AM17</f>
        <v>59.53788285867813</v>
      </c>
      <c r="AP17" s="51"/>
      <c r="AQ17" s="51">
        <v>2.4548</v>
      </c>
      <c r="AR17" s="65">
        <v>59.02</v>
      </c>
      <c r="AS17" s="65">
        <f>AR$34/AQ17</f>
        <v>59.023138341209055</v>
      </c>
      <c r="AT17" s="51"/>
      <c r="AU17" s="51">
        <v>2.4507</v>
      </c>
      <c r="AV17" s="65">
        <v>59.29</v>
      </c>
      <c r="AW17" s="65">
        <f>AV$34/AU17</f>
        <v>59.28918268249888</v>
      </c>
      <c r="AX17" s="51"/>
      <c r="AY17" s="51">
        <v>2.4385</v>
      </c>
      <c r="AZ17" s="65">
        <v>59.44</v>
      </c>
      <c r="BA17" s="65">
        <f>AZ$34/AY17</f>
        <v>59.446380971908965</v>
      </c>
      <c r="BB17" s="51"/>
      <c r="BC17" s="51">
        <v>2.4516</v>
      </c>
      <c r="BD17" s="65">
        <v>59.2</v>
      </c>
      <c r="BE17" s="65">
        <f>BD$34/BC17</f>
        <v>59.20215369554576</v>
      </c>
      <c r="BF17" s="51"/>
      <c r="BG17" s="51">
        <v>2.4669</v>
      </c>
      <c r="BH17" s="65">
        <v>59.08</v>
      </c>
      <c r="BI17" s="65">
        <f>BH$34/BG17</f>
        <v>59.078195305849455</v>
      </c>
      <c r="BJ17" s="51"/>
      <c r="BK17" s="51">
        <v>2.4644</v>
      </c>
      <c r="BL17" s="65">
        <v>59.26</v>
      </c>
      <c r="BM17" s="65">
        <f>BL$34/BK17</f>
        <v>59.25986041227073</v>
      </c>
      <c r="BN17" s="51"/>
      <c r="BO17" s="51">
        <v>2.4554</v>
      </c>
      <c r="BP17" s="65">
        <v>59.48</v>
      </c>
      <c r="BQ17" s="65">
        <f>BP$34/BO17</f>
        <v>59.4729982894844</v>
      </c>
      <c r="BR17" s="51"/>
      <c r="BS17" s="51">
        <v>2.4794</v>
      </c>
      <c r="BT17" s="65">
        <v>59.1</v>
      </c>
      <c r="BU17" s="65">
        <f>BT$34/BS17</f>
        <v>59.103008792449785</v>
      </c>
      <c r="BV17" s="51"/>
      <c r="BW17" s="51">
        <v>2.4861</v>
      </c>
      <c r="BX17" s="65">
        <v>58.94</v>
      </c>
      <c r="BY17" s="65">
        <f>BX$34/BW17</f>
        <v>58.93970475845702</v>
      </c>
      <c r="BZ17" s="51"/>
      <c r="CA17" s="67">
        <v>2.492</v>
      </c>
      <c r="CB17" s="68">
        <v>58.93</v>
      </c>
      <c r="CC17" s="68">
        <f>CB$34/CA17</f>
        <v>58.932584269662925</v>
      </c>
      <c r="CD17" s="51"/>
      <c r="CE17" s="51">
        <f t="shared" si="1"/>
        <v>2.421545</v>
      </c>
      <c r="CF17" s="51">
        <f t="shared" si="0"/>
        <v>59.609500000000004</v>
      </c>
      <c r="CG17" s="51">
        <f t="shared" si="0"/>
        <v>59.61003731505082</v>
      </c>
      <c r="CH17" s="51"/>
      <c r="CI17" s="56"/>
      <c r="CJ17" s="88"/>
      <c r="CK17" s="88"/>
      <c r="CL17" s="56"/>
      <c r="CM17" s="56"/>
      <c r="CN17" s="56"/>
      <c r="CO17" s="56"/>
      <c r="CP17" s="56"/>
      <c r="CQ17" s="86"/>
    </row>
    <row r="18" spans="1:95" ht="15.75">
      <c r="A18" s="63">
        <v>7</v>
      </c>
      <c r="B18" s="64" t="s">
        <v>44</v>
      </c>
      <c r="C18" s="51">
        <v>2087.1726</v>
      </c>
      <c r="D18" s="65">
        <v>68.51</v>
      </c>
      <c r="E18" s="65">
        <f>D$34/C18*1000</f>
        <v>68.51373959202033</v>
      </c>
      <c r="F18" s="51">
        <v>68.15</v>
      </c>
      <c r="G18" s="51">
        <v>2071.985</v>
      </c>
      <c r="H18" s="65">
        <v>68.61</v>
      </c>
      <c r="I18" s="65">
        <f>H$34/G18*1000</f>
        <v>68.60570901816374</v>
      </c>
      <c r="J18" s="51">
        <v>68.04</v>
      </c>
      <c r="K18" s="51">
        <v>2081.1156</v>
      </c>
      <c r="L18" s="65">
        <v>68.46</v>
      </c>
      <c r="M18" s="65">
        <f>L$34/K18*1000</f>
        <v>68.45847486799867</v>
      </c>
      <c r="N18" s="51">
        <v>68.24</v>
      </c>
      <c r="O18" s="51">
        <v>2081.1156</v>
      </c>
      <c r="P18" s="65">
        <v>68.37</v>
      </c>
      <c r="Q18" s="65">
        <f>P$34/O18*1000</f>
        <v>68.37198279615028</v>
      </c>
      <c r="R18" s="51">
        <v>68.21</v>
      </c>
      <c r="S18" s="51">
        <v>2080.2213</v>
      </c>
      <c r="T18" s="65">
        <v>68.45</v>
      </c>
      <c r="U18" s="65">
        <f>T$34/S18*1000</f>
        <v>68.45425532370042</v>
      </c>
      <c r="V18" s="51">
        <v>68.31</v>
      </c>
      <c r="W18" s="51">
        <v>2075.7611</v>
      </c>
      <c r="X18" s="65">
        <v>68.67</v>
      </c>
      <c r="Y18" s="65">
        <f>X$34/W18*1000</f>
        <v>68.67360603298712</v>
      </c>
      <c r="Z18" s="51">
        <v>68.35</v>
      </c>
      <c r="AA18" s="51">
        <v>2082.6826</v>
      </c>
      <c r="AB18" s="65">
        <v>68.43</v>
      </c>
      <c r="AC18" s="65">
        <f>AB$34/AA18*1000</f>
        <v>68.42617305200513</v>
      </c>
      <c r="AD18" s="51">
        <v>68.34</v>
      </c>
      <c r="AE18" s="51">
        <v>2100.8734</v>
      </c>
      <c r="AF18" s="65">
        <v>68.11</v>
      </c>
      <c r="AG18" s="65">
        <f>AF$34/AE18*1000</f>
        <v>68.10976806122635</v>
      </c>
      <c r="AH18" s="51">
        <v>68.1</v>
      </c>
      <c r="AI18" s="51">
        <v>2117.1833</v>
      </c>
      <c r="AJ18" s="65">
        <v>68.02</v>
      </c>
      <c r="AK18" s="65">
        <f>AJ$34/AI18*1000</f>
        <v>68.01489507309073</v>
      </c>
      <c r="AL18" s="51">
        <v>68.06</v>
      </c>
      <c r="AM18" s="51">
        <v>2125.6669</v>
      </c>
      <c r="AN18" s="51">
        <v>67.76</v>
      </c>
      <c r="AO18" s="51">
        <f>AN$34/AM18*1000</f>
        <v>67.76226322195636</v>
      </c>
      <c r="AP18" s="51">
        <v>67.58</v>
      </c>
      <c r="AQ18" s="51">
        <v>2156.9232</v>
      </c>
      <c r="AR18" s="65">
        <v>67.18</v>
      </c>
      <c r="AS18" s="65">
        <f>AR$34/AQ18*1000</f>
        <v>67.17438989019173</v>
      </c>
      <c r="AT18" s="51">
        <v>67.76</v>
      </c>
      <c r="AU18" s="51">
        <v>2153.3252</v>
      </c>
      <c r="AV18" s="65">
        <v>67.48</v>
      </c>
      <c r="AW18" s="65">
        <f>AV$34/AU18*1000</f>
        <v>67.47703505257822</v>
      </c>
      <c r="AX18" s="51">
        <v>67.87</v>
      </c>
      <c r="AY18" s="51">
        <v>2142.6026</v>
      </c>
      <c r="AZ18" s="65">
        <v>67.66</v>
      </c>
      <c r="BA18" s="65">
        <f>AZ$34/AY18*1000</f>
        <v>67.65603663507176</v>
      </c>
      <c r="BB18" s="51">
        <v>67.79</v>
      </c>
      <c r="BC18" s="51">
        <v>2154.0438</v>
      </c>
      <c r="BD18" s="65">
        <v>67.38</v>
      </c>
      <c r="BE18" s="65">
        <f>BD$34/BC18*1000</f>
        <v>67.38024547133163</v>
      </c>
      <c r="BF18" s="51">
        <v>67.65</v>
      </c>
      <c r="BG18" s="51">
        <v>2167.5473</v>
      </c>
      <c r="BH18" s="65">
        <v>67.24</v>
      </c>
      <c r="BI18" s="65">
        <f>BH$34/BG18*1000</f>
        <v>67.23728704789971</v>
      </c>
      <c r="BJ18" s="51">
        <v>67.65</v>
      </c>
      <c r="BK18" s="51">
        <v>2165.3657</v>
      </c>
      <c r="BL18" s="65">
        <v>67.44</v>
      </c>
      <c r="BM18" s="65">
        <f>BL$34/BK18*1000</f>
        <v>67.4435731571808</v>
      </c>
      <c r="BN18" s="51">
        <v>67.57</v>
      </c>
      <c r="BO18" s="51">
        <v>2157.4039</v>
      </c>
      <c r="BP18" s="65">
        <v>67.69</v>
      </c>
      <c r="BQ18" s="65">
        <f>BP$34/BO18*1000</f>
        <v>67.68783536545939</v>
      </c>
      <c r="BR18" s="51">
        <v>67.65</v>
      </c>
      <c r="BS18" s="51">
        <v>2178.5216</v>
      </c>
      <c r="BT18" s="65">
        <v>67.26</v>
      </c>
      <c r="BU18" s="65">
        <f>BT$34/BS18*1000</f>
        <v>67.26580080729977</v>
      </c>
      <c r="BV18" s="51">
        <v>67.52</v>
      </c>
      <c r="BW18" s="51">
        <v>2184.4201</v>
      </c>
      <c r="BX18" s="65">
        <v>67.08</v>
      </c>
      <c r="BY18" s="65">
        <f>BX$34/BW18*1000</f>
        <v>67.0795878503407</v>
      </c>
      <c r="BZ18" s="51">
        <v>67.4</v>
      </c>
      <c r="CA18" s="67">
        <v>2189.6076</v>
      </c>
      <c r="CB18" s="68">
        <v>67.07</v>
      </c>
      <c r="CC18" s="68">
        <f>CB$34/CA18*1000</f>
        <v>67.07137845155454</v>
      </c>
      <c r="CD18" s="51">
        <v>67.1</v>
      </c>
      <c r="CE18" s="51">
        <f t="shared" si="1"/>
        <v>2127.6769200000003</v>
      </c>
      <c r="CF18" s="51">
        <f t="shared" si="0"/>
        <v>67.84349999999999</v>
      </c>
      <c r="CG18" s="51">
        <f t="shared" si="0"/>
        <v>67.84320183841037</v>
      </c>
      <c r="CH18" s="51">
        <f t="shared" si="0"/>
        <v>67.86699999999999</v>
      </c>
      <c r="CI18" s="56"/>
      <c r="CJ18" s="88"/>
      <c r="CK18" s="88"/>
      <c r="CL18" s="56"/>
      <c r="CM18" s="56"/>
      <c r="CN18" s="56"/>
      <c r="CO18" s="56"/>
      <c r="CP18" s="56"/>
      <c r="CQ18" s="86"/>
    </row>
    <row r="19" spans="1:95" ht="15.75">
      <c r="A19" s="63">
        <v>8</v>
      </c>
      <c r="B19" s="64" t="s">
        <v>45</v>
      </c>
      <c r="C19" s="51">
        <v>43.4838</v>
      </c>
      <c r="D19" s="65">
        <v>3.29</v>
      </c>
      <c r="E19" s="65">
        <f>D$34/C19</f>
        <v>3.2885810347761693</v>
      </c>
      <c r="F19" s="51"/>
      <c r="G19" s="51">
        <v>43.1674</v>
      </c>
      <c r="H19" s="65">
        <v>3.29</v>
      </c>
      <c r="I19" s="65">
        <f>H$34/G19</f>
        <v>3.292994250290729</v>
      </c>
      <c r="J19" s="51"/>
      <c r="K19" s="51">
        <v>43.3576</v>
      </c>
      <c r="L19" s="65">
        <v>3.29</v>
      </c>
      <c r="M19" s="65">
        <f>L$34/K19</f>
        <v>3.2859291104673694</v>
      </c>
      <c r="N19" s="51"/>
      <c r="O19" s="51">
        <v>43.3576</v>
      </c>
      <c r="P19" s="65">
        <v>3.28</v>
      </c>
      <c r="Q19" s="65">
        <f>P$34/O19</f>
        <v>3.281777589165452</v>
      </c>
      <c r="R19" s="51"/>
      <c r="S19" s="51">
        <v>43.339</v>
      </c>
      <c r="T19" s="65">
        <v>3.29</v>
      </c>
      <c r="U19" s="65">
        <f>T$34/S19</f>
        <v>3.285724174531023</v>
      </c>
      <c r="V19" s="51"/>
      <c r="W19" s="51">
        <v>43.246</v>
      </c>
      <c r="X19" s="65">
        <v>3.3</v>
      </c>
      <c r="Y19" s="65">
        <f>X$34/W19</f>
        <v>3.2962586135133884</v>
      </c>
      <c r="Z19" s="51"/>
      <c r="AA19" s="51">
        <v>43.3902</v>
      </c>
      <c r="AB19" s="65">
        <v>3.28</v>
      </c>
      <c r="AC19" s="65">
        <f>AB$34/AA19</f>
        <v>3.2843821876829327</v>
      </c>
      <c r="AD19" s="51"/>
      <c r="AE19" s="51">
        <v>43.7692</v>
      </c>
      <c r="AF19" s="65">
        <v>3.27</v>
      </c>
      <c r="AG19" s="65">
        <f>AF$34/AE19</f>
        <v>3.2691938623506944</v>
      </c>
      <c r="AH19" s="51"/>
      <c r="AI19" s="51">
        <v>44.109</v>
      </c>
      <c r="AJ19" s="65">
        <v>3.26</v>
      </c>
      <c r="AK19" s="65">
        <f>AJ$34/AI19</f>
        <v>3.264639869414405</v>
      </c>
      <c r="AL19" s="51"/>
      <c r="AM19" s="51">
        <v>44.2858</v>
      </c>
      <c r="AN19" s="51">
        <v>3.25</v>
      </c>
      <c r="AO19" s="51">
        <f>AN$34/AM19</f>
        <v>3.252509833851934</v>
      </c>
      <c r="AP19" s="51"/>
      <c r="AQ19" s="51">
        <v>44.9369</v>
      </c>
      <c r="AR19" s="65">
        <v>3.22</v>
      </c>
      <c r="AS19" s="65">
        <f>AR$34/AQ19</f>
        <v>3.224298961432586</v>
      </c>
      <c r="AT19" s="51"/>
      <c r="AU19" s="51">
        <v>44.862</v>
      </c>
      <c r="AV19" s="65">
        <v>3.24</v>
      </c>
      <c r="AW19" s="65">
        <f>AV$34/AU19</f>
        <v>3.238821274129553</v>
      </c>
      <c r="AX19" s="51"/>
      <c r="AY19" s="51">
        <v>44.6386</v>
      </c>
      <c r="AZ19" s="65">
        <v>3.25</v>
      </c>
      <c r="BA19" s="65">
        <f>AZ$34/AY19</f>
        <v>3.247413673367893</v>
      </c>
      <c r="BB19" s="51"/>
      <c r="BC19" s="51">
        <v>44.877</v>
      </c>
      <c r="BD19" s="65">
        <v>3.23</v>
      </c>
      <c r="BE19" s="65">
        <f>BD$34/BC19</f>
        <v>3.234173407313323</v>
      </c>
      <c r="BF19" s="51"/>
      <c r="BG19" s="51">
        <v>45.1583</v>
      </c>
      <c r="BH19" s="65">
        <v>3.23</v>
      </c>
      <c r="BI19" s="65">
        <f>BH$34/BG19</f>
        <v>3.2273136942710425</v>
      </c>
      <c r="BJ19" s="51"/>
      <c r="BK19" s="51">
        <v>45.1128</v>
      </c>
      <c r="BL19" s="65">
        <v>3.24</v>
      </c>
      <c r="BM19" s="65">
        <f>BL$34/BK19</f>
        <v>3.2372187051125176</v>
      </c>
      <c r="BN19" s="51"/>
      <c r="BO19" s="51">
        <v>44.947</v>
      </c>
      <c r="BP19" s="65">
        <v>3.25</v>
      </c>
      <c r="BQ19" s="65">
        <f>BP$34/BO19</f>
        <v>3.2489376376621353</v>
      </c>
      <c r="BR19" s="51"/>
      <c r="BS19" s="51">
        <v>45.3869</v>
      </c>
      <c r="BT19" s="65">
        <v>3.23</v>
      </c>
      <c r="BU19" s="65">
        <f>BT$34/BS19</f>
        <v>3.2286849289112056</v>
      </c>
      <c r="BV19" s="51"/>
      <c r="BW19" s="51">
        <v>45.5098</v>
      </c>
      <c r="BX19" s="65">
        <v>3.22</v>
      </c>
      <c r="BY19" s="65">
        <f>BX$34/BW19</f>
        <v>3.219746076669201</v>
      </c>
      <c r="BZ19" s="51"/>
      <c r="CA19" s="67">
        <v>45.6179</v>
      </c>
      <c r="CB19" s="68">
        <v>3.22</v>
      </c>
      <c r="CC19" s="68">
        <f>CB$34/CA19</f>
        <v>3.2193502988958285</v>
      </c>
      <c r="CD19" s="51"/>
      <c r="CE19" s="51">
        <f t="shared" si="1"/>
        <v>44.327639999999995</v>
      </c>
      <c r="CF19" s="51">
        <f t="shared" si="0"/>
        <v>3.2565</v>
      </c>
      <c r="CG19" s="51">
        <f t="shared" si="0"/>
        <v>3.2563974591904694</v>
      </c>
      <c r="CH19" s="51"/>
      <c r="CI19" s="56"/>
      <c r="CJ19" s="88"/>
      <c r="CK19" s="88"/>
      <c r="CL19" s="56"/>
      <c r="CM19" s="56"/>
      <c r="CN19" s="56"/>
      <c r="CO19" s="56"/>
      <c r="CP19" s="56"/>
      <c r="CQ19" s="86"/>
    </row>
    <row r="20" spans="1:95" ht="15.75">
      <c r="A20" s="63">
        <v>9</v>
      </c>
      <c r="B20" s="64" t="s">
        <v>46</v>
      </c>
      <c r="C20" s="51">
        <f>1/0.9277</f>
        <v>1.0779346771585643</v>
      </c>
      <c r="D20" s="65">
        <v>132.66</v>
      </c>
      <c r="E20" s="65">
        <f>D$34/C20</f>
        <v>132.66109999999998</v>
      </c>
      <c r="F20" s="51"/>
      <c r="G20" s="51">
        <f>1/0.9345</f>
        <v>1.0700909577314073</v>
      </c>
      <c r="H20" s="65">
        <v>132.84</v>
      </c>
      <c r="I20" s="65">
        <f>H$34/G20</f>
        <v>132.83917499999998</v>
      </c>
      <c r="J20" s="51"/>
      <c r="K20" s="51">
        <f>1/0.9304</f>
        <v>1.0748065348237317</v>
      </c>
      <c r="L20" s="65">
        <v>132.55</v>
      </c>
      <c r="M20" s="65">
        <f>L$34/K20</f>
        <v>132.554088</v>
      </c>
      <c r="N20" s="51"/>
      <c r="O20" s="51">
        <f>1/0.9304</f>
        <v>1.0748065348237317</v>
      </c>
      <c r="P20" s="65">
        <v>132.39</v>
      </c>
      <c r="Q20" s="65">
        <f>P$34/O20</f>
        <v>132.386616</v>
      </c>
      <c r="R20" s="51"/>
      <c r="S20" s="51">
        <f>1/0.9308</f>
        <v>1.0743446497636442</v>
      </c>
      <c r="T20" s="65">
        <v>132.54</v>
      </c>
      <c r="U20" s="65">
        <f>T$34/S20</f>
        <v>132.54592</v>
      </c>
      <c r="V20" s="51"/>
      <c r="W20" s="51">
        <f>1/0.9328</f>
        <v>1.0720411663807892</v>
      </c>
      <c r="X20" s="65">
        <v>132.97</v>
      </c>
      <c r="Y20" s="65">
        <f>X$34/W20</f>
        <v>132.97064</v>
      </c>
      <c r="Z20" s="51"/>
      <c r="AA20" s="51">
        <f>1/0.9297</f>
        <v>1.0756157900397978</v>
      </c>
      <c r="AB20" s="65">
        <v>132.49</v>
      </c>
      <c r="AC20" s="65">
        <f>AB$34/AA20</f>
        <v>132.491547</v>
      </c>
      <c r="AD20" s="51"/>
      <c r="AE20" s="51">
        <f>1/0.9217</f>
        <v>1.0849517196484757</v>
      </c>
      <c r="AF20" s="65">
        <v>131.88</v>
      </c>
      <c r="AG20" s="65">
        <f>AF$34/AE20</f>
        <v>131.886053</v>
      </c>
      <c r="AH20" s="51"/>
      <c r="AI20" s="51">
        <f>1/0.9146</f>
        <v>1.0933741526350318</v>
      </c>
      <c r="AJ20" s="65">
        <v>131.7</v>
      </c>
      <c r="AK20" s="65">
        <f>AJ$34/AI20</f>
        <v>131.70239999999998</v>
      </c>
      <c r="AL20" s="51"/>
      <c r="AM20" s="51">
        <f>1/0.9109</f>
        <v>1.0978153474585575</v>
      </c>
      <c r="AN20" s="51">
        <v>131.21</v>
      </c>
      <c r="AO20" s="51">
        <f>AN$34/AM20</f>
        <v>131.20603599999998</v>
      </c>
      <c r="AP20" s="51"/>
      <c r="AQ20" s="51">
        <f>1/0.8977</f>
        <v>1.1139578923916675</v>
      </c>
      <c r="AR20" s="65">
        <v>130.07</v>
      </c>
      <c r="AS20" s="65">
        <f>AR$34/AQ20</f>
        <v>130.06775299999998</v>
      </c>
      <c r="AT20" s="51"/>
      <c r="AU20" s="51">
        <f>1/0.8992</f>
        <v>1.112099644128114</v>
      </c>
      <c r="AV20" s="65">
        <v>130.65</v>
      </c>
      <c r="AW20" s="65">
        <f>AV$34/AU20</f>
        <v>130.65376</v>
      </c>
      <c r="AX20" s="51"/>
      <c r="AY20" s="69">
        <f>1/0.9037</f>
        <v>1.1065619121389842</v>
      </c>
      <c r="AZ20" s="65">
        <v>131</v>
      </c>
      <c r="BA20" s="65">
        <f>AZ$34/AY20</f>
        <v>131.000352</v>
      </c>
      <c r="BB20" s="51"/>
      <c r="BC20" s="69">
        <f>1/0.8989</f>
        <v>1.1124707976415618</v>
      </c>
      <c r="BD20" s="65">
        <v>130.47</v>
      </c>
      <c r="BE20" s="65">
        <f>BD$34/BC20</f>
        <v>130.46634600000002</v>
      </c>
      <c r="BF20" s="51"/>
      <c r="BG20" s="51">
        <f>1/0.8933</f>
        <v>1.119444755401321</v>
      </c>
      <c r="BH20" s="65">
        <v>130.19</v>
      </c>
      <c r="BI20" s="65">
        <f>BH$34/BG20</f>
        <v>130.18954200000002</v>
      </c>
      <c r="BJ20" s="51"/>
      <c r="BK20" s="51">
        <f>1/0.8942</f>
        <v>1.1183180496533214</v>
      </c>
      <c r="BL20" s="65">
        <v>130.59</v>
      </c>
      <c r="BM20" s="65">
        <f>BL$34/BK20</f>
        <v>130.588968</v>
      </c>
      <c r="BN20" s="51"/>
      <c r="BO20" s="51">
        <f>1/0.8975</f>
        <v>1.1142061281337048</v>
      </c>
      <c r="BP20" s="65">
        <v>131.07</v>
      </c>
      <c r="BQ20" s="65">
        <f>BP$34/BO20</f>
        <v>131.061925</v>
      </c>
      <c r="BR20" s="51"/>
      <c r="BS20" s="51">
        <f>1/0.8888</f>
        <v>1.125112511251125</v>
      </c>
      <c r="BT20" s="65">
        <v>130.24</v>
      </c>
      <c r="BU20" s="65">
        <f>BT$34/BS20</f>
        <v>130.244752</v>
      </c>
      <c r="BV20" s="51"/>
      <c r="BW20" s="51">
        <f>1/0.8864</f>
        <v>1.128158844765343</v>
      </c>
      <c r="BX20" s="65">
        <v>129.89</v>
      </c>
      <c r="BY20" s="65">
        <f>BX$34/BW20</f>
        <v>129.88419199999998</v>
      </c>
      <c r="BZ20" s="51"/>
      <c r="CA20" s="67">
        <f>1/0.8843</f>
        <v>1.1308379509216329</v>
      </c>
      <c r="CB20" s="68">
        <v>129.87</v>
      </c>
      <c r="CC20" s="68">
        <f>CB$34/CA20</f>
        <v>129.868298</v>
      </c>
      <c r="CD20" s="51"/>
      <c r="CE20" s="51">
        <f t="shared" si="1"/>
        <v>1.0988475008445255</v>
      </c>
      <c r="CF20" s="51">
        <f t="shared" si="0"/>
        <v>131.3635</v>
      </c>
      <c r="CG20" s="51">
        <f t="shared" si="0"/>
        <v>131.36347314999998</v>
      </c>
      <c r="CH20" s="51"/>
      <c r="CI20" s="56"/>
      <c r="CJ20" s="88"/>
      <c r="CK20" s="88"/>
      <c r="CL20" s="56"/>
      <c r="CM20" s="56"/>
      <c r="CN20" s="56"/>
      <c r="CO20" s="56"/>
      <c r="CP20" s="56"/>
      <c r="CQ20" s="86"/>
    </row>
    <row r="21" spans="1:95" ht="15.75">
      <c r="A21" s="63">
        <v>10</v>
      </c>
      <c r="B21" s="64" t="s">
        <v>47</v>
      </c>
      <c r="C21" s="51">
        <v>266.5</v>
      </c>
      <c r="D21" s="65">
        <v>38108.17</v>
      </c>
      <c r="E21" s="65">
        <f>D$34*C21</f>
        <v>38109.5</v>
      </c>
      <c r="F21" s="51"/>
      <c r="G21" s="51">
        <v>263</v>
      </c>
      <c r="H21" s="65">
        <v>37386.08</v>
      </c>
      <c r="I21" s="65">
        <f>H$34*G21</f>
        <v>37385.450000000004</v>
      </c>
      <c r="J21" s="51"/>
      <c r="K21" s="51">
        <v>261.2</v>
      </c>
      <c r="L21" s="65">
        <v>37212.05</v>
      </c>
      <c r="M21" s="65">
        <f>L$34*K21</f>
        <v>37213.164</v>
      </c>
      <c r="N21" s="51"/>
      <c r="O21" s="51">
        <v>261.7</v>
      </c>
      <c r="P21" s="65">
        <v>37237.42</v>
      </c>
      <c r="Q21" s="65">
        <f>P$34*O21</f>
        <v>37237.293</v>
      </c>
      <c r="R21" s="51"/>
      <c r="S21" s="51">
        <v>263</v>
      </c>
      <c r="T21" s="65">
        <v>37450.12</v>
      </c>
      <c r="U21" s="65">
        <f>T$34*S21</f>
        <v>37451.200000000004</v>
      </c>
      <c r="V21" s="51"/>
      <c r="W21" s="51">
        <v>270.1</v>
      </c>
      <c r="X21" s="65">
        <v>38502.23</v>
      </c>
      <c r="Y21" s="65">
        <f>X$34*W21</f>
        <v>38502.755000000005</v>
      </c>
      <c r="Z21" s="51"/>
      <c r="AA21" s="51">
        <v>271.9</v>
      </c>
      <c r="AB21" s="65">
        <v>38747.9</v>
      </c>
      <c r="AC21" s="65">
        <f>AB$34*AA21</f>
        <v>38748.469</v>
      </c>
      <c r="AD21" s="51"/>
      <c r="AE21" s="51">
        <v>270.35</v>
      </c>
      <c r="AF21" s="65">
        <v>38685.42</v>
      </c>
      <c r="AG21" s="65">
        <f>AF$34*AE21</f>
        <v>38684.3815</v>
      </c>
      <c r="AH21" s="51"/>
      <c r="AI21" s="51">
        <v>266.15</v>
      </c>
      <c r="AJ21" s="65">
        <v>36325.75</v>
      </c>
      <c r="AK21" s="65">
        <f>AJ$34*AI21</f>
        <v>38325.6</v>
      </c>
      <c r="AL21" s="51"/>
      <c r="AM21" s="51">
        <v>263</v>
      </c>
      <c r="AN21" s="51">
        <v>37883.57</v>
      </c>
      <c r="AO21" s="51">
        <f>AN$34*AM21</f>
        <v>37882.52</v>
      </c>
      <c r="AP21" s="51"/>
      <c r="AQ21" s="51">
        <v>260.9</v>
      </c>
      <c r="AR21" s="65">
        <v>37802.72</v>
      </c>
      <c r="AS21" s="65">
        <f>AR$34*AQ21</f>
        <v>37801.80099999999</v>
      </c>
      <c r="AT21" s="51"/>
      <c r="AU21" s="51">
        <v>261.5</v>
      </c>
      <c r="AV21" s="65">
        <v>37995.62</v>
      </c>
      <c r="AW21" s="65">
        <f>AV$34*AU21</f>
        <v>37995.950000000004</v>
      </c>
      <c r="AX21" s="51"/>
      <c r="AY21" s="51">
        <v>262.2</v>
      </c>
      <c r="AZ21" s="65">
        <v>38008.22</v>
      </c>
      <c r="BA21" s="65">
        <f>AZ$34*AY21</f>
        <v>38008.512</v>
      </c>
      <c r="BB21" s="51"/>
      <c r="BC21" s="51">
        <v>261.1</v>
      </c>
      <c r="BD21" s="65">
        <v>37896</v>
      </c>
      <c r="BE21" s="65">
        <f>BD$34*BC21</f>
        <v>37896.054</v>
      </c>
      <c r="BF21" s="51"/>
      <c r="BG21" s="51">
        <v>262</v>
      </c>
      <c r="BH21" s="65">
        <v>38183.69</v>
      </c>
      <c r="BI21" s="65">
        <f>BH$34*BG21</f>
        <v>38183.880000000005</v>
      </c>
      <c r="BJ21" s="51"/>
      <c r="BK21" s="51">
        <v>261.25</v>
      </c>
      <c r="BL21" s="65">
        <v>38152.56</v>
      </c>
      <c r="BM21" s="65">
        <f>BL$34*BK21</f>
        <v>38152.95</v>
      </c>
      <c r="BN21" s="51"/>
      <c r="BO21" s="51">
        <v>262.4</v>
      </c>
      <c r="BP21" s="65">
        <v>38319.47</v>
      </c>
      <c r="BQ21" s="65">
        <f>BP$34*BO21</f>
        <v>38318.272</v>
      </c>
      <c r="BR21" s="51"/>
      <c r="BS21" s="51">
        <v>260.4</v>
      </c>
      <c r="BT21" s="65">
        <v>38158.48</v>
      </c>
      <c r="BU21" s="65">
        <f>BT$34*BS21</f>
        <v>38159.015999999996</v>
      </c>
      <c r="BV21" s="51"/>
      <c r="BW21" s="51">
        <v>260.3</v>
      </c>
      <c r="BX21" s="65">
        <v>38142.9</v>
      </c>
      <c r="BY21" s="65">
        <f>BX$34*BW21</f>
        <v>38141.759000000005</v>
      </c>
      <c r="BZ21" s="51"/>
      <c r="CA21" s="67">
        <v>257.6</v>
      </c>
      <c r="CB21" s="68">
        <v>37830.87</v>
      </c>
      <c r="CC21" s="68">
        <f>CB$34*CA21</f>
        <v>37831.136000000006</v>
      </c>
      <c r="CD21" s="51"/>
      <c r="CE21" s="51">
        <f t="shared" si="1"/>
        <v>263.3275</v>
      </c>
      <c r="CF21" s="51">
        <f t="shared" si="0"/>
        <v>37901.462</v>
      </c>
      <c r="CG21" s="51">
        <f t="shared" si="0"/>
        <v>38001.48312499999</v>
      </c>
      <c r="CH21" s="51"/>
      <c r="CI21" s="56"/>
      <c r="CJ21" s="88"/>
      <c r="CK21" s="88"/>
      <c r="CL21" s="56"/>
      <c r="CM21" s="56"/>
      <c r="CN21" s="56"/>
      <c r="CO21" s="56"/>
      <c r="CP21" s="56"/>
      <c r="CQ21" s="86"/>
    </row>
    <row r="22" spans="1:95" ht="15.75">
      <c r="A22" s="63">
        <v>11</v>
      </c>
      <c r="B22" s="70" t="s">
        <v>48</v>
      </c>
      <c r="C22" s="51">
        <v>4.46</v>
      </c>
      <c r="D22" s="65">
        <v>637.76</v>
      </c>
      <c r="E22" s="65">
        <f>D$34*C22</f>
        <v>637.78</v>
      </c>
      <c r="F22" s="51"/>
      <c r="G22" s="51">
        <v>4.43</v>
      </c>
      <c r="H22" s="65">
        <v>629.74</v>
      </c>
      <c r="I22" s="65">
        <f>H$34*G22</f>
        <v>629.7245</v>
      </c>
      <c r="J22" s="51"/>
      <c r="K22" s="51">
        <v>4.41</v>
      </c>
      <c r="L22" s="65">
        <v>628.27</v>
      </c>
      <c r="M22" s="65">
        <f>L$34*K22</f>
        <v>628.2927</v>
      </c>
      <c r="N22" s="51"/>
      <c r="O22" s="51">
        <v>4.4</v>
      </c>
      <c r="P22" s="65">
        <v>626.08</v>
      </c>
      <c r="Q22" s="65">
        <f>P$34*O22</f>
        <v>626.076</v>
      </c>
      <c r="R22" s="51"/>
      <c r="S22" s="51">
        <v>4.47</v>
      </c>
      <c r="T22" s="65">
        <v>636.51</v>
      </c>
      <c r="U22" s="65">
        <f>T$34*S22</f>
        <v>636.528</v>
      </c>
      <c r="V22" s="51"/>
      <c r="W22" s="51">
        <v>4.53</v>
      </c>
      <c r="X22" s="65">
        <v>645.74</v>
      </c>
      <c r="Y22" s="65">
        <f>X$34*W22</f>
        <v>645.7515000000001</v>
      </c>
      <c r="Z22" s="51"/>
      <c r="AA22" s="51">
        <v>4.46</v>
      </c>
      <c r="AB22" s="65">
        <v>635.59</v>
      </c>
      <c r="AC22" s="65">
        <f>AB$34*AA22</f>
        <v>635.5945999999999</v>
      </c>
      <c r="AD22" s="51"/>
      <c r="AE22" s="51">
        <v>4.43</v>
      </c>
      <c r="AF22" s="65">
        <v>633.91</v>
      </c>
      <c r="AG22" s="65">
        <f>AF$34*AE22</f>
        <v>633.8887</v>
      </c>
      <c r="AH22" s="51"/>
      <c r="AI22" s="51">
        <v>4.43</v>
      </c>
      <c r="AJ22" s="65">
        <v>637.92</v>
      </c>
      <c r="AK22" s="65">
        <f>AJ$34*AI22</f>
        <v>637.92</v>
      </c>
      <c r="AL22" s="51"/>
      <c r="AM22" s="51">
        <v>4.41</v>
      </c>
      <c r="AN22" s="51">
        <v>635.23</v>
      </c>
      <c r="AO22" s="51">
        <f>AN$34*AM22</f>
        <v>635.2164</v>
      </c>
      <c r="AP22" s="51"/>
      <c r="AQ22" s="51">
        <v>4.33</v>
      </c>
      <c r="AR22" s="65">
        <v>627.39</v>
      </c>
      <c r="AS22" s="65">
        <f>AR$34*AQ22</f>
        <v>627.3737</v>
      </c>
      <c r="AT22" s="51"/>
      <c r="AU22" s="51">
        <v>4.32</v>
      </c>
      <c r="AV22" s="65">
        <v>627.69</v>
      </c>
      <c r="AW22" s="65">
        <f>AV$34*AU22</f>
        <v>627.6960000000001</v>
      </c>
      <c r="AX22" s="51"/>
      <c r="AY22" s="51">
        <v>4.33</v>
      </c>
      <c r="AZ22" s="65">
        <v>627.67</v>
      </c>
      <c r="BA22" s="65">
        <f>AZ$34*AY22</f>
        <v>627.6768000000001</v>
      </c>
      <c r="BB22" s="51"/>
      <c r="BC22" s="51">
        <v>4.34</v>
      </c>
      <c r="BD22" s="65">
        <v>629.91</v>
      </c>
      <c r="BE22" s="65">
        <f>BD$34*BC22</f>
        <v>629.9075999999999</v>
      </c>
      <c r="BF22" s="51"/>
      <c r="BG22" s="51">
        <v>4.37</v>
      </c>
      <c r="BH22" s="65">
        <v>636.88</v>
      </c>
      <c r="BI22" s="65">
        <f>BH$34*BG22</f>
        <v>636.8838000000001</v>
      </c>
      <c r="BJ22" s="51"/>
      <c r="BK22" s="51">
        <v>4.35</v>
      </c>
      <c r="BL22" s="65">
        <v>635.27</v>
      </c>
      <c r="BM22" s="65">
        <f>BL$34*BK22</f>
        <v>635.2739999999999</v>
      </c>
      <c r="BN22" s="51"/>
      <c r="BO22" s="51">
        <v>4.36</v>
      </c>
      <c r="BP22" s="65">
        <v>636.71</v>
      </c>
      <c r="BQ22" s="65">
        <f>BP$34*BO22</f>
        <v>636.6908000000001</v>
      </c>
      <c r="BR22" s="51"/>
      <c r="BS22" s="51">
        <v>4.42</v>
      </c>
      <c r="BT22" s="65">
        <v>647.7</v>
      </c>
      <c r="BU22" s="65">
        <f>BT$34*BS22</f>
        <v>647.7067999999999</v>
      </c>
      <c r="BV22" s="51"/>
      <c r="BW22" s="51">
        <v>4.35</v>
      </c>
      <c r="BX22" s="65">
        <v>637.42</v>
      </c>
      <c r="BY22" s="65">
        <f>BX$34*BW22</f>
        <v>637.4055</v>
      </c>
      <c r="BZ22" s="51"/>
      <c r="CA22" s="67">
        <v>4.31</v>
      </c>
      <c r="CB22" s="68">
        <v>632.96</v>
      </c>
      <c r="CC22" s="68">
        <f>CB$34*CA22</f>
        <v>632.9666</v>
      </c>
      <c r="CD22" s="51"/>
      <c r="CE22" s="51">
        <f t="shared" si="1"/>
        <v>4.3955</v>
      </c>
      <c r="CF22" s="51">
        <f t="shared" si="0"/>
        <v>634.3175000000001</v>
      </c>
      <c r="CG22" s="51">
        <f t="shared" si="0"/>
        <v>634.3177000000001</v>
      </c>
      <c r="CH22" s="51"/>
      <c r="CI22" s="56"/>
      <c r="CJ22" s="88"/>
      <c r="CK22" s="88"/>
      <c r="CL22" s="56"/>
      <c r="CM22" s="56"/>
      <c r="CN22" s="56"/>
      <c r="CO22" s="56"/>
      <c r="CP22" s="56"/>
      <c r="CQ22" s="86"/>
    </row>
    <row r="23" spans="1:95" ht="15.75">
      <c r="A23" s="63">
        <v>12</v>
      </c>
      <c r="B23" s="64" t="s">
        <v>49</v>
      </c>
      <c r="C23" s="51">
        <f>1/0.5249</f>
        <v>1.9051247856734614</v>
      </c>
      <c r="D23" s="65">
        <v>75.06</v>
      </c>
      <c r="E23" s="65">
        <f>D$34/C23</f>
        <v>75.06070000000001</v>
      </c>
      <c r="F23" s="51"/>
      <c r="G23" s="51">
        <f>1/0.5282</f>
        <v>1.8932222642938281</v>
      </c>
      <c r="H23" s="65">
        <v>75.08</v>
      </c>
      <c r="I23" s="65">
        <f>H$34/G23</f>
        <v>75.08363</v>
      </c>
      <c r="J23" s="51"/>
      <c r="K23" s="51">
        <f>1/0.5183</f>
        <v>1.929384526336099</v>
      </c>
      <c r="L23" s="65">
        <v>73.84</v>
      </c>
      <c r="M23" s="65">
        <f>L$34/K23</f>
        <v>73.84220099999999</v>
      </c>
      <c r="N23" s="51"/>
      <c r="O23" s="51">
        <f>1/0.5115</f>
        <v>1.9550342130987295</v>
      </c>
      <c r="P23" s="65">
        <v>72.78</v>
      </c>
      <c r="Q23" s="65">
        <f>P$34/O23</f>
        <v>72.78133499999998</v>
      </c>
      <c r="R23" s="51"/>
      <c r="S23" s="51">
        <f>1/0.5094</f>
        <v>1.9630938358853554</v>
      </c>
      <c r="T23" s="65">
        <v>72.54</v>
      </c>
      <c r="U23" s="65">
        <f>T$34/S23</f>
        <v>72.53856</v>
      </c>
      <c r="V23" s="51"/>
      <c r="W23" s="51">
        <f>1/0.5117</f>
        <v>1.9542700801250732</v>
      </c>
      <c r="X23" s="65">
        <v>72.94</v>
      </c>
      <c r="Y23" s="65">
        <f>X$34/W23</f>
        <v>72.942835</v>
      </c>
      <c r="Z23" s="51"/>
      <c r="AA23" s="51">
        <f>1/0.5094</f>
        <v>1.9630938358853554</v>
      </c>
      <c r="AB23" s="65">
        <v>72.59</v>
      </c>
      <c r="AC23" s="65">
        <f>AB$34/AA23</f>
        <v>72.594594</v>
      </c>
      <c r="AD23" s="51"/>
      <c r="AE23" s="51">
        <f>1/0.5063</f>
        <v>1.9751135690302193</v>
      </c>
      <c r="AF23" s="65">
        <v>72.44</v>
      </c>
      <c r="AG23" s="65">
        <f>AF$34/AE23</f>
        <v>72.446467</v>
      </c>
      <c r="AH23" s="51"/>
      <c r="AI23" s="51">
        <f>1/0.5015</f>
        <v>1.9940179461615157</v>
      </c>
      <c r="AJ23" s="65">
        <v>72.21</v>
      </c>
      <c r="AK23" s="65">
        <f>AJ$34/AI23</f>
        <v>72.216</v>
      </c>
      <c r="AL23" s="51"/>
      <c r="AM23" s="51">
        <f>1/0.4955</f>
        <v>2.0181634712411705</v>
      </c>
      <c r="AN23" s="51">
        <v>71.37</v>
      </c>
      <c r="AO23" s="51">
        <f>AN$34/AM23</f>
        <v>71.37182</v>
      </c>
      <c r="AP23" s="51"/>
      <c r="AQ23" s="51">
        <f>1/0.496</f>
        <v>2.0161290322580645</v>
      </c>
      <c r="AR23" s="65">
        <v>71.87</v>
      </c>
      <c r="AS23" s="65">
        <f>AR$34/AQ23</f>
        <v>71.86543999999999</v>
      </c>
      <c r="AT23" s="51"/>
      <c r="AU23" s="51">
        <f>1/0.4992</f>
        <v>2.003205128205128</v>
      </c>
      <c r="AV23" s="65">
        <v>72.53</v>
      </c>
      <c r="AW23" s="65">
        <f>AV$34/AU23</f>
        <v>72.53376</v>
      </c>
      <c r="AX23" s="51"/>
      <c r="AY23" s="51">
        <f>1/0.5001</f>
        <v>1.9996000799840032</v>
      </c>
      <c r="AZ23" s="65">
        <v>72.49</v>
      </c>
      <c r="BA23" s="65">
        <f>AZ$34/AY23</f>
        <v>72.494496</v>
      </c>
      <c r="BB23" s="51"/>
      <c r="BC23" s="51">
        <f>1/0.4953</f>
        <v>2.0189783969311526</v>
      </c>
      <c r="BD23" s="65">
        <v>71.89</v>
      </c>
      <c r="BE23" s="65">
        <f>BD$34/BC23</f>
        <v>71.887842</v>
      </c>
      <c r="BF23" s="51"/>
      <c r="BG23" s="51">
        <f>1/0.4955</f>
        <v>2.0181634712411705</v>
      </c>
      <c r="BH23" s="65">
        <v>72.21</v>
      </c>
      <c r="BI23" s="65">
        <f>BH$34/BG23</f>
        <v>72.21417000000001</v>
      </c>
      <c r="BJ23" s="51"/>
      <c r="BK23" s="51">
        <f>1/0.4919</f>
        <v>2.0329335230737953</v>
      </c>
      <c r="BL23" s="65">
        <v>71.84</v>
      </c>
      <c r="BM23" s="65">
        <f>BL$34/BK23</f>
        <v>71.83707600000001</v>
      </c>
      <c r="BN23" s="51"/>
      <c r="BO23" s="51">
        <f>1/0.4991</f>
        <v>2.003606491685033</v>
      </c>
      <c r="BP23" s="65">
        <v>72.89</v>
      </c>
      <c r="BQ23" s="65">
        <f>BP$34/BO23</f>
        <v>72.883573</v>
      </c>
      <c r="BR23" s="51"/>
      <c r="BS23" s="51">
        <f>1/0.4936</f>
        <v>2.025931928687196</v>
      </c>
      <c r="BT23" s="65">
        <v>72.33</v>
      </c>
      <c r="BU23" s="65">
        <f>BT$34/BS23</f>
        <v>72.332144</v>
      </c>
      <c r="BV23" s="51"/>
      <c r="BW23" s="51">
        <f>1/0.4942</f>
        <v>2.023472278429786</v>
      </c>
      <c r="BX23" s="65">
        <v>72.42</v>
      </c>
      <c r="BY23" s="65">
        <f>BX$34/BW23</f>
        <v>72.41512599999999</v>
      </c>
      <c r="BZ23" s="51"/>
      <c r="CA23" s="67">
        <f>1/0.4872</f>
        <v>2.052545155993432</v>
      </c>
      <c r="CB23" s="68">
        <v>71.55</v>
      </c>
      <c r="CC23" s="68">
        <f>CB$34/CA23</f>
        <v>71.55019200000001</v>
      </c>
      <c r="CD23" s="51"/>
      <c r="CE23" s="51">
        <f t="shared" si="1"/>
        <v>1.987254200710978</v>
      </c>
      <c r="CF23" s="51">
        <f t="shared" si="0"/>
        <v>72.64349999999999</v>
      </c>
      <c r="CG23" s="51">
        <f t="shared" si="0"/>
        <v>72.64459805</v>
      </c>
      <c r="CH23" s="51"/>
      <c r="CI23" s="56"/>
      <c r="CJ23" s="88"/>
      <c r="CK23" s="88"/>
      <c r="CL23" s="56"/>
      <c r="CM23" s="56"/>
      <c r="CN23" s="56"/>
      <c r="CO23" s="56"/>
      <c r="CP23" s="56"/>
      <c r="CQ23" s="86"/>
    </row>
    <row r="24" spans="1:95" ht="15.75">
      <c r="A24" s="63">
        <v>13</v>
      </c>
      <c r="B24" s="64" t="s">
        <v>50</v>
      </c>
      <c r="C24" s="51">
        <v>1.5405</v>
      </c>
      <c r="D24" s="65">
        <v>92.82</v>
      </c>
      <c r="E24" s="65">
        <f>D$34/C24</f>
        <v>92.82700421940929</v>
      </c>
      <c r="F24" s="51"/>
      <c r="G24" s="51">
        <v>1.5487</v>
      </c>
      <c r="H24" s="65">
        <v>91.79</v>
      </c>
      <c r="I24" s="65">
        <f>H$34/G24</f>
        <v>91.78665977916963</v>
      </c>
      <c r="J24" s="51"/>
      <c r="K24" s="51">
        <v>1.5406</v>
      </c>
      <c r="L24" s="65">
        <v>92.47</v>
      </c>
      <c r="M24" s="65">
        <f>L$34/K24</f>
        <v>92.47695702972868</v>
      </c>
      <c r="N24" s="51"/>
      <c r="O24" s="51">
        <v>1.5487</v>
      </c>
      <c r="P24" s="65">
        <v>91.88</v>
      </c>
      <c r="Q24" s="65">
        <f>P$34/O24</f>
        <v>91.87705817782656</v>
      </c>
      <c r="R24" s="51"/>
      <c r="S24" s="51">
        <v>1.5482</v>
      </c>
      <c r="T24" s="65">
        <v>91.98</v>
      </c>
      <c r="U24" s="65">
        <f>T$34/S24</f>
        <v>91.97778064849503</v>
      </c>
      <c r="V24" s="51"/>
      <c r="W24" s="51">
        <v>1.5464</v>
      </c>
      <c r="X24" s="65">
        <v>92.18</v>
      </c>
      <c r="Y24" s="65">
        <f>X$34/W24</f>
        <v>92.18184169684429</v>
      </c>
      <c r="Z24" s="51"/>
      <c r="AA24" s="51">
        <v>1.5502</v>
      </c>
      <c r="AB24" s="65">
        <v>91.93</v>
      </c>
      <c r="AC24" s="65">
        <f>AB$34/AA24</f>
        <v>91.9300735388982</v>
      </c>
      <c r="AD24" s="51"/>
      <c r="AE24" s="51">
        <v>1.5495</v>
      </c>
      <c r="AF24" s="65">
        <v>92.35</v>
      </c>
      <c r="AG24" s="65">
        <f>AF$34/AE24</f>
        <v>92.34591803807679</v>
      </c>
      <c r="AH24" s="51"/>
      <c r="AI24" s="51">
        <v>1.5472</v>
      </c>
      <c r="AJ24" s="65">
        <v>93.07</v>
      </c>
      <c r="AK24" s="65">
        <f>AJ$34/AI24</f>
        <v>93.07135470527405</v>
      </c>
      <c r="AL24" s="51"/>
      <c r="AM24" s="51">
        <v>1.5555</v>
      </c>
      <c r="AN24" s="51">
        <v>92.6</v>
      </c>
      <c r="AO24" s="51">
        <f>AN$34/AM24</f>
        <v>92.60045001607199</v>
      </c>
      <c r="AP24" s="51"/>
      <c r="AQ24" s="51">
        <v>1.5621</v>
      </c>
      <c r="AR24" s="65">
        <v>92.76</v>
      </c>
      <c r="AS24" s="65">
        <f>AR$34/AQ24</f>
        <v>92.75334485628319</v>
      </c>
      <c r="AT24" s="51"/>
      <c r="AU24" s="51">
        <v>1.5674</v>
      </c>
      <c r="AV24" s="65">
        <v>92.7</v>
      </c>
      <c r="AW24" s="65">
        <f>AV$34/AU24</f>
        <v>92.7012887584535</v>
      </c>
      <c r="AX24" s="51"/>
      <c r="AY24" s="51">
        <v>1.5637</v>
      </c>
      <c r="AZ24" s="65">
        <v>92.7</v>
      </c>
      <c r="BA24" s="65">
        <f>AZ$34/AY24</f>
        <v>92.70320393937456</v>
      </c>
      <c r="BB24" s="51"/>
      <c r="BC24" s="51">
        <v>1.5712</v>
      </c>
      <c r="BD24" s="65">
        <v>92.38</v>
      </c>
      <c r="BE24" s="65">
        <f>BD$34/BC24</f>
        <v>92.37525458248471</v>
      </c>
      <c r="BF24" s="51"/>
      <c r="BG24" s="51">
        <v>1.5692</v>
      </c>
      <c r="BH24" s="65">
        <v>92.87</v>
      </c>
      <c r="BI24" s="65">
        <f>BH$34/BG24</f>
        <v>92.87535049706858</v>
      </c>
      <c r="BJ24" s="51"/>
      <c r="BK24" s="51">
        <v>1.5622</v>
      </c>
      <c r="BL24" s="65">
        <v>93.48</v>
      </c>
      <c r="BM24" s="65">
        <f>BL$34/BK24</f>
        <v>93.48354884137754</v>
      </c>
      <c r="BN24" s="51"/>
      <c r="BO24" s="51">
        <v>1.5628</v>
      </c>
      <c r="BP24" s="65">
        <v>93.44</v>
      </c>
      <c r="BQ24" s="65">
        <f>BP$34/BO24</f>
        <v>93.44125927821858</v>
      </c>
      <c r="BR24" s="51"/>
      <c r="BS24" s="51">
        <v>1.5711</v>
      </c>
      <c r="BT24" s="65">
        <v>93.27</v>
      </c>
      <c r="BU24" s="65">
        <f>BT$34/BS24</f>
        <v>93.27222964801732</v>
      </c>
      <c r="BV24" s="51"/>
      <c r="BW24" s="51">
        <v>1.568</v>
      </c>
      <c r="BX24" s="65">
        <v>93.45</v>
      </c>
      <c r="BY24" s="65">
        <f>BX$34/BW24</f>
        <v>93.45025510204081</v>
      </c>
      <c r="BZ24" s="51"/>
      <c r="CA24" s="67">
        <v>1.5708</v>
      </c>
      <c r="CB24" s="68">
        <v>93.49</v>
      </c>
      <c r="CC24" s="68">
        <f>CB$34/CA24</f>
        <v>93.49376114081997</v>
      </c>
      <c r="CD24" s="51"/>
      <c r="CE24" s="51">
        <f t="shared" si="1"/>
        <v>1.5572000000000001</v>
      </c>
      <c r="CF24" s="51">
        <f t="shared" si="0"/>
        <v>92.68050000000001</v>
      </c>
      <c r="CG24" s="51">
        <f t="shared" si="0"/>
        <v>92.68122972469668</v>
      </c>
      <c r="CH24" s="51"/>
      <c r="CI24" s="56"/>
      <c r="CJ24" s="88"/>
      <c r="CK24" s="88"/>
      <c r="CL24" s="56"/>
      <c r="CM24" s="56"/>
      <c r="CN24" s="56"/>
      <c r="CO24" s="56"/>
      <c r="CP24" s="56"/>
      <c r="CQ24" s="86"/>
    </row>
    <row r="25" spans="1:95" ht="15.75">
      <c r="A25" s="63">
        <v>14</v>
      </c>
      <c r="B25" s="64" t="s">
        <v>51</v>
      </c>
      <c r="C25" s="51">
        <v>14.8327</v>
      </c>
      <c r="D25" s="65">
        <v>9.64</v>
      </c>
      <c r="E25" s="65">
        <f>D$34/C25</f>
        <v>9.64086107047267</v>
      </c>
      <c r="F25" s="51"/>
      <c r="G25" s="51">
        <v>14.7248</v>
      </c>
      <c r="H25" s="65">
        <v>9.65</v>
      </c>
      <c r="I25" s="65">
        <f>H$34/G25</f>
        <v>9.65378137563838</v>
      </c>
      <c r="J25" s="51"/>
      <c r="K25" s="51">
        <v>14.7897</v>
      </c>
      <c r="L25" s="65">
        <v>9.63</v>
      </c>
      <c r="M25" s="65">
        <f>L$34/K25</f>
        <v>9.633055437229965</v>
      </c>
      <c r="N25" s="51"/>
      <c r="O25" s="51">
        <v>14.7897</v>
      </c>
      <c r="P25" s="65">
        <v>9.62</v>
      </c>
      <c r="Q25" s="65">
        <f>P$34/O25</f>
        <v>9.620884804965618</v>
      </c>
      <c r="R25" s="51"/>
      <c r="S25" s="51">
        <v>14.7833</v>
      </c>
      <c r="T25" s="65">
        <v>9.63</v>
      </c>
      <c r="U25" s="65">
        <f>T$34/S25</f>
        <v>9.632490715875345</v>
      </c>
      <c r="V25" s="51"/>
      <c r="W25" s="51">
        <v>14.7516</v>
      </c>
      <c r="X25" s="65">
        <v>9.66</v>
      </c>
      <c r="Y25" s="65">
        <f>X$34/W25</f>
        <v>9.663358550936849</v>
      </c>
      <c r="Z25" s="51"/>
      <c r="AA25" s="51">
        <v>14.8008</v>
      </c>
      <c r="AB25" s="65">
        <v>9.63</v>
      </c>
      <c r="AC25" s="65">
        <f>AB$34/AA25</f>
        <v>9.628533592778767</v>
      </c>
      <c r="AD25" s="51"/>
      <c r="AE25" s="51">
        <v>14.9301</v>
      </c>
      <c r="AF25" s="65">
        <v>9.58</v>
      </c>
      <c r="AG25" s="65">
        <f>AF$34/AE25</f>
        <v>9.583994748863036</v>
      </c>
      <c r="AH25" s="51"/>
      <c r="AI25" s="51">
        <v>15.046</v>
      </c>
      <c r="AJ25" s="65">
        <v>9.57</v>
      </c>
      <c r="AK25" s="65">
        <f>AJ$34/AI25</f>
        <v>9.570650006646286</v>
      </c>
      <c r="AL25" s="51"/>
      <c r="AM25" s="51">
        <v>15.1063</v>
      </c>
      <c r="AN25" s="51">
        <v>9.54</v>
      </c>
      <c r="AO25" s="51">
        <f>AN$34/AM25</f>
        <v>9.535094629393035</v>
      </c>
      <c r="AP25" s="51"/>
      <c r="AQ25" s="51">
        <v>15.3284</v>
      </c>
      <c r="AR25" s="65">
        <v>9.45</v>
      </c>
      <c r="AS25" s="65">
        <f>AR$34/AQ25</f>
        <v>9.452389029513842</v>
      </c>
      <c r="AT25" s="51"/>
      <c r="AU25" s="51">
        <v>15.3028</v>
      </c>
      <c r="AV25" s="65">
        <v>9.49</v>
      </c>
      <c r="AW25" s="65">
        <f>AV$34/AU25</f>
        <v>9.494994380113445</v>
      </c>
      <c r="AX25" s="51"/>
      <c r="AY25" s="51">
        <v>15.2266</v>
      </c>
      <c r="AZ25" s="65">
        <v>9.52</v>
      </c>
      <c r="BA25" s="65">
        <f>AZ$34/AY25</f>
        <v>9.520181787135671</v>
      </c>
      <c r="BB25" s="51"/>
      <c r="BC25" s="51">
        <v>15.3079</v>
      </c>
      <c r="BD25" s="65">
        <v>9.48</v>
      </c>
      <c r="BE25" s="65">
        <f>BD$34/BC25</f>
        <v>9.481378895864227</v>
      </c>
      <c r="BF25" s="51"/>
      <c r="BG25" s="51">
        <v>15.4039</v>
      </c>
      <c r="BH25" s="65">
        <v>9.46</v>
      </c>
      <c r="BI25" s="65">
        <f>BH$34/BG25</f>
        <v>9.461240335239777</v>
      </c>
      <c r="BJ25" s="51"/>
      <c r="BK25" s="51">
        <v>15.3884</v>
      </c>
      <c r="BL25" s="65">
        <v>9.49</v>
      </c>
      <c r="BM25" s="65">
        <f>BL$34/BK25</f>
        <v>9.4902653947129</v>
      </c>
      <c r="BN25" s="51"/>
      <c r="BO25" s="51">
        <v>15.3318</v>
      </c>
      <c r="BP25" s="65">
        <v>9.52</v>
      </c>
      <c r="BQ25" s="65">
        <f>BP$34/BO25</f>
        <v>9.524648116985611</v>
      </c>
      <c r="BR25" s="51"/>
      <c r="BS25" s="51">
        <v>15.4819</v>
      </c>
      <c r="BT25" s="65">
        <v>9.47</v>
      </c>
      <c r="BU25" s="65">
        <f>BT$34/BS25</f>
        <v>9.465246513670802</v>
      </c>
      <c r="BV25" s="51"/>
      <c r="BW25" s="51">
        <v>15.5238</v>
      </c>
      <c r="BX25" s="65">
        <v>9.44</v>
      </c>
      <c r="BY25" s="65">
        <f>BX$34/BW25</f>
        <v>9.43905487058581</v>
      </c>
      <c r="BZ25" s="51"/>
      <c r="CA25" s="67">
        <v>15.5607</v>
      </c>
      <c r="CB25" s="68">
        <v>9.44</v>
      </c>
      <c r="CC25" s="68">
        <f>CB$34/CA25</f>
        <v>9.43787875866767</v>
      </c>
      <c r="CD25" s="51"/>
      <c r="CE25" s="51">
        <f t="shared" si="1"/>
        <v>15.120559999999994</v>
      </c>
      <c r="CF25" s="51">
        <f t="shared" si="0"/>
        <v>9.5455</v>
      </c>
      <c r="CG25" s="51">
        <f t="shared" si="0"/>
        <v>9.546499150764484</v>
      </c>
      <c r="CH25" s="51"/>
      <c r="CI25" s="56"/>
      <c r="CJ25" s="88"/>
      <c r="CK25" s="88"/>
      <c r="CL25" s="56"/>
      <c r="CM25" s="56"/>
      <c r="CN25" s="56"/>
      <c r="CO25" s="56"/>
      <c r="CP25" s="56"/>
      <c r="CQ25" s="86"/>
    </row>
    <row r="26" spans="1:95" ht="15.75">
      <c r="A26" s="63">
        <v>15</v>
      </c>
      <c r="B26" s="64" t="s">
        <v>52</v>
      </c>
      <c r="C26" s="51">
        <v>179.3532</v>
      </c>
      <c r="D26" s="65">
        <v>79.73</v>
      </c>
      <c r="E26" s="65">
        <f>D$34/C26*100</f>
        <v>79.73094430431128</v>
      </c>
      <c r="F26" s="51"/>
      <c r="G26" s="51">
        <v>178.0482</v>
      </c>
      <c r="H26" s="65">
        <v>79.84</v>
      </c>
      <c r="I26" s="65">
        <f>H$34/G26*100</f>
        <v>79.83793152640689</v>
      </c>
      <c r="J26" s="51"/>
      <c r="K26" s="51">
        <v>178.8328</v>
      </c>
      <c r="L26" s="65">
        <v>79.66</v>
      </c>
      <c r="M26" s="65">
        <f>L$34/K26*100</f>
        <v>79.66659360027914</v>
      </c>
      <c r="N26" s="51"/>
      <c r="O26" s="51">
        <v>178.8328</v>
      </c>
      <c r="P26" s="65">
        <v>79.57</v>
      </c>
      <c r="Q26" s="65">
        <f>P$34/O26*100</f>
        <v>79.56594092358897</v>
      </c>
      <c r="R26" s="51"/>
      <c r="S26" s="51">
        <v>178.7559</v>
      </c>
      <c r="T26" s="65">
        <v>79.66</v>
      </c>
      <c r="U26" s="65">
        <f>T$34/S26*100</f>
        <v>79.66170627095386</v>
      </c>
      <c r="V26" s="51"/>
      <c r="W26" s="51">
        <v>178.3726</v>
      </c>
      <c r="X26" s="65">
        <v>79.92</v>
      </c>
      <c r="Y26" s="65">
        <f>X$34/W26*100</f>
        <v>79.91698276529019</v>
      </c>
      <c r="Z26" s="51"/>
      <c r="AA26" s="51">
        <v>178.9674</v>
      </c>
      <c r="AB26" s="65">
        <v>79.63</v>
      </c>
      <c r="AC26" s="65">
        <f>AB$34/AA26*100</f>
        <v>79.62902740946116</v>
      </c>
      <c r="AD26" s="51"/>
      <c r="AE26" s="51">
        <v>180.5306</v>
      </c>
      <c r="AF26" s="71">
        <v>79.26</v>
      </c>
      <c r="AG26" s="65">
        <f>AF$34/AE26*100</f>
        <v>79.26080121597114</v>
      </c>
      <c r="AH26" s="51"/>
      <c r="AI26" s="51">
        <v>181.9321</v>
      </c>
      <c r="AJ26" s="65">
        <v>79.15</v>
      </c>
      <c r="AK26" s="65">
        <f>AJ$34/AI26*100</f>
        <v>79.15040831167232</v>
      </c>
      <c r="AL26" s="51"/>
      <c r="AM26" s="51">
        <v>182.6611</v>
      </c>
      <c r="AN26" s="51">
        <v>78.86</v>
      </c>
      <c r="AO26" s="51">
        <f>AN$34/AM26*100</f>
        <v>78.85641770470012</v>
      </c>
      <c r="AP26" s="51"/>
      <c r="AQ26" s="51">
        <v>185.347</v>
      </c>
      <c r="AR26" s="65">
        <v>78.17</v>
      </c>
      <c r="AS26" s="65">
        <f>AR$34/AQ26*100</f>
        <v>78.17229305033261</v>
      </c>
      <c r="AT26" s="51"/>
      <c r="AU26" s="51">
        <v>185.0378</v>
      </c>
      <c r="AV26" s="65">
        <v>78.52</v>
      </c>
      <c r="AW26" s="65">
        <f>AV$34/AU26*100</f>
        <v>78.52449607593692</v>
      </c>
      <c r="AX26" s="51"/>
      <c r="AY26" s="51">
        <v>184.1164</v>
      </c>
      <c r="AZ26" s="65">
        <v>78.73</v>
      </c>
      <c r="BA26" s="65">
        <f>AZ$34/AY26*100</f>
        <v>78.73280164070121</v>
      </c>
      <c r="BB26" s="51"/>
      <c r="BC26" s="51">
        <v>185.0996</v>
      </c>
      <c r="BD26" s="65">
        <v>78.41</v>
      </c>
      <c r="BE26" s="65">
        <f>BD$34/BC26*100</f>
        <v>78.41183881542693</v>
      </c>
      <c r="BF26" s="51"/>
      <c r="BG26" s="51">
        <v>186.2599</v>
      </c>
      <c r="BH26" s="65">
        <v>78.25</v>
      </c>
      <c r="BI26" s="65">
        <f>BH$34/BG26*100</f>
        <v>78.24550533958195</v>
      </c>
      <c r="BJ26" s="51"/>
      <c r="BK26" s="51">
        <v>186.0725</v>
      </c>
      <c r="BL26" s="65">
        <v>78.48</v>
      </c>
      <c r="BM26" s="65">
        <f>BL$34/BK26*100</f>
        <v>78.48553655161294</v>
      </c>
      <c r="BN26" s="51"/>
      <c r="BO26" s="51">
        <v>185.3883</v>
      </c>
      <c r="BP26" s="65">
        <v>78.77</v>
      </c>
      <c r="BQ26" s="65">
        <f>BP$34/BO26*100</f>
        <v>78.7698037039015</v>
      </c>
      <c r="BR26" s="51"/>
      <c r="BS26" s="51">
        <v>187.203</v>
      </c>
      <c r="BT26" s="65">
        <v>78.28</v>
      </c>
      <c r="BU26" s="65">
        <f>BT$34/BS26*100</f>
        <v>78.27866006420837</v>
      </c>
      <c r="BV26" s="51"/>
      <c r="BW26" s="51">
        <v>187.7098</v>
      </c>
      <c r="BX26" s="65">
        <v>78.06</v>
      </c>
      <c r="BY26" s="65">
        <f>BX$34/BW26*100</f>
        <v>78.06198717381831</v>
      </c>
      <c r="BZ26" s="51"/>
      <c r="CA26" s="67">
        <v>188.1556</v>
      </c>
      <c r="CB26" s="68">
        <v>78.05</v>
      </c>
      <c r="CC26" s="68">
        <f>CB$34/CA26*100</f>
        <v>78.05242044350528</v>
      </c>
      <c r="CD26" s="51"/>
      <c r="CE26" s="51">
        <f t="shared" si="1"/>
        <v>182.83383</v>
      </c>
      <c r="CF26" s="51">
        <f t="shared" si="0"/>
        <v>78.94999999999999</v>
      </c>
      <c r="CG26" s="51">
        <f t="shared" si="0"/>
        <v>78.95060484458307</v>
      </c>
      <c r="CH26" s="51"/>
      <c r="CI26" s="56"/>
      <c r="CJ26" s="88"/>
      <c r="CK26" s="88"/>
      <c r="CL26" s="56"/>
      <c r="CM26" s="56"/>
      <c r="CN26" s="56"/>
      <c r="CO26" s="56"/>
      <c r="CP26" s="56"/>
      <c r="CQ26" s="86"/>
    </row>
    <row r="27" spans="1:95" ht="15.75">
      <c r="A27" s="63">
        <v>16</v>
      </c>
      <c r="B27" s="64" t="s">
        <v>53</v>
      </c>
      <c r="C27" s="51">
        <v>9.7575</v>
      </c>
      <c r="D27" s="65">
        <v>14.65</v>
      </c>
      <c r="E27" s="65">
        <f>D$34/C27</f>
        <v>14.655393287214963</v>
      </c>
      <c r="F27" s="51"/>
      <c r="G27" s="51">
        <v>9.662</v>
      </c>
      <c r="H27" s="65">
        <v>14.71</v>
      </c>
      <c r="I27" s="65">
        <f>H$34/G27</f>
        <v>14.712274891326846</v>
      </c>
      <c r="J27" s="51"/>
      <c r="K27" s="51">
        <v>9.694</v>
      </c>
      <c r="L27" s="65">
        <v>14.7</v>
      </c>
      <c r="M27" s="65">
        <f>L$34/K27</f>
        <v>14.69671962038374</v>
      </c>
      <c r="N27" s="51"/>
      <c r="O27" s="51">
        <v>9.711</v>
      </c>
      <c r="P27" s="65">
        <v>14.65</v>
      </c>
      <c r="Q27" s="65">
        <f>P$34/O27</f>
        <v>14.652455977757182</v>
      </c>
      <c r="R27" s="51"/>
      <c r="S27" s="51">
        <v>9.71</v>
      </c>
      <c r="T27" s="65">
        <v>14.66</v>
      </c>
      <c r="U27" s="65">
        <f>T$34/S27</f>
        <v>14.66529351184346</v>
      </c>
      <c r="V27" s="51"/>
      <c r="W27" s="51">
        <v>9.72</v>
      </c>
      <c r="X27" s="65">
        <v>14.67</v>
      </c>
      <c r="Y27" s="65">
        <f>X$34/W27</f>
        <v>14.665637860082304</v>
      </c>
      <c r="Z27" s="51"/>
      <c r="AA27" s="51">
        <v>9.824</v>
      </c>
      <c r="AB27" s="65">
        <v>14.51</v>
      </c>
      <c r="AC27" s="65">
        <f>AB$34/AA27</f>
        <v>14.506311074918566</v>
      </c>
      <c r="AD27" s="51"/>
      <c r="AE27" s="51">
        <v>9.9395</v>
      </c>
      <c r="AF27" s="65">
        <v>14.4</v>
      </c>
      <c r="AG27" s="65">
        <f>AF$34/AE27</f>
        <v>14.396096383117863</v>
      </c>
      <c r="AH27" s="51"/>
      <c r="AI27" s="51">
        <v>10.0216</v>
      </c>
      <c r="AJ27" s="65">
        <v>14.37</v>
      </c>
      <c r="AK27" s="65">
        <f>AJ$34/AI27</f>
        <v>14.36896303983396</v>
      </c>
      <c r="AL27" s="51"/>
      <c r="AM27" s="51">
        <v>10.038</v>
      </c>
      <c r="AN27" s="51">
        <v>14.35</v>
      </c>
      <c r="AO27" s="51">
        <f>AN$34/AM27</f>
        <v>14.349472006375771</v>
      </c>
      <c r="AP27" s="51"/>
      <c r="AQ27" s="51">
        <v>10.167</v>
      </c>
      <c r="AR27" s="65">
        <v>14.25</v>
      </c>
      <c r="AS27" s="65">
        <f>AR$34/AQ27</f>
        <v>14.251008163666764</v>
      </c>
      <c r="AT27" s="51"/>
      <c r="AU27" s="51">
        <v>10.184</v>
      </c>
      <c r="AV27" s="65">
        <v>14.27</v>
      </c>
      <c r="AW27" s="65">
        <f>AV$34/AU27</f>
        <v>14.267478397486254</v>
      </c>
      <c r="AX27" s="51"/>
      <c r="AY27" s="51">
        <v>10.1233</v>
      </c>
      <c r="AZ27" s="65">
        <v>14.32</v>
      </c>
      <c r="BA27" s="65">
        <f>AZ$34/AY27</f>
        <v>14.319441288907768</v>
      </c>
      <c r="BB27" s="51"/>
      <c r="BC27" s="51">
        <v>10.22</v>
      </c>
      <c r="BD27" s="65">
        <v>14.2</v>
      </c>
      <c r="BE27" s="65">
        <f>BD$34/BC27</f>
        <v>14.20156555772994</v>
      </c>
      <c r="BF27" s="51"/>
      <c r="BG27" s="51">
        <v>10.268</v>
      </c>
      <c r="BH27" s="65">
        <v>14.19</v>
      </c>
      <c r="BI27" s="65">
        <f>BH$34/BG27</f>
        <v>14.193611219322166</v>
      </c>
      <c r="BJ27" s="51"/>
      <c r="BK27" s="51">
        <v>10.2145</v>
      </c>
      <c r="BL27" s="65">
        <v>14.3</v>
      </c>
      <c r="BM27" s="65">
        <f>BL$34/BK27</f>
        <v>14.297322433795095</v>
      </c>
      <c r="BN27" s="51"/>
      <c r="BO27" s="51">
        <v>10.167</v>
      </c>
      <c r="BP27" s="65">
        <v>14.36</v>
      </c>
      <c r="BQ27" s="65">
        <f>BP$34/BO27</f>
        <v>14.363135634897217</v>
      </c>
      <c r="BR27" s="51"/>
      <c r="BS27" s="51">
        <v>10.318</v>
      </c>
      <c r="BT27" s="65">
        <v>14.2</v>
      </c>
      <c r="BU27" s="65">
        <f>BT$34/BS27</f>
        <v>14.202364799379724</v>
      </c>
      <c r="BV27" s="51"/>
      <c r="BW27" s="51">
        <v>10.386</v>
      </c>
      <c r="BX27" s="65">
        <v>14.11</v>
      </c>
      <c r="BY27" s="65">
        <f>BX$34/BW27</f>
        <v>14.10841517427306</v>
      </c>
      <c r="BZ27" s="51"/>
      <c r="CA27" s="67">
        <v>10.322</v>
      </c>
      <c r="CB27" s="68">
        <v>14.23</v>
      </c>
      <c r="CC27" s="68">
        <f>CB$34/CA27</f>
        <v>14.227862817283475</v>
      </c>
      <c r="CD27" s="51"/>
      <c r="CE27" s="51">
        <f t="shared" si="1"/>
        <v>10.022369999999999</v>
      </c>
      <c r="CF27" s="51">
        <f t="shared" si="0"/>
        <v>14.405000000000001</v>
      </c>
      <c r="CG27" s="51">
        <f t="shared" si="0"/>
        <v>14.40504115697981</v>
      </c>
      <c r="CH27" s="51"/>
      <c r="CI27" s="56"/>
      <c r="CJ27" s="88"/>
      <c r="CK27" s="88"/>
      <c r="CL27" s="56"/>
      <c r="CM27" s="56"/>
      <c r="CN27" s="56"/>
      <c r="CO27" s="56"/>
      <c r="CP27" s="56"/>
      <c r="CQ27" s="86"/>
    </row>
    <row r="28" spans="1:95" ht="15.75">
      <c r="A28" s="63">
        <v>17</v>
      </c>
      <c r="B28" s="64" t="s">
        <v>54</v>
      </c>
      <c r="C28" s="51">
        <v>8.874</v>
      </c>
      <c r="D28" s="65">
        <v>16.11</v>
      </c>
      <c r="E28" s="65">
        <f>D$34/C28</f>
        <v>16.11449177372098</v>
      </c>
      <c r="F28" s="51"/>
      <c r="G28" s="51">
        <v>8.8037</v>
      </c>
      <c r="H28" s="65">
        <v>16.15</v>
      </c>
      <c r="I28" s="65">
        <f>H$34/G28</f>
        <v>16.14662017106444</v>
      </c>
      <c r="J28" s="51"/>
      <c r="K28" s="51">
        <v>8.825</v>
      </c>
      <c r="L28" s="65">
        <v>16.14</v>
      </c>
      <c r="M28" s="65">
        <f>L$34/K28</f>
        <v>16.143909348441927</v>
      </c>
      <c r="N28" s="51"/>
      <c r="O28" s="51">
        <v>8.8273</v>
      </c>
      <c r="P28" s="65">
        <v>16.12</v>
      </c>
      <c r="Q28" s="65">
        <f>P$34/O28</f>
        <v>16.1193116808084</v>
      </c>
      <c r="R28" s="51"/>
      <c r="S28" s="51">
        <v>8.811</v>
      </c>
      <c r="T28" s="65">
        <v>16.16</v>
      </c>
      <c r="U28" s="65">
        <f>T$34/S28</f>
        <v>16.161616161616163</v>
      </c>
      <c r="V28" s="51"/>
      <c r="W28" s="51">
        <v>8.7873</v>
      </c>
      <c r="X28" s="65">
        <v>16.22</v>
      </c>
      <c r="Y28" s="65">
        <f>X$34/W28</f>
        <v>16.222275329168234</v>
      </c>
      <c r="Z28" s="51"/>
      <c r="AA28" s="51">
        <v>8.8312</v>
      </c>
      <c r="AB28" s="65">
        <v>16.14</v>
      </c>
      <c r="AC28" s="65">
        <f>AB$34/AA28</f>
        <v>16.137104810218315</v>
      </c>
      <c r="AD28" s="51"/>
      <c r="AE28" s="51">
        <v>8.9126</v>
      </c>
      <c r="AF28" s="65">
        <v>16.06</v>
      </c>
      <c r="AG28" s="65">
        <f>AF$34/AE28</f>
        <v>16.05479882413662</v>
      </c>
      <c r="AH28" s="51"/>
      <c r="AI28" s="51">
        <v>8.9728</v>
      </c>
      <c r="AJ28" s="65">
        <v>16.05</v>
      </c>
      <c r="AK28" s="65">
        <f>AJ$34/AI28</f>
        <v>16.048502139800288</v>
      </c>
      <c r="AL28" s="51"/>
      <c r="AM28" s="51">
        <v>8.9834</v>
      </c>
      <c r="AN28" s="51">
        <v>16.03</v>
      </c>
      <c r="AO28" s="51">
        <f>AN$34/AM28</f>
        <v>16.034018300420776</v>
      </c>
      <c r="AP28" s="51"/>
      <c r="AQ28" s="51">
        <v>9.1066</v>
      </c>
      <c r="AR28" s="65">
        <v>15.91</v>
      </c>
      <c r="AS28" s="65">
        <f>AR$34/AQ28</f>
        <v>15.91043858300573</v>
      </c>
      <c r="AT28" s="51"/>
      <c r="AU28" s="51">
        <v>9.0302</v>
      </c>
      <c r="AV28" s="65">
        <v>16.09</v>
      </c>
      <c r="AW28" s="65">
        <f>AV$34/AU28</f>
        <v>16.090452038714535</v>
      </c>
      <c r="AX28" s="51"/>
      <c r="AY28" s="51">
        <v>8.992</v>
      </c>
      <c r="AZ28" s="65">
        <v>16.12</v>
      </c>
      <c r="BA28" s="65">
        <f>AZ$34/AY28</f>
        <v>16.12099644128114</v>
      </c>
      <c r="BB28" s="51"/>
      <c r="BC28" s="51">
        <v>9.0394</v>
      </c>
      <c r="BD28" s="65">
        <v>16.06</v>
      </c>
      <c r="BE28" s="65">
        <f>BD$34/BC28</f>
        <v>16.05637542314755</v>
      </c>
      <c r="BF28" s="51"/>
      <c r="BG28" s="51">
        <v>9.0578</v>
      </c>
      <c r="BH28" s="65">
        <v>16.09</v>
      </c>
      <c r="BI28" s="65">
        <f>BH$34/BG28</f>
        <v>16.089999779195832</v>
      </c>
      <c r="BJ28" s="51"/>
      <c r="BK28" s="51">
        <v>9.044</v>
      </c>
      <c r="BL28" s="65">
        <v>16.15</v>
      </c>
      <c r="BM28" s="65">
        <f>BL$34/BK28</f>
        <v>16.147722246793453</v>
      </c>
      <c r="BN28" s="51"/>
      <c r="BO28" s="51">
        <v>9.0205</v>
      </c>
      <c r="BP28" s="65">
        <v>16.19</v>
      </c>
      <c r="BQ28" s="65">
        <f>BP$34/BO28</f>
        <v>16.188681336954716</v>
      </c>
      <c r="BR28" s="51"/>
      <c r="BS28" s="51">
        <v>9.0852</v>
      </c>
      <c r="BT28" s="65">
        <v>16.13</v>
      </c>
      <c r="BU28" s="65">
        <f>BT$34/BS28</f>
        <v>16.1295293444283</v>
      </c>
      <c r="BV28" s="51"/>
      <c r="BW28" s="51">
        <v>9.082</v>
      </c>
      <c r="BX28" s="65">
        <v>16.13</v>
      </c>
      <c r="BY28" s="65">
        <f>BX$34/BW28</f>
        <v>16.134111429200615</v>
      </c>
      <c r="BZ28" s="51"/>
      <c r="CA28" s="67">
        <v>9.1066</v>
      </c>
      <c r="CB28" s="68">
        <v>16.13</v>
      </c>
      <c r="CC28" s="68">
        <f>CB$34/CA28</f>
        <v>16.126765203259176</v>
      </c>
      <c r="CD28" s="51"/>
      <c r="CE28" s="51">
        <f t="shared" si="1"/>
        <v>8.95963</v>
      </c>
      <c r="CF28" s="51">
        <f t="shared" si="1"/>
        <v>16.109</v>
      </c>
      <c r="CG28" s="51">
        <f aca="true" t="shared" si="2" ref="CG28:CH34">(+E28+I28+M28+Q28+U28+Y28+AC28+AG28+AK28+AO28+AS28+AW28+BA28+BE28+BI28+BM28+BQ28+BU28+BY28+CC28)/20</f>
        <v>16.108886018268862</v>
      </c>
      <c r="CH28" s="51"/>
      <c r="CI28" s="56"/>
      <c r="CJ28" s="88"/>
      <c r="CK28" s="88"/>
      <c r="CL28" s="56"/>
      <c r="CM28" s="56"/>
      <c r="CN28" s="56"/>
      <c r="CO28" s="56"/>
      <c r="CP28" s="56"/>
      <c r="CQ28" s="86"/>
    </row>
    <row r="29" spans="1:95" ht="15.75">
      <c r="A29" s="63">
        <v>18</v>
      </c>
      <c r="B29" s="64" t="s">
        <v>55</v>
      </c>
      <c r="C29" s="51">
        <v>8.0399</v>
      </c>
      <c r="D29" s="65">
        <v>17.79</v>
      </c>
      <c r="E29" s="65">
        <f>D$34/C29</f>
        <v>17.78629087426461</v>
      </c>
      <c r="F29" s="51"/>
      <c r="G29" s="51">
        <v>7.978</v>
      </c>
      <c r="H29" s="65">
        <v>17.82</v>
      </c>
      <c r="I29" s="65">
        <f>H$34/G29</f>
        <v>17.81774880922537</v>
      </c>
      <c r="J29" s="51"/>
      <c r="K29" s="51">
        <v>8.0194</v>
      </c>
      <c r="L29" s="65">
        <v>17.77</v>
      </c>
      <c r="M29" s="65">
        <f>L$34/K29</f>
        <v>17.76566825448288</v>
      </c>
      <c r="N29" s="51"/>
      <c r="O29" s="51">
        <v>8.0185</v>
      </c>
      <c r="P29" s="65">
        <v>17.75</v>
      </c>
      <c r="Q29" s="65">
        <f>P$34/O29</f>
        <v>17.745214192180583</v>
      </c>
      <c r="R29" s="51"/>
      <c r="S29" s="51">
        <v>8.0165</v>
      </c>
      <c r="T29" s="65">
        <v>17.76</v>
      </c>
      <c r="U29" s="65">
        <f>T$34/S29</f>
        <v>17.763363063681158</v>
      </c>
      <c r="V29" s="51"/>
      <c r="W29" s="51">
        <v>7.9966</v>
      </c>
      <c r="X29" s="65">
        <v>17.83</v>
      </c>
      <c r="Y29" s="65">
        <f>X$34/W29</f>
        <v>17.82632618863017</v>
      </c>
      <c r="Z29" s="51"/>
      <c r="AA29" s="51">
        <v>8.0284</v>
      </c>
      <c r="AB29" s="65">
        <v>17.75</v>
      </c>
      <c r="AC29" s="65">
        <f>AB$34/AA29</f>
        <v>17.750734891136464</v>
      </c>
      <c r="AD29" s="51"/>
      <c r="AE29" s="51">
        <v>8.1069</v>
      </c>
      <c r="AF29" s="65">
        <v>17.65</v>
      </c>
      <c r="AG29" s="65">
        <f>AF$34/AE29</f>
        <v>17.650396575756456</v>
      </c>
      <c r="AH29" s="51"/>
      <c r="AI29" s="51">
        <v>8.1767</v>
      </c>
      <c r="AJ29" s="65">
        <v>17.61</v>
      </c>
      <c r="AK29" s="65">
        <f>AJ$34/AI29</f>
        <v>17.61101666931647</v>
      </c>
      <c r="AL29" s="51"/>
      <c r="AM29" s="51">
        <v>8.1896</v>
      </c>
      <c r="AN29" s="51">
        <v>17.59</v>
      </c>
      <c r="AO29" s="51">
        <f>AN$34/AM29</f>
        <v>17.588160593923998</v>
      </c>
      <c r="AP29" s="51"/>
      <c r="AQ29" s="51">
        <v>8.31</v>
      </c>
      <c r="AR29" s="65">
        <v>17.44</v>
      </c>
      <c r="AS29" s="65">
        <f>AR$34/AQ29</f>
        <v>17.435619735258722</v>
      </c>
      <c r="AT29" s="51"/>
      <c r="AU29" s="51">
        <v>8.2954</v>
      </c>
      <c r="AV29" s="65">
        <v>17.52</v>
      </c>
      <c r="AW29" s="65">
        <f>AV$34/AU29</f>
        <v>17.51573161029004</v>
      </c>
      <c r="AX29" s="51"/>
      <c r="AY29" s="51">
        <v>8.2568</v>
      </c>
      <c r="AZ29" s="65">
        <v>17.56</v>
      </c>
      <c r="BA29" s="65">
        <f>AZ$34/AY29</f>
        <v>17.556438329619223</v>
      </c>
      <c r="BB29" s="51"/>
      <c r="BC29" s="51">
        <v>8.303</v>
      </c>
      <c r="BD29" s="65">
        <v>17.48</v>
      </c>
      <c r="BE29" s="65">
        <f>BD$34/BC29</f>
        <v>17.480428760688905</v>
      </c>
      <c r="BF29" s="51"/>
      <c r="BG29" s="51">
        <v>8.355</v>
      </c>
      <c r="BH29" s="65">
        <v>17.44</v>
      </c>
      <c r="BI29" s="65">
        <f>BH$34/BG29</f>
        <v>17.443447037701976</v>
      </c>
      <c r="BJ29" s="51"/>
      <c r="BK29" s="51">
        <v>8.345</v>
      </c>
      <c r="BL29" s="65">
        <v>17.5</v>
      </c>
      <c r="BM29" s="65">
        <f>BL$34/BK29</f>
        <v>17.500299580587175</v>
      </c>
      <c r="BN29" s="51"/>
      <c r="BO29" s="51">
        <v>8.3121</v>
      </c>
      <c r="BP29" s="65">
        <v>17.57</v>
      </c>
      <c r="BQ29" s="65">
        <f>BP$34/BO29</f>
        <v>17.56836419196112</v>
      </c>
      <c r="BR29" s="51"/>
      <c r="BS29" s="51">
        <v>8.389</v>
      </c>
      <c r="BT29" s="65">
        <v>17.47</v>
      </c>
      <c r="BU29" s="65">
        <f>BT$34/BS29</f>
        <v>17.468113005125762</v>
      </c>
      <c r="BV29" s="51"/>
      <c r="BW29" s="51">
        <v>8.415</v>
      </c>
      <c r="BX29" s="65">
        <v>17.41</v>
      </c>
      <c r="BY29" s="65">
        <f>BX$34/BW29</f>
        <v>17.412953060011887</v>
      </c>
      <c r="BZ29" s="51"/>
      <c r="CA29" s="67">
        <v>8.4335</v>
      </c>
      <c r="CB29" s="68">
        <v>17.41</v>
      </c>
      <c r="CC29" s="68">
        <f>CB$34/CA29</f>
        <v>17.413885101084958</v>
      </c>
      <c r="CD29" s="51"/>
      <c r="CE29" s="51">
        <f t="shared" si="1"/>
        <v>8.199265</v>
      </c>
      <c r="CF29" s="51">
        <f t="shared" si="1"/>
        <v>17.606000000000005</v>
      </c>
      <c r="CG29" s="51">
        <f t="shared" si="2"/>
        <v>17.605010026246397</v>
      </c>
      <c r="CH29" s="51"/>
      <c r="CI29" s="56"/>
      <c r="CJ29" s="88"/>
      <c r="CK29" s="88"/>
      <c r="CL29" s="56"/>
      <c r="CM29" s="56"/>
      <c r="CN29" s="56"/>
      <c r="CO29" s="56"/>
      <c r="CP29" s="56"/>
      <c r="CQ29" s="86"/>
    </row>
    <row r="30" spans="1:95" ht="15.75">
      <c r="A30" s="63">
        <v>19</v>
      </c>
      <c r="B30" s="64" t="s">
        <v>56</v>
      </c>
      <c r="C30" s="51">
        <v>6.4091</v>
      </c>
      <c r="D30" s="65">
        <v>22.31</v>
      </c>
      <c r="E30" s="65">
        <f>D$34/C30</f>
        <v>22.312025089326117</v>
      </c>
      <c r="F30" s="51"/>
      <c r="G30" s="51">
        <v>6.3625</v>
      </c>
      <c r="H30" s="65">
        <v>22.34</v>
      </c>
      <c r="I30" s="65">
        <f>H$34/G30</f>
        <v>22.341846758349707</v>
      </c>
      <c r="J30" s="51"/>
      <c r="K30" s="51">
        <v>6.3905</v>
      </c>
      <c r="L30" s="65">
        <v>22.29</v>
      </c>
      <c r="M30" s="65">
        <f>L$34/K30</f>
        <v>22.294030201079728</v>
      </c>
      <c r="N30" s="51"/>
      <c r="O30" s="51">
        <v>6.3905</v>
      </c>
      <c r="P30" s="65">
        <v>22.27</v>
      </c>
      <c r="Q30" s="65">
        <f>P$34/O30</f>
        <v>22.26586339097097</v>
      </c>
      <c r="R30" s="51"/>
      <c r="S30" s="51">
        <v>6.3878</v>
      </c>
      <c r="T30" s="65">
        <v>22.29</v>
      </c>
      <c r="U30" s="65">
        <f>T$34/S30</f>
        <v>22.292495068724755</v>
      </c>
      <c r="V30" s="51"/>
      <c r="W30" s="51">
        <v>6.3741</v>
      </c>
      <c r="X30" s="65">
        <v>22.36</v>
      </c>
      <c r="Y30" s="65">
        <f>X$34/W30</f>
        <v>22.363941576065642</v>
      </c>
      <c r="Z30" s="51"/>
      <c r="AA30" s="51">
        <v>6.3953</v>
      </c>
      <c r="AB30" s="65">
        <v>22.28</v>
      </c>
      <c r="AC30" s="65">
        <f>AB$34/AA30</f>
        <v>22.28355198348787</v>
      </c>
      <c r="AD30" s="51"/>
      <c r="AE30" s="51">
        <v>6.4512</v>
      </c>
      <c r="AF30" s="65">
        <v>22.18</v>
      </c>
      <c r="AG30" s="65">
        <f>AF$34/AE30</f>
        <v>22.180369543650794</v>
      </c>
      <c r="AH30" s="51"/>
      <c r="AI30" s="51">
        <v>6.5013</v>
      </c>
      <c r="AJ30" s="65">
        <v>22.15</v>
      </c>
      <c r="AK30" s="65">
        <f>AJ$34/AI30</f>
        <v>22.149416270592038</v>
      </c>
      <c r="AL30" s="51"/>
      <c r="AM30" s="51">
        <v>6.5273</v>
      </c>
      <c r="AN30" s="51">
        <v>22.07</v>
      </c>
      <c r="AO30" s="51">
        <f>AN$34/AM30</f>
        <v>22.067317267476596</v>
      </c>
      <c r="AP30" s="51"/>
      <c r="AQ30" s="51">
        <v>6.6233</v>
      </c>
      <c r="AR30" s="65">
        <v>21.88</v>
      </c>
      <c r="AS30" s="65">
        <f>AR$34/AQ30</f>
        <v>21.87580209261244</v>
      </c>
      <c r="AT30" s="51"/>
      <c r="AU30" s="51">
        <v>6.6122</v>
      </c>
      <c r="AV30" s="65">
        <v>21.97</v>
      </c>
      <c r="AW30" s="65">
        <f>AV$34/AU30</f>
        <v>21.974531925834068</v>
      </c>
      <c r="AX30" s="51"/>
      <c r="AY30" s="51">
        <v>6.5793</v>
      </c>
      <c r="AZ30" s="65">
        <v>22.03</v>
      </c>
      <c r="BA30" s="65">
        <f>AZ$34/AY30</f>
        <v>22.032739045187178</v>
      </c>
      <c r="BB30" s="51"/>
      <c r="BC30" s="51">
        <v>6.6145</v>
      </c>
      <c r="BD30" s="65">
        <v>21.94</v>
      </c>
      <c r="BE30" s="65">
        <f>BD$34/BC30</f>
        <v>21.942701640335624</v>
      </c>
      <c r="BF30" s="51"/>
      <c r="BG30" s="51">
        <v>6.6559</v>
      </c>
      <c r="BH30" s="65">
        <v>21.9</v>
      </c>
      <c r="BI30" s="65">
        <f>BH$34/BG30</f>
        <v>21.89636262564041</v>
      </c>
      <c r="BJ30" s="51"/>
      <c r="BK30" s="51">
        <v>6.6492</v>
      </c>
      <c r="BL30" s="65">
        <v>21.96</v>
      </c>
      <c r="BM30" s="65">
        <f>BL$34/BK30</f>
        <v>21.96354448655477</v>
      </c>
      <c r="BN30" s="51"/>
      <c r="BO30" s="51">
        <v>6.6248</v>
      </c>
      <c r="BP30" s="65">
        <v>22.04</v>
      </c>
      <c r="BQ30" s="65">
        <f>BP$34/BO30</f>
        <v>22.042929597874654</v>
      </c>
      <c r="BR30" s="51"/>
      <c r="BS30" s="51">
        <v>6.6896</v>
      </c>
      <c r="BT30" s="65">
        <v>21.91</v>
      </c>
      <c r="BU30" s="65">
        <f>BT$34/BS30</f>
        <v>21.90564458263573</v>
      </c>
      <c r="BV30" s="51"/>
      <c r="BW30" s="51">
        <v>6.7077</v>
      </c>
      <c r="BX30" s="65">
        <v>21.85</v>
      </c>
      <c r="BY30" s="65">
        <f>BX$34/BW30</f>
        <v>21.845043755683765</v>
      </c>
      <c r="BZ30" s="51"/>
      <c r="CA30" s="67">
        <v>6.7237</v>
      </c>
      <c r="CB30" s="68">
        <v>21.84</v>
      </c>
      <c r="CC30" s="68">
        <f>CB$34/CA30</f>
        <v>21.8421404881241</v>
      </c>
      <c r="CD30" s="51"/>
      <c r="CE30" s="51">
        <f t="shared" si="1"/>
        <v>6.5334900000000005</v>
      </c>
      <c r="CF30" s="51">
        <f t="shared" si="1"/>
        <v>22.092999999999996</v>
      </c>
      <c r="CG30" s="51">
        <f t="shared" si="2"/>
        <v>22.093614869510343</v>
      </c>
      <c r="CH30" s="51"/>
      <c r="CI30" s="56"/>
      <c r="CJ30" s="88"/>
      <c r="CK30" s="88"/>
      <c r="CL30" s="56"/>
      <c r="CM30" s="56"/>
      <c r="CN30" s="56"/>
      <c r="CO30" s="56"/>
      <c r="CP30" s="56"/>
      <c r="CQ30" s="86"/>
    </row>
    <row r="31" spans="1:95" ht="15.75">
      <c r="A31" s="63">
        <v>20</v>
      </c>
      <c r="B31" s="64" t="s">
        <v>57</v>
      </c>
      <c r="C31" s="51">
        <v>216.1065</v>
      </c>
      <c r="D31" s="65">
        <v>66.17</v>
      </c>
      <c r="E31" s="65">
        <f>D$34/C31*100</f>
        <v>66.1710776862334</v>
      </c>
      <c r="F31" s="51"/>
      <c r="G31" s="51">
        <v>214.534</v>
      </c>
      <c r="H31" s="65">
        <v>66.26</v>
      </c>
      <c r="I31" s="65">
        <f>H$34/G31*100</f>
        <v>66.25989353668884</v>
      </c>
      <c r="J31" s="51"/>
      <c r="K31" s="51">
        <v>215.4794</v>
      </c>
      <c r="L31" s="65">
        <v>66.12</v>
      </c>
      <c r="M31" s="65">
        <f>L$34/K31*100</f>
        <v>66.11768920834196</v>
      </c>
      <c r="N31" s="51"/>
      <c r="O31" s="51">
        <v>215.4794</v>
      </c>
      <c r="P31" s="65">
        <v>66.03</v>
      </c>
      <c r="Q31" s="65">
        <f>P$34/O31*100</f>
        <v>66.03415454099093</v>
      </c>
      <c r="R31" s="51"/>
      <c r="S31" s="51">
        <v>215.3868</v>
      </c>
      <c r="T31" s="65">
        <v>66.11</v>
      </c>
      <c r="U31" s="65">
        <f>T$34/S31*100</f>
        <v>66.11361513333223</v>
      </c>
      <c r="V31" s="51"/>
      <c r="W31" s="51">
        <v>214.925</v>
      </c>
      <c r="X31" s="65">
        <v>66.32</v>
      </c>
      <c r="Y31" s="65">
        <f>X$34/W31*100</f>
        <v>66.3254623705944</v>
      </c>
      <c r="Z31" s="51"/>
      <c r="AA31" s="51">
        <v>215.6416</v>
      </c>
      <c r="AB31" s="65">
        <v>66.09</v>
      </c>
      <c r="AC31" s="65">
        <f>AB$34/AA31*100</f>
        <v>66.08650649967352</v>
      </c>
      <c r="AD31" s="51"/>
      <c r="AE31" s="51">
        <v>217.5251</v>
      </c>
      <c r="AF31" s="65">
        <v>65.78</v>
      </c>
      <c r="AG31" s="65">
        <f>AF$34/AE31*100</f>
        <v>65.78091447837514</v>
      </c>
      <c r="AH31" s="51"/>
      <c r="AI31" s="51">
        <v>219.2138</v>
      </c>
      <c r="AJ31" s="65">
        <v>65.69</v>
      </c>
      <c r="AK31" s="65">
        <f>AJ$34/AI31*100</f>
        <v>65.68929510824593</v>
      </c>
      <c r="AL31" s="51"/>
      <c r="AM31" s="51">
        <v>220.0922</v>
      </c>
      <c r="AN31" s="51">
        <v>65.45</v>
      </c>
      <c r="AO31" s="51">
        <f>AN$34/AM31*100</f>
        <v>65.44529974256244</v>
      </c>
      <c r="AP31" s="51"/>
      <c r="AQ31" s="51">
        <v>223.3285</v>
      </c>
      <c r="AR31" s="65">
        <v>64.88</v>
      </c>
      <c r="AS31" s="65">
        <f>AR$34/AQ31*100</f>
        <v>64.87752346879148</v>
      </c>
      <c r="AT31" s="51"/>
      <c r="AU31" s="51">
        <v>222.956</v>
      </c>
      <c r="AV31" s="65">
        <v>65.17</v>
      </c>
      <c r="AW31" s="65">
        <f>AV$34/AU31*100</f>
        <v>65.16980928972534</v>
      </c>
      <c r="AX31" s="51"/>
      <c r="AY31" s="51">
        <v>221.8457</v>
      </c>
      <c r="AZ31" s="65">
        <v>65.34</v>
      </c>
      <c r="BA31" s="65">
        <f>AZ$34/AY31*100</f>
        <v>65.34271342649419</v>
      </c>
      <c r="BB31" s="51"/>
      <c r="BC31" s="51">
        <v>223.0304</v>
      </c>
      <c r="BD31" s="65">
        <v>65.08</v>
      </c>
      <c r="BE31" s="65">
        <f>BD$34/BC31*100</f>
        <v>65.07633040159547</v>
      </c>
      <c r="BF31" s="51"/>
      <c r="BG31" s="51">
        <v>224.4285</v>
      </c>
      <c r="BH31" s="65">
        <v>64.94</v>
      </c>
      <c r="BI31" s="65">
        <f>BH$34/BG31*100</f>
        <v>64.93827655578502</v>
      </c>
      <c r="BJ31" s="51"/>
      <c r="BK31" s="51">
        <v>224.2026</v>
      </c>
      <c r="BL31" s="65">
        <v>65.14</v>
      </c>
      <c r="BM31" s="65">
        <f>BL$34/BK31*100</f>
        <v>65.13751401634057</v>
      </c>
      <c r="BN31" s="51"/>
      <c r="BO31" s="51">
        <v>223.3783</v>
      </c>
      <c r="BP31" s="65">
        <v>65.38</v>
      </c>
      <c r="BQ31" s="65">
        <f>BP$34/BO31*100</f>
        <v>65.37340466822427</v>
      </c>
      <c r="BR31" s="51"/>
      <c r="BS31" s="51">
        <v>225.5648</v>
      </c>
      <c r="BT31" s="65">
        <v>64.96</v>
      </c>
      <c r="BU31" s="65">
        <f>BT$34/BS31*100</f>
        <v>64.96581026826881</v>
      </c>
      <c r="BV31" s="51"/>
      <c r="BW31" s="51">
        <v>226.1755</v>
      </c>
      <c r="BX31" s="65">
        <v>64.79</v>
      </c>
      <c r="BY31" s="65">
        <f>BX$34/BW31*100</f>
        <v>64.78597372394445</v>
      </c>
      <c r="BZ31" s="51"/>
      <c r="CA31" s="67">
        <v>226.7127</v>
      </c>
      <c r="CB31" s="68">
        <v>64.78</v>
      </c>
      <c r="CC31" s="68">
        <f>CB$34/CA31*100</f>
        <v>64.77802081665473</v>
      </c>
      <c r="CD31" s="51"/>
      <c r="CE31" s="51">
        <f t="shared" si="1"/>
        <v>220.30034</v>
      </c>
      <c r="CF31" s="51">
        <f t="shared" si="1"/>
        <v>65.52400000000002</v>
      </c>
      <c r="CG31" s="51">
        <f t="shared" si="2"/>
        <v>65.52346424704317</v>
      </c>
      <c r="CH31" s="51"/>
      <c r="CI31" s="56"/>
      <c r="CJ31" s="88"/>
      <c r="CK31" s="88"/>
      <c r="CL31" s="56"/>
      <c r="CM31" s="56"/>
      <c r="CN31" s="56"/>
      <c r="CO31" s="56"/>
      <c r="CP31" s="56"/>
      <c r="CQ31" s="86"/>
    </row>
    <row r="32" spans="1:95" ht="15.75">
      <c r="A32" s="63">
        <v>21</v>
      </c>
      <c r="B32" s="64" t="s">
        <v>58</v>
      </c>
      <c r="C32" s="51">
        <f>1/1.29363</f>
        <v>0.7730185601756298</v>
      </c>
      <c r="D32" s="65">
        <v>184.98</v>
      </c>
      <c r="E32" s="65">
        <f>D$34/C32</f>
        <v>184.98909</v>
      </c>
      <c r="F32" s="51"/>
      <c r="G32" s="51">
        <f>1/1.29733</f>
        <v>0.7708139023995436</v>
      </c>
      <c r="H32" s="65">
        <v>184.42</v>
      </c>
      <c r="I32" s="65">
        <f>H$34/G32</f>
        <v>184.41545950000003</v>
      </c>
      <c r="J32" s="51"/>
      <c r="K32" s="51">
        <f>1/1.29355</f>
        <v>0.7730663677476711</v>
      </c>
      <c r="L32" s="65">
        <v>184.29</v>
      </c>
      <c r="M32" s="65">
        <f>L$34/K32</f>
        <v>184.2920685</v>
      </c>
      <c r="N32" s="51"/>
      <c r="O32" s="51">
        <f>1/1.29345</f>
        <v>0.7731261355290115</v>
      </c>
      <c r="P32" s="65">
        <v>184.05</v>
      </c>
      <c r="Q32" s="65">
        <f>P$34/O32</f>
        <v>184.0450005</v>
      </c>
      <c r="R32" s="51"/>
      <c r="S32" s="51">
        <f>1/1.29391</f>
        <v>0.7728512802281458</v>
      </c>
      <c r="T32" s="65">
        <v>184.25</v>
      </c>
      <c r="U32" s="65">
        <f>T$34/S32</f>
        <v>184.252784</v>
      </c>
      <c r="V32" s="51"/>
      <c r="W32" s="51">
        <f>1/1.2954</f>
        <v>0.771962328238382</v>
      </c>
      <c r="X32" s="65">
        <v>184.66</v>
      </c>
      <c r="Y32" s="65">
        <f>X$34/W32</f>
        <v>184.65927000000002</v>
      </c>
      <c r="Z32" s="51"/>
      <c r="AA32" s="51">
        <f>1/1.29074</f>
        <v>0.7747493685792646</v>
      </c>
      <c r="AB32" s="65">
        <v>183.94</v>
      </c>
      <c r="AC32" s="65">
        <f>AB$34/AA32</f>
        <v>183.9433574</v>
      </c>
      <c r="AD32" s="51"/>
      <c r="AE32" s="51">
        <f>1/1.28785</f>
        <v>0.7764879450246536</v>
      </c>
      <c r="AF32" s="65">
        <v>184.28</v>
      </c>
      <c r="AG32" s="65">
        <f>AF$34/AE32</f>
        <v>184.27845649999998</v>
      </c>
      <c r="AH32" s="51"/>
      <c r="AI32" s="51">
        <f>1/1.2857</f>
        <v>0.7777864198491093</v>
      </c>
      <c r="AJ32" s="65">
        <v>185.14</v>
      </c>
      <c r="AK32" s="65">
        <f>AJ$34/AI32</f>
        <v>185.1408</v>
      </c>
      <c r="AL32" s="51"/>
      <c r="AM32" s="51">
        <f>1/1.27833</f>
        <v>0.7822706186978323</v>
      </c>
      <c r="AN32" s="51">
        <v>184.14</v>
      </c>
      <c r="AO32" s="65">
        <f>AN$34/AM32</f>
        <v>184.13065319999998</v>
      </c>
      <c r="AP32" s="51"/>
      <c r="AQ32" s="51">
        <f>1/1.2703</f>
        <v>0.7872156183578682</v>
      </c>
      <c r="AR32" s="65">
        <v>184.06</v>
      </c>
      <c r="AS32" s="65">
        <f>AR$34/AQ32</f>
        <v>184.05376699999997</v>
      </c>
      <c r="AT32" s="51"/>
      <c r="AU32" s="51">
        <f>1/1.27305</f>
        <v>0.7855151015278269</v>
      </c>
      <c r="AV32" s="65">
        <v>184.97</v>
      </c>
      <c r="AW32" s="65">
        <f>AV$34/AU32</f>
        <v>184.974165</v>
      </c>
      <c r="AX32" s="51"/>
      <c r="AY32" s="51">
        <f>1/1.27289</f>
        <v>0.7856138393733944</v>
      </c>
      <c r="AZ32" s="65">
        <v>184.52</v>
      </c>
      <c r="BA32" s="65">
        <f>AZ$34/AY32</f>
        <v>184.5181344</v>
      </c>
      <c r="BB32" s="51"/>
      <c r="BC32" s="51">
        <f>1/1.28898</f>
        <v>0.7758072274201306</v>
      </c>
      <c r="BD32" s="65">
        <v>187.08</v>
      </c>
      <c r="BE32" s="65">
        <f>BD$34/BC32</f>
        <v>187.0825572</v>
      </c>
      <c r="BF32" s="51"/>
      <c r="BG32" s="51">
        <f>1/1.2656</f>
        <v>0.7901390644753477</v>
      </c>
      <c r="BH32" s="65">
        <v>184.45</v>
      </c>
      <c r="BI32" s="65">
        <f>BH$34/BG32</f>
        <v>184.44854400000003</v>
      </c>
      <c r="BJ32" s="51"/>
      <c r="BK32" s="51">
        <f>1/1.269</f>
        <v>0.7880220646178093</v>
      </c>
      <c r="BL32" s="65">
        <v>185.32</v>
      </c>
      <c r="BM32" s="65">
        <f>BL$34/BK32</f>
        <v>185.32476</v>
      </c>
      <c r="BN32" s="51"/>
      <c r="BO32" s="51">
        <f>1/1.28898</f>
        <v>0.7758072274201306</v>
      </c>
      <c r="BP32" s="65">
        <v>188.24</v>
      </c>
      <c r="BQ32" s="65">
        <f>BP$34/BO32</f>
        <v>188.2297494</v>
      </c>
      <c r="BR32" s="51"/>
      <c r="BS32" s="51">
        <f>1/1.26804</f>
        <v>0.788618655562916</v>
      </c>
      <c r="BT32" s="65">
        <v>185.82</v>
      </c>
      <c r="BU32" s="65">
        <f>BT$34/BS32</f>
        <v>185.8185816</v>
      </c>
      <c r="BV32" s="51"/>
      <c r="BW32" s="51">
        <f>1/1.26686</f>
        <v>0.7893532039846549</v>
      </c>
      <c r="BX32" s="65">
        <v>185.64</v>
      </c>
      <c r="BY32" s="65">
        <f>BX$34/BW32</f>
        <v>185.6329958</v>
      </c>
      <c r="BZ32" s="51"/>
      <c r="CA32" s="67">
        <f>1/1.26686</f>
        <v>0.7893532039846549</v>
      </c>
      <c r="CB32" s="68">
        <v>186.05</v>
      </c>
      <c r="CC32" s="65">
        <f>CB$34/CA32</f>
        <v>186.05105960000003</v>
      </c>
      <c r="CD32" s="51"/>
      <c r="CE32" s="51">
        <f t="shared" si="1"/>
        <v>0.7800789066596988</v>
      </c>
      <c r="CF32" s="51">
        <f t="shared" si="1"/>
        <v>185.01500000000001</v>
      </c>
      <c r="CG32" s="51">
        <f t="shared" si="2"/>
        <v>185.01406267999997</v>
      </c>
      <c r="CH32" s="51"/>
      <c r="CI32" s="56"/>
      <c r="CJ32" s="88"/>
      <c r="CK32" s="88"/>
      <c r="CL32" s="56"/>
      <c r="CM32" s="56"/>
      <c r="CN32" s="56"/>
      <c r="CO32" s="56"/>
      <c r="CP32" s="56"/>
      <c r="CQ32" s="86"/>
    </row>
    <row r="33" spans="1:95" ht="15.75">
      <c r="A33" s="63">
        <v>22</v>
      </c>
      <c r="B33" s="64" t="s">
        <v>59</v>
      </c>
      <c r="C33" s="51">
        <v>367.3062</v>
      </c>
      <c r="D33" s="65">
        <v>38.93</v>
      </c>
      <c r="E33" s="65">
        <f>D$34/C33*100</f>
        <v>38.93209534715178</v>
      </c>
      <c r="F33" s="51">
        <v>38.69</v>
      </c>
      <c r="G33" s="51">
        <v>364.6335</v>
      </c>
      <c r="H33" s="65">
        <v>38.99</v>
      </c>
      <c r="I33" s="65">
        <f>H$34/G33*100</f>
        <v>38.98435003914889</v>
      </c>
      <c r="J33" s="51">
        <v>38.74</v>
      </c>
      <c r="K33" s="51">
        <v>366.2403</v>
      </c>
      <c r="L33" s="65">
        <v>38.9</v>
      </c>
      <c r="M33" s="65">
        <f>L$34/K33*100</f>
        <v>38.90068897387863</v>
      </c>
      <c r="N33" s="51">
        <v>38.65</v>
      </c>
      <c r="O33" s="51">
        <v>366.2403</v>
      </c>
      <c r="P33" s="65">
        <v>38.85</v>
      </c>
      <c r="Q33" s="65">
        <f>P$34/O33*100</f>
        <v>38.8515409145307</v>
      </c>
      <c r="R33" s="51">
        <v>38.72</v>
      </c>
      <c r="S33" s="51">
        <v>366.0829</v>
      </c>
      <c r="T33" s="65">
        <v>38.9</v>
      </c>
      <c r="U33" s="65">
        <f>T$34/S33*100</f>
        <v>38.898293255434766</v>
      </c>
      <c r="V33" s="51">
        <v>38.75</v>
      </c>
      <c r="W33" s="51">
        <v>365.298</v>
      </c>
      <c r="X33" s="65">
        <v>39.02</v>
      </c>
      <c r="Y33" s="65">
        <f>X$34/W33*100</f>
        <v>39.022934699888864</v>
      </c>
      <c r="Z33" s="51">
        <v>38.79</v>
      </c>
      <c r="AA33" s="51">
        <v>366.5161</v>
      </c>
      <c r="AB33" s="65">
        <v>38.88</v>
      </c>
      <c r="AC33" s="65">
        <f>AB$34/AA33*100</f>
        <v>38.88233013501999</v>
      </c>
      <c r="AD33" s="51">
        <v>38.8</v>
      </c>
      <c r="AE33" s="51">
        <v>369.7174</v>
      </c>
      <c r="AF33" s="65">
        <v>38.7</v>
      </c>
      <c r="AG33" s="65">
        <f>AF$34/AE33*100</f>
        <v>38.70253334032967</v>
      </c>
      <c r="AH33" s="51">
        <v>38.76</v>
      </c>
      <c r="AI33" s="51">
        <v>372.5876</v>
      </c>
      <c r="AJ33" s="65">
        <v>38.65</v>
      </c>
      <c r="AK33" s="65">
        <f>AJ$34/AI33*100</f>
        <v>38.6486292082721</v>
      </c>
      <c r="AL33" s="51">
        <v>38.68</v>
      </c>
      <c r="AM33" s="51">
        <v>374.0806</v>
      </c>
      <c r="AN33" s="51">
        <v>38.51</v>
      </c>
      <c r="AO33" s="51">
        <f>AN$34/AM33*100</f>
        <v>38.50507083232865</v>
      </c>
      <c r="AP33" s="51">
        <v>38.61</v>
      </c>
      <c r="AQ33" s="51">
        <v>379.5812</v>
      </c>
      <c r="AR33" s="65">
        <v>38.17</v>
      </c>
      <c r="AS33" s="65">
        <f>AR$34/AQ33*100</f>
        <v>38.17101584588488</v>
      </c>
      <c r="AT33" s="51">
        <v>38.42</v>
      </c>
      <c r="AU33" s="51">
        <v>378.948</v>
      </c>
      <c r="AV33" s="65">
        <v>38.34</v>
      </c>
      <c r="AW33" s="65">
        <f>AV$34/AU33*100</f>
        <v>38.34299165056947</v>
      </c>
      <c r="AX33" s="51">
        <v>38.48</v>
      </c>
      <c r="AY33" s="51">
        <v>377.061</v>
      </c>
      <c r="AZ33" s="65">
        <v>38.44</v>
      </c>
      <c r="BA33" s="65">
        <f>AZ$34/AY33*100</f>
        <v>38.44470788546151</v>
      </c>
      <c r="BB33" s="51">
        <v>38.53</v>
      </c>
      <c r="BC33" s="51">
        <v>379.0744</v>
      </c>
      <c r="BD33" s="65">
        <v>38.29</v>
      </c>
      <c r="BE33" s="65">
        <f>BD$34/BC33*100</f>
        <v>38.287998345443526</v>
      </c>
      <c r="BF33" s="51">
        <v>38.51</v>
      </c>
      <c r="BG33" s="51">
        <v>381.4508</v>
      </c>
      <c r="BH33" s="65">
        <v>38.21</v>
      </c>
      <c r="BI33" s="65">
        <f>BH$34/BG33*100</f>
        <v>38.20676218269827</v>
      </c>
      <c r="BJ33" s="51">
        <v>38.4</v>
      </c>
      <c r="BK33" s="51">
        <v>381.0669</v>
      </c>
      <c r="BL33" s="65">
        <v>38.32</v>
      </c>
      <c r="BM33" s="65">
        <f>BL$34/BK33*100</f>
        <v>38.32397933276283</v>
      </c>
      <c r="BN33" s="51">
        <v>38.4</v>
      </c>
      <c r="BO33" s="51">
        <v>379.6657</v>
      </c>
      <c r="BP33" s="65">
        <v>38.46</v>
      </c>
      <c r="BQ33" s="65">
        <f>BP$34/BO33*100</f>
        <v>38.46278449699302</v>
      </c>
      <c r="BR33" s="51">
        <v>38.38</v>
      </c>
      <c r="BS33" s="51">
        <v>383.3821</v>
      </c>
      <c r="BT33" s="65">
        <v>38.22</v>
      </c>
      <c r="BU33" s="65">
        <f>BT$34/BS33*100</f>
        <v>38.22296346125706</v>
      </c>
      <c r="BV33" s="51">
        <v>38.4</v>
      </c>
      <c r="BW33" s="51">
        <v>384.4201</v>
      </c>
      <c r="BX33" s="65">
        <v>38.12</v>
      </c>
      <c r="BY33" s="65">
        <f>BX$34/BW33*100</f>
        <v>38.11715360357068</v>
      </c>
      <c r="BZ33" s="51">
        <v>38.3</v>
      </c>
      <c r="CA33" s="67">
        <v>385.333</v>
      </c>
      <c r="CB33" s="68">
        <v>38.11</v>
      </c>
      <c r="CC33" s="68">
        <f>CB$34/CA33*100</f>
        <v>38.11248971668661</v>
      </c>
      <c r="CD33" s="51">
        <v>38.3</v>
      </c>
      <c r="CE33" s="51">
        <f t="shared" si="1"/>
        <v>374.4343049999999</v>
      </c>
      <c r="CF33" s="51">
        <f t="shared" si="1"/>
        <v>38.550500000000014</v>
      </c>
      <c r="CG33" s="51">
        <f t="shared" si="2"/>
        <v>38.5510656633656</v>
      </c>
      <c r="CH33" s="51">
        <f t="shared" si="2"/>
        <v>38.56549999999999</v>
      </c>
      <c r="CI33" s="56"/>
      <c r="CJ33" s="88"/>
      <c r="CK33" s="88"/>
      <c r="CL33" s="56"/>
      <c r="CM33" s="56"/>
      <c r="CN33" s="56"/>
      <c r="CO33" s="56"/>
      <c r="CP33" s="56"/>
      <c r="CQ33" s="86"/>
    </row>
    <row r="34" spans="1:95" ht="16.5" thickBot="1">
      <c r="A34" s="72">
        <v>23</v>
      </c>
      <c r="B34" s="73" t="s">
        <v>60</v>
      </c>
      <c r="C34" s="74">
        <v>1</v>
      </c>
      <c r="D34" s="75">
        <v>143</v>
      </c>
      <c r="E34" s="76">
        <f>D$34/C34</f>
        <v>143</v>
      </c>
      <c r="F34" s="74">
        <v>143.34</v>
      </c>
      <c r="G34" s="74">
        <v>1</v>
      </c>
      <c r="H34" s="75">
        <v>142.15</v>
      </c>
      <c r="I34" s="76">
        <f>H$34/G34</f>
        <v>142.15</v>
      </c>
      <c r="J34" s="74">
        <v>142.4</v>
      </c>
      <c r="K34" s="74">
        <v>1</v>
      </c>
      <c r="L34" s="75">
        <v>142.47</v>
      </c>
      <c r="M34" s="76">
        <f>L$34/K34</f>
        <v>142.47</v>
      </c>
      <c r="N34" s="74">
        <v>142.76</v>
      </c>
      <c r="O34" s="74">
        <v>1</v>
      </c>
      <c r="P34" s="75">
        <v>142.29</v>
      </c>
      <c r="Q34" s="76">
        <f>P$34/O34</f>
        <v>142.29</v>
      </c>
      <c r="R34" s="74">
        <v>142.45</v>
      </c>
      <c r="S34" s="74">
        <v>1</v>
      </c>
      <c r="T34" s="75">
        <v>142.4</v>
      </c>
      <c r="U34" s="76">
        <f>T$34/S34</f>
        <v>142.4</v>
      </c>
      <c r="V34" s="74">
        <v>142.58</v>
      </c>
      <c r="W34" s="74">
        <v>1</v>
      </c>
      <c r="X34" s="75">
        <v>142.55</v>
      </c>
      <c r="Y34" s="76">
        <f>X$34/W34</f>
        <v>142.55</v>
      </c>
      <c r="Z34" s="74">
        <v>142.46</v>
      </c>
      <c r="AA34" s="74">
        <v>1</v>
      </c>
      <c r="AB34" s="75">
        <v>142.51</v>
      </c>
      <c r="AC34" s="76">
        <f>AB$34/AA34</f>
        <v>142.51</v>
      </c>
      <c r="AD34" s="74">
        <v>142.77</v>
      </c>
      <c r="AE34" s="74">
        <v>1</v>
      </c>
      <c r="AF34" s="75">
        <v>143.09</v>
      </c>
      <c r="AG34" s="76">
        <f>AF$34/AE34</f>
        <v>143.09</v>
      </c>
      <c r="AH34" s="74">
        <v>143.22</v>
      </c>
      <c r="AI34" s="74">
        <v>1</v>
      </c>
      <c r="AJ34" s="75">
        <v>144</v>
      </c>
      <c r="AK34" s="76">
        <f>AJ$34/AI34</f>
        <v>144</v>
      </c>
      <c r="AL34" s="74">
        <v>143.82</v>
      </c>
      <c r="AM34" s="74">
        <v>1</v>
      </c>
      <c r="AN34" s="74">
        <v>144.04</v>
      </c>
      <c r="AO34" s="77">
        <f>AN$34/AM34</f>
        <v>144.04</v>
      </c>
      <c r="AP34" s="74">
        <v>144.04</v>
      </c>
      <c r="AQ34" s="74">
        <v>1</v>
      </c>
      <c r="AR34" s="75">
        <v>144.89</v>
      </c>
      <c r="AS34" s="76">
        <f>AR$34/AQ34</f>
        <v>144.89</v>
      </c>
      <c r="AT34" s="74">
        <v>145.06</v>
      </c>
      <c r="AU34" s="74">
        <v>1</v>
      </c>
      <c r="AV34" s="75">
        <v>145.3</v>
      </c>
      <c r="AW34" s="76">
        <f>AV$34/AU34</f>
        <v>145.3</v>
      </c>
      <c r="AX34" s="74">
        <v>145</v>
      </c>
      <c r="AY34" s="74">
        <v>1</v>
      </c>
      <c r="AZ34" s="75">
        <v>144.96</v>
      </c>
      <c r="BA34" s="76">
        <f>AZ$34/AY34</f>
        <v>144.96</v>
      </c>
      <c r="BB34" s="74">
        <v>144.66</v>
      </c>
      <c r="BC34" s="74">
        <v>1</v>
      </c>
      <c r="BD34" s="75">
        <v>145.14</v>
      </c>
      <c r="BE34" s="76">
        <f>BD$34/BC34</f>
        <v>145.14</v>
      </c>
      <c r="BF34" s="74">
        <v>144.92</v>
      </c>
      <c r="BG34" s="74">
        <v>1</v>
      </c>
      <c r="BH34" s="75">
        <v>145.74</v>
      </c>
      <c r="BI34" s="76">
        <f>BH$34/BG34</f>
        <v>145.74</v>
      </c>
      <c r="BJ34" s="74">
        <v>145.76</v>
      </c>
      <c r="BK34" s="74">
        <v>1</v>
      </c>
      <c r="BL34" s="75">
        <v>146.04</v>
      </c>
      <c r="BM34" s="76">
        <f>BL$34/BK34</f>
        <v>146.04</v>
      </c>
      <c r="BN34" s="74">
        <v>145.84</v>
      </c>
      <c r="BO34" s="74">
        <v>1</v>
      </c>
      <c r="BP34" s="75">
        <v>146.03</v>
      </c>
      <c r="BQ34" s="76">
        <f>BP$34/BO34</f>
        <v>146.03</v>
      </c>
      <c r="BR34" s="74">
        <v>146.18</v>
      </c>
      <c r="BS34" s="74">
        <v>1</v>
      </c>
      <c r="BT34" s="75">
        <v>146.54</v>
      </c>
      <c r="BU34" s="76">
        <f>BT$34/BS34</f>
        <v>146.54</v>
      </c>
      <c r="BV34" s="74">
        <v>146.4</v>
      </c>
      <c r="BW34" s="74">
        <v>1</v>
      </c>
      <c r="BX34" s="75">
        <v>146.53</v>
      </c>
      <c r="BY34" s="76">
        <f>BX$34/BW34</f>
        <v>146.53</v>
      </c>
      <c r="BZ34" s="74">
        <v>146.76</v>
      </c>
      <c r="CA34" s="78">
        <v>1</v>
      </c>
      <c r="CB34" s="79">
        <v>146.86</v>
      </c>
      <c r="CC34" s="80">
        <f>CB$34/CA34</f>
        <v>146.86</v>
      </c>
      <c r="CD34" s="74">
        <v>146.98</v>
      </c>
      <c r="CE34" s="77">
        <f t="shared" si="1"/>
        <v>1</v>
      </c>
      <c r="CF34" s="77">
        <f t="shared" si="1"/>
        <v>144.3265</v>
      </c>
      <c r="CG34" s="77">
        <f t="shared" si="2"/>
        <v>144.3265</v>
      </c>
      <c r="CH34" s="77">
        <f t="shared" si="2"/>
        <v>144.37</v>
      </c>
      <c r="CI34" s="56"/>
      <c r="CJ34" s="88"/>
      <c r="CK34" s="88"/>
      <c r="CL34" s="56"/>
      <c r="CM34" s="56"/>
      <c r="CN34" s="56"/>
      <c r="CO34" s="56"/>
      <c r="CP34" s="56"/>
      <c r="CQ34" s="86"/>
    </row>
    <row r="35" spans="1:95" ht="15.75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5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CA35" s="56"/>
      <c r="CB35" s="56"/>
      <c r="CC35" s="56"/>
      <c r="CD35" s="56"/>
      <c r="CE35" s="81"/>
      <c r="CF35" s="81"/>
      <c r="CG35" s="81"/>
      <c r="CI35" s="56"/>
      <c r="CJ35" s="56"/>
      <c r="CK35" s="56"/>
      <c r="CL35" s="56"/>
      <c r="CM35" s="89"/>
      <c r="CN35" s="89"/>
      <c r="CO35" s="89"/>
      <c r="CP35" s="86"/>
      <c r="CQ35" s="86"/>
    </row>
    <row r="36" ht="15.75">
      <c r="B36" s="82" t="s">
        <v>112</v>
      </c>
    </row>
    <row r="37" ht="15.75">
      <c r="B37" s="82" t="s">
        <v>108</v>
      </c>
    </row>
    <row r="38" ht="15.75">
      <c r="B38" s="82" t="s">
        <v>110</v>
      </c>
    </row>
    <row r="39" ht="15.75">
      <c r="B39" s="82" t="s">
        <v>109</v>
      </c>
    </row>
    <row r="40" ht="15.75">
      <c r="B40" s="82" t="s">
        <v>111</v>
      </c>
    </row>
    <row r="41" ht="15.75">
      <c r="B41" s="82" t="s">
        <v>107</v>
      </c>
    </row>
    <row r="42" ht="15.75">
      <c r="B42" s="82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14" r:id="rId1"/>
  <headerFooter alignWithMargins="0">
    <oddHeader>&amp;L&amp;"Times New Roman,Bold"&amp;12Sektori i Informacionit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35"/>
  <sheetViews>
    <sheetView zoomScale="75" zoomScaleNormal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4.421875" style="0" customWidth="1"/>
    <col min="2" max="2" width="31.7109375" style="0" bestFit="1" customWidth="1"/>
    <col min="80" max="80" width="9.8515625" style="0" customWidth="1"/>
    <col min="81" max="81" width="10.421875" style="0" customWidth="1"/>
    <col min="84" max="84" width="10.140625" style="0" customWidth="1"/>
    <col min="85" max="85" width="10.28125" style="0" customWidth="1"/>
  </cols>
  <sheetData>
    <row r="1" spans="1:87" ht="15.75">
      <c r="A1" s="2"/>
      <c r="B1" s="3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5" t="s">
        <v>1</v>
      </c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15"/>
      <c r="CB1" s="15"/>
      <c r="CC1" s="17"/>
      <c r="CD1" s="15"/>
      <c r="CE1" s="15"/>
      <c r="CF1" s="15"/>
      <c r="CG1" s="15"/>
      <c r="CH1" s="15"/>
      <c r="CI1" s="15"/>
    </row>
    <row r="2" spans="1:87" ht="15.75">
      <c r="A2" s="4"/>
      <c r="B2" s="33" t="s">
        <v>115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23"/>
      <c r="CB2" s="23"/>
      <c r="CC2" s="23"/>
      <c r="CD2" s="23"/>
      <c r="CE2" s="23"/>
      <c r="CF2" s="23"/>
      <c r="CG2" s="23"/>
      <c r="CH2" s="23"/>
      <c r="CI2" s="23"/>
    </row>
    <row r="3" spans="1:91" ht="12.75">
      <c r="A3" s="5" t="s">
        <v>3</v>
      </c>
      <c r="B3" s="4"/>
      <c r="C3" s="3"/>
      <c r="D3" s="2" t="s">
        <v>116</v>
      </c>
      <c r="E3" s="3"/>
      <c r="F3" s="3"/>
      <c r="G3" s="3"/>
      <c r="H3" s="2" t="s">
        <v>117</v>
      </c>
      <c r="I3" s="3"/>
      <c r="J3" s="3"/>
      <c r="K3" s="3"/>
      <c r="L3" s="2" t="s">
        <v>118</v>
      </c>
      <c r="M3" s="3"/>
      <c r="N3" s="3"/>
      <c r="O3" s="3"/>
      <c r="P3" s="2" t="s">
        <v>119</v>
      </c>
      <c r="Q3" s="3"/>
      <c r="R3" s="3"/>
      <c r="S3" s="3"/>
      <c r="T3" s="2" t="s">
        <v>120</v>
      </c>
      <c r="U3" s="3"/>
      <c r="V3" s="3"/>
      <c r="W3" s="3"/>
      <c r="X3" s="2" t="s">
        <v>121</v>
      </c>
      <c r="Y3" s="3"/>
      <c r="Z3" s="3"/>
      <c r="AA3" s="3"/>
      <c r="AB3" s="2" t="s">
        <v>122</v>
      </c>
      <c r="AC3" s="3"/>
      <c r="AD3" s="3"/>
      <c r="AE3" s="3"/>
      <c r="AF3" s="2" t="s">
        <v>123</v>
      </c>
      <c r="AG3" s="3"/>
      <c r="AH3" s="3"/>
      <c r="AI3" s="3"/>
      <c r="AJ3" s="2" t="s">
        <v>124</v>
      </c>
      <c r="AK3" s="3"/>
      <c r="AL3" s="3"/>
      <c r="AM3" s="3"/>
      <c r="AN3" s="2" t="s">
        <v>125</v>
      </c>
      <c r="AO3" s="3"/>
      <c r="AP3" s="3"/>
      <c r="AQ3" s="3"/>
      <c r="AR3" s="2" t="s">
        <v>126</v>
      </c>
      <c r="AS3" s="3"/>
      <c r="AT3" s="3"/>
      <c r="AU3" s="3"/>
      <c r="AV3" s="2" t="s">
        <v>127</v>
      </c>
      <c r="AW3" s="3"/>
      <c r="AX3" s="3"/>
      <c r="AY3" s="3"/>
      <c r="AZ3" s="2" t="s">
        <v>128</v>
      </c>
      <c r="BA3" s="3"/>
      <c r="BB3" s="3"/>
      <c r="BC3" s="3"/>
      <c r="BD3" s="2" t="s">
        <v>129</v>
      </c>
      <c r="BE3" s="3"/>
      <c r="BF3" s="3"/>
      <c r="BG3" s="3"/>
      <c r="BH3" s="2" t="s">
        <v>130</v>
      </c>
      <c r="BI3" s="3"/>
      <c r="BJ3" s="3"/>
      <c r="BK3" s="3"/>
      <c r="BL3" s="2" t="s">
        <v>131</v>
      </c>
      <c r="BM3" s="3"/>
      <c r="BN3" s="3"/>
      <c r="BO3" s="3"/>
      <c r="BP3" s="2" t="s">
        <v>132</v>
      </c>
      <c r="BQ3" s="3"/>
      <c r="BR3" s="3"/>
      <c r="BS3" s="3"/>
      <c r="BT3" s="2" t="s">
        <v>133</v>
      </c>
      <c r="BU3" s="3"/>
      <c r="BV3" s="3"/>
      <c r="BW3" s="3"/>
      <c r="BX3" s="2" t="s">
        <v>134</v>
      </c>
      <c r="BY3" s="3"/>
      <c r="BZ3" s="3"/>
      <c r="CA3" s="6"/>
      <c r="CB3" s="2" t="s">
        <v>135</v>
      </c>
      <c r="CC3" s="3"/>
      <c r="CD3" s="6"/>
      <c r="CE3" s="6"/>
      <c r="CF3" s="2" t="s">
        <v>25</v>
      </c>
      <c r="CG3" s="3"/>
      <c r="CH3" s="6"/>
      <c r="CI3" s="20"/>
      <c r="CJ3" s="18"/>
      <c r="CK3" s="19"/>
      <c r="CL3" s="20"/>
      <c r="CM3" s="21"/>
    </row>
    <row r="4" spans="1:91" ht="13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6"/>
      <c r="CB4" s="6"/>
      <c r="CC4" s="6"/>
      <c r="CD4" s="6"/>
      <c r="CE4" s="6"/>
      <c r="CF4" s="6"/>
      <c r="CG4" s="6"/>
      <c r="CH4" s="6"/>
      <c r="CI4" s="20"/>
      <c r="CJ4" s="20"/>
      <c r="CK4" s="20"/>
      <c r="CL4" s="20"/>
      <c r="CM4" s="21"/>
    </row>
    <row r="5" spans="1:91" ht="13.5" thickTop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23"/>
      <c r="CJ5" s="23"/>
      <c r="CK5" s="23"/>
      <c r="CL5" s="23"/>
      <c r="CM5" s="21"/>
    </row>
    <row r="6" spans="1:91" ht="12.75">
      <c r="A6" s="3"/>
      <c r="B6" s="4"/>
      <c r="C6" s="8" t="s">
        <v>26</v>
      </c>
      <c r="D6" s="8" t="s">
        <v>26</v>
      </c>
      <c r="E6" s="8" t="s">
        <v>26</v>
      </c>
      <c r="F6" s="8" t="s">
        <v>26</v>
      </c>
      <c r="G6" s="8" t="s">
        <v>26</v>
      </c>
      <c r="H6" s="8" t="s">
        <v>26</v>
      </c>
      <c r="I6" s="8" t="s">
        <v>26</v>
      </c>
      <c r="J6" s="8" t="s">
        <v>26</v>
      </c>
      <c r="K6" s="8" t="s">
        <v>26</v>
      </c>
      <c r="L6" s="8" t="s">
        <v>26</v>
      </c>
      <c r="M6" s="8" t="s">
        <v>26</v>
      </c>
      <c r="N6" s="8" t="s">
        <v>26</v>
      </c>
      <c r="O6" s="8" t="s">
        <v>26</v>
      </c>
      <c r="P6" s="8" t="s">
        <v>26</v>
      </c>
      <c r="Q6" s="8" t="s">
        <v>26</v>
      </c>
      <c r="R6" s="8" t="s">
        <v>26</v>
      </c>
      <c r="S6" s="8" t="s">
        <v>26</v>
      </c>
      <c r="T6" s="8" t="s">
        <v>26</v>
      </c>
      <c r="U6" s="8" t="s">
        <v>26</v>
      </c>
      <c r="V6" s="8" t="s">
        <v>26</v>
      </c>
      <c r="W6" s="8" t="s">
        <v>26</v>
      </c>
      <c r="X6" s="8" t="s">
        <v>26</v>
      </c>
      <c r="Y6" s="8" t="s">
        <v>26</v>
      </c>
      <c r="Z6" s="8" t="s">
        <v>26</v>
      </c>
      <c r="AA6" s="8" t="s">
        <v>26</v>
      </c>
      <c r="AB6" s="8" t="s">
        <v>26</v>
      </c>
      <c r="AC6" s="8" t="s">
        <v>26</v>
      </c>
      <c r="AD6" s="8" t="s">
        <v>26</v>
      </c>
      <c r="AE6" s="8" t="s">
        <v>26</v>
      </c>
      <c r="AF6" s="8" t="s">
        <v>26</v>
      </c>
      <c r="AG6" s="8" t="s">
        <v>26</v>
      </c>
      <c r="AH6" s="8" t="s">
        <v>26</v>
      </c>
      <c r="AI6" s="8" t="s">
        <v>26</v>
      </c>
      <c r="AJ6" s="8" t="s">
        <v>26</v>
      </c>
      <c r="AK6" s="8" t="s">
        <v>26</v>
      </c>
      <c r="AL6" s="8" t="s">
        <v>26</v>
      </c>
      <c r="AM6" s="8" t="s">
        <v>26</v>
      </c>
      <c r="AN6" s="8" t="s">
        <v>26</v>
      </c>
      <c r="AO6" s="8" t="s">
        <v>26</v>
      </c>
      <c r="AP6" s="8" t="s">
        <v>26</v>
      </c>
      <c r="AQ6" s="8" t="s">
        <v>26</v>
      </c>
      <c r="AR6" s="8" t="s">
        <v>26</v>
      </c>
      <c r="AS6" s="8" t="s">
        <v>26</v>
      </c>
      <c r="AT6" s="8" t="s">
        <v>26</v>
      </c>
      <c r="AU6" s="8" t="s">
        <v>26</v>
      </c>
      <c r="AV6" s="8" t="s">
        <v>26</v>
      </c>
      <c r="AW6" s="8" t="s">
        <v>26</v>
      </c>
      <c r="AX6" s="8" t="s">
        <v>26</v>
      </c>
      <c r="AY6" s="8" t="s">
        <v>26</v>
      </c>
      <c r="AZ6" s="8" t="s">
        <v>26</v>
      </c>
      <c r="BA6" s="8" t="s">
        <v>26</v>
      </c>
      <c r="BB6" s="8" t="s">
        <v>26</v>
      </c>
      <c r="BC6" s="8" t="s">
        <v>26</v>
      </c>
      <c r="BD6" s="8" t="s">
        <v>26</v>
      </c>
      <c r="BE6" s="8" t="s">
        <v>26</v>
      </c>
      <c r="BF6" s="8" t="s">
        <v>26</v>
      </c>
      <c r="BG6" s="8" t="s">
        <v>26</v>
      </c>
      <c r="BH6" s="8" t="s">
        <v>26</v>
      </c>
      <c r="BI6" s="8" t="s">
        <v>26</v>
      </c>
      <c r="BJ6" s="8" t="s">
        <v>26</v>
      </c>
      <c r="BK6" s="8" t="s">
        <v>26</v>
      </c>
      <c r="BL6" s="8" t="s">
        <v>26</v>
      </c>
      <c r="BM6" s="8" t="s">
        <v>26</v>
      </c>
      <c r="BN6" s="8" t="s">
        <v>26</v>
      </c>
      <c r="BO6" s="8" t="s">
        <v>26</v>
      </c>
      <c r="BP6" s="8" t="s">
        <v>26</v>
      </c>
      <c r="BQ6" s="8" t="s">
        <v>26</v>
      </c>
      <c r="BR6" s="8" t="s">
        <v>26</v>
      </c>
      <c r="BS6" s="8" t="s">
        <v>26</v>
      </c>
      <c r="BT6" s="8" t="s">
        <v>26</v>
      </c>
      <c r="BU6" s="8" t="s">
        <v>26</v>
      </c>
      <c r="BV6" s="8" t="s">
        <v>26</v>
      </c>
      <c r="BW6" s="8" t="s">
        <v>26</v>
      </c>
      <c r="BX6" s="8" t="s">
        <v>26</v>
      </c>
      <c r="BY6" s="8" t="s">
        <v>26</v>
      </c>
      <c r="BZ6" s="8" t="s">
        <v>26</v>
      </c>
      <c r="CA6" s="8" t="s">
        <v>27</v>
      </c>
      <c r="CB6" s="8" t="s">
        <v>27</v>
      </c>
      <c r="CC6" s="8" t="s">
        <v>26</v>
      </c>
      <c r="CD6" s="8" t="s">
        <v>26</v>
      </c>
      <c r="CE6" s="8" t="s">
        <v>27</v>
      </c>
      <c r="CF6" s="8" t="s">
        <v>27</v>
      </c>
      <c r="CG6" s="8" t="s">
        <v>26</v>
      </c>
      <c r="CH6" s="8" t="s">
        <v>26</v>
      </c>
      <c r="CI6" s="22"/>
      <c r="CJ6" s="22"/>
      <c r="CK6" s="22"/>
      <c r="CL6" s="22"/>
      <c r="CM6" s="21"/>
    </row>
    <row r="7" spans="1:91" ht="12.75">
      <c r="A7" s="4"/>
      <c r="B7" s="9" t="s">
        <v>28</v>
      </c>
      <c r="C7" s="8" t="s">
        <v>29</v>
      </c>
      <c r="D7" s="8" t="s">
        <v>29</v>
      </c>
      <c r="E7" s="8" t="s">
        <v>29</v>
      </c>
      <c r="F7" s="8" t="s">
        <v>30</v>
      </c>
      <c r="G7" s="8" t="s">
        <v>29</v>
      </c>
      <c r="H7" s="8" t="s">
        <v>29</v>
      </c>
      <c r="I7" s="8" t="s">
        <v>29</v>
      </c>
      <c r="J7" s="8" t="s">
        <v>30</v>
      </c>
      <c r="K7" s="8" t="s">
        <v>29</v>
      </c>
      <c r="L7" s="8" t="s">
        <v>29</v>
      </c>
      <c r="M7" s="8" t="s">
        <v>29</v>
      </c>
      <c r="N7" s="8" t="s">
        <v>30</v>
      </c>
      <c r="O7" s="8" t="s">
        <v>29</v>
      </c>
      <c r="P7" s="8" t="s">
        <v>29</v>
      </c>
      <c r="Q7" s="8" t="s">
        <v>29</v>
      </c>
      <c r="R7" s="8" t="s">
        <v>30</v>
      </c>
      <c r="S7" s="8" t="s">
        <v>29</v>
      </c>
      <c r="T7" s="8" t="s">
        <v>29</v>
      </c>
      <c r="U7" s="8" t="s">
        <v>29</v>
      </c>
      <c r="V7" s="8" t="s">
        <v>30</v>
      </c>
      <c r="W7" s="8" t="s">
        <v>29</v>
      </c>
      <c r="X7" s="8" t="s">
        <v>29</v>
      </c>
      <c r="Y7" s="8" t="s">
        <v>29</v>
      </c>
      <c r="Z7" s="8" t="s">
        <v>30</v>
      </c>
      <c r="AA7" s="8" t="s">
        <v>29</v>
      </c>
      <c r="AB7" s="8" t="s">
        <v>29</v>
      </c>
      <c r="AC7" s="8" t="s">
        <v>29</v>
      </c>
      <c r="AD7" s="8" t="s">
        <v>30</v>
      </c>
      <c r="AE7" s="8" t="s">
        <v>29</v>
      </c>
      <c r="AF7" s="8" t="s">
        <v>29</v>
      </c>
      <c r="AG7" s="8" t="s">
        <v>29</v>
      </c>
      <c r="AH7" s="8" t="s">
        <v>30</v>
      </c>
      <c r="AI7" s="8" t="s">
        <v>29</v>
      </c>
      <c r="AJ7" s="8" t="s">
        <v>29</v>
      </c>
      <c r="AK7" s="8" t="s">
        <v>29</v>
      </c>
      <c r="AL7" s="8" t="s">
        <v>30</v>
      </c>
      <c r="AM7" s="8" t="s">
        <v>29</v>
      </c>
      <c r="AN7" s="8" t="s">
        <v>29</v>
      </c>
      <c r="AO7" s="8" t="s">
        <v>29</v>
      </c>
      <c r="AP7" s="8" t="s">
        <v>30</v>
      </c>
      <c r="AQ7" s="8" t="s">
        <v>29</v>
      </c>
      <c r="AR7" s="8" t="s">
        <v>29</v>
      </c>
      <c r="AS7" s="8" t="s">
        <v>29</v>
      </c>
      <c r="AT7" s="8" t="s">
        <v>30</v>
      </c>
      <c r="AU7" s="8" t="s">
        <v>29</v>
      </c>
      <c r="AV7" s="8" t="s">
        <v>29</v>
      </c>
      <c r="AW7" s="8" t="s">
        <v>29</v>
      </c>
      <c r="AX7" s="8" t="s">
        <v>30</v>
      </c>
      <c r="AY7" s="8" t="s">
        <v>29</v>
      </c>
      <c r="AZ7" s="8" t="s">
        <v>29</v>
      </c>
      <c r="BA7" s="8" t="s">
        <v>29</v>
      </c>
      <c r="BB7" s="8" t="s">
        <v>30</v>
      </c>
      <c r="BC7" s="8" t="s">
        <v>29</v>
      </c>
      <c r="BD7" s="8" t="s">
        <v>29</v>
      </c>
      <c r="BE7" s="8" t="s">
        <v>29</v>
      </c>
      <c r="BF7" s="8" t="s">
        <v>30</v>
      </c>
      <c r="BG7" s="8" t="s">
        <v>29</v>
      </c>
      <c r="BH7" s="8" t="s">
        <v>29</v>
      </c>
      <c r="BI7" s="8" t="s">
        <v>29</v>
      </c>
      <c r="BJ7" s="8" t="s">
        <v>30</v>
      </c>
      <c r="BK7" s="8" t="s">
        <v>29</v>
      </c>
      <c r="BL7" s="8" t="s">
        <v>29</v>
      </c>
      <c r="BM7" s="8" t="s">
        <v>29</v>
      </c>
      <c r="BN7" s="8" t="s">
        <v>30</v>
      </c>
      <c r="BO7" s="8" t="s">
        <v>29</v>
      </c>
      <c r="BP7" s="8" t="s">
        <v>29</v>
      </c>
      <c r="BQ7" s="8" t="s">
        <v>29</v>
      </c>
      <c r="BR7" s="8" t="s">
        <v>30</v>
      </c>
      <c r="BS7" s="8" t="s">
        <v>29</v>
      </c>
      <c r="BT7" s="8" t="s">
        <v>29</v>
      </c>
      <c r="BU7" s="8" t="s">
        <v>29</v>
      </c>
      <c r="BV7" s="8" t="s">
        <v>30</v>
      </c>
      <c r="BW7" s="8" t="s">
        <v>29</v>
      </c>
      <c r="BX7" s="8" t="s">
        <v>29</v>
      </c>
      <c r="BY7" s="8" t="s">
        <v>29</v>
      </c>
      <c r="BZ7" s="8" t="s">
        <v>30</v>
      </c>
      <c r="CA7" s="8" t="s">
        <v>31</v>
      </c>
      <c r="CB7" s="8" t="s">
        <v>32</v>
      </c>
      <c r="CC7" s="8" t="s">
        <v>32</v>
      </c>
      <c r="CD7" s="8" t="s">
        <v>30</v>
      </c>
      <c r="CE7" s="8" t="s">
        <v>31</v>
      </c>
      <c r="CF7" s="8" t="s">
        <v>32</v>
      </c>
      <c r="CG7" s="8" t="s">
        <v>32</v>
      </c>
      <c r="CH7" s="8" t="s">
        <v>30</v>
      </c>
      <c r="CI7" s="22"/>
      <c r="CJ7" s="22"/>
      <c r="CK7" s="22"/>
      <c r="CL7" s="22"/>
      <c r="CM7" s="21"/>
    </row>
    <row r="8" spans="1:91" ht="12.75">
      <c r="A8" s="4"/>
      <c r="B8" s="4"/>
      <c r="C8" s="8" t="s">
        <v>33</v>
      </c>
      <c r="D8" s="8" t="s">
        <v>32</v>
      </c>
      <c r="E8" s="8" t="s">
        <v>32</v>
      </c>
      <c r="F8" s="8" t="s">
        <v>34</v>
      </c>
      <c r="G8" s="8" t="s">
        <v>33</v>
      </c>
      <c r="H8" s="8" t="s">
        <v>32</v>
      </c>
      <c r="I8" s="8" t="s">
        <v>32</v>
      </c>
      <c r="J8" s="8" t="s">
        <v>34</v>
      </c>
      <c r="K8" s="8" t="s">
        <v>33</v>
      </c>
      <c r="L8" s="8" t="s">
        <v>32</v>
      </c>
      <c r="M8" s="8" t="s">
        <v>32</v>
      </c>
      <c r="N8" s="8" t="s">
        <v>34</v>
      </c>
      <c r="O8" s="8" t="s">
        <v>33</v>
      </c>
      <c r="P8" s="8" t="s">
        <v>32</v>
      </c>
      <c r="Q8" s="8" t="s">
        <v>32</v>
      </c>
      <c r="R8" s="8" t="s">
        <v>34</v>
      </c>
      <c r="S8" s="8" t="s">
        <v>33</v>
      </c>
      <c r="T8" s="8" t="s">
        <v>32</v>
      </c>
      <c r="U8" s="8" t="s">
        <v>32</v>
      </c>
      <c r="V8" s="8" t="s">
        <v>34</v>
      </c>
      <c r="W8" s="8" t="s">
        <v>33</v>
      </c>
      <c r="X8" s="8" t="s">
        <v>32</v>
      </c>
      <c r="Y8" s="8" t="s">
        <v>32</v>
      </c>
      <c r="Z8" s="8" t="s">
        <v>34</v>
      </c>
      <c r="AA8" s="8" t="s">
        <v>33</v>
      </c>
      <c r="AB8" s="8" t="s">
        <v>32</v>
      </c>
      <c r="AC8" s="8" t="s">
        <v>32</v>
      </c>
      <c r="AD8" s="8" t="s">
        <v>34</v>
      </c>
      <c r="AE8" s="8" t="s">
        <v>33</v>
      </c>
      <c r="AF8" s="8" t="s">
        <v>32</v>
      </c>
      <c r="AG8" s="8" t="s">
        <v>32</v>
      </c>
      <c r="AH8" s="8" t="s">
        <v>34</v>
      </c>
      <c r="AI8" s="8" t="s">
        <v>33</v>
      </c>
      <c r="AJ8" s="8" t="s">
        <v>32</v>
      </c>
      <c r="AK8" s="8" t="s">
        <v>32</v>
      </c>
      <c r="AL8" s="8" t="s">
        <v>34</v>
      </c>
      <c r="AM8" s="8" t="s">
        <v>33</v>
      </c>
      <c r="AN8" s="8" t="s">
        <v>32</v>
      </c>
      <c r="AO8" s="8" t="s">
        <v>32</v>
      </c>
      <c r="AP8" s="8" t="s">
        <v>34</v>
      </c>
      <c r="AQ8" s="8" t="s">
        <v>33</v>
      </c>
      <c r="AR8" s="8" t="s">
        <v>32</v>
      </c>
      <c r="AS8" s="8" t="s">
        <v>32</v>
      </c>
      <c r="AT8" s="8" t="s">
        <v>34</v>
      </c>
      <c r="AU8" s="8" t="s">
        <v>33</v>
      </c>
      <c r="AV8" s="8" t="s">
        <v>32</v>
      </c>
      <c r="AW8" s="8" t="s">
        <v>32</v>
      </c>
      <c r="AX8" s="8" t="s">
        <v>34</v>
      </c>
      <c r="AY8" s="8" t="s">
        <v>33</v>
      </c>
      <c r="AZ8" s="8" t="s">
        <v>32</v>
      </c>
      <c r="BA8" s="8" t="s">
        <v>32</v>
      </c>
      <c r="BB8" s="8" t="s">
        <v>34</v>
      </c>
      <c r="BC8" s="8" t="s">
        <v>33</v>
      </c>
      <c r="BD8" s="8" t="s">
        <v>32</v>
      </c>
      <c r="BE8" s="8" t="s">
        <v>32</v>
      </c>
      <c r="BF8" s="8" t="s">
        <v>34</v>
      </c>
      <c r="BG8" s="8" t="s">
        <v>33</v>
      </c>
      <c r="BH8" s="8" t="s">
        <v>32</v>
      </c>
      <c r="BI8" s="8" t="s">
        <v>32</v>
      </c>
      <c r="BJ8" s="8" t="s">
        <v>34</v>
      </c>
      <c r="BK8" s="8" t="s">
        <v>33</v>
      </c>
      <c r="BL8" s="8" t="s">
        <v>32</v>
      </c>
      <c r="BM8" s="8" t="s">
        <v>32</v>
      </c>
      <c r="BN8" s="8" t="s">
        <v>34</v>
      </c>
      <c r="BO8" s="8" t="s">
        <v>33</v>
      </c>
      <c r="BP8" s="8" t="s">
        <v>32</v>
      </c>
      <c r="BQ8" s="8" t="s">
        <v>32</v>
      </c>
      <c r="BR8" s="8" t="s">
        <v>34</v>
      </c>
      <c r="BS8" s="8" t="s">
        <v>33</v>
      </c>
      <c r="BT8" s="8" t="s">
        <v>32</v>
      </c>
      <c r="BU8" s="8" t="s">
        <v>32</v>
      </c>
      <c r="BV8" s="8" t="s">
        <v>34</v>
      </c>
      <c r="BW8" s="8" t="s">
        <v>33</v>
      </c>
      <c r="BX8" s="8" t="s">
        <v>32</v>
      </c>
      <c r="BY8" s="8" t="s">
        <v>32</v>
      </c>
      <c r="BZ8" s="8" t="s">
        <v>34</v>
      </c>
      <c r="CA8" s="8" t="s">
        <v>29</v>
      </c>
      <c r="CB8" s="8" t="s">
        <v>35</v>
      </c>
      <c r="CC8" s="8" t="s">
        <v>35</v>
      </c>
      <c r="CD8" s="8" t="s">
        <v>34</v>
      </c>
      <c r="CE8" s="8" t="s">
        <v>29</v>
      </c>
      <c r="CF8" s="8" t="s">
        <v>35</v>
      </c>
      <c r="CG8" s="8" t="s">
        <v>35</v>
      </c>
      <c r="CH8" s="8" t="s">
        <v>34</v>
      </c>
      <c r="CI8" s="22"/>
      <c r="CJ8" s="22"/>
      <c r="CK8" s="22"/>
      <c r="CL8" s="22"/>
      <c r="CM8" s="21"/>
    </row>
    <row r="9" spans="1:91" ht="12.75">
      <c r="A9" s="4"/>
      <c r="B9" s="4"/>
      <c r="C9" s="4"/>
      <c r="D9" s="4"/>
      <c r="E9" s="8" t="s">
        <v>36</v>
      </c>
      <c r="F9" s="4"/>
      <c r="G9" s="4"/>
      <c r="H9" s="4"/>
      <c r="I9" s="8" t="s">
        <v>36</v>
      </c>
      <c r="J9" s="4"/>
      <c r="K9" s="4"/>
      <c r="L9" s="4"/>
      <c r="M9" s="8" t="s">
        <v>36</v>
      </c>
      <c r="N9" s="4"/>
      <c r="O9" s="4"/>
      <c r="P9" s="4"/>
      <c r="Q9" s="8" t="s">
        <v>36</v>
      </c>
      <c r="R9" s="4"/>
      <c r="S9" s="4"/>
      <c r="T9" s="4"/>
      <c r="U9" s="8" t="s">
        <v>36</v>
      </c>
      <c r="V9" s="4"/>
      <c r="W9" s="4"/>
      <c r="X9" s="4"/>
      <c r="Y9" s="8" t="s">
        <v>36</v>
      </c>
      <c r="Z9" s="4"/>
      <c r="AA9" s="4"/>
      <c r="AB9" s="4"/>
      <c r="AC9" s="8" t="s">
        <v>36</v>
      </c>
      <c r="AD9" s="5" t="s">
        <v>37</v>
      </c>
      <c r="AE9" s="4"/>
      <c r="AF9" s="4"/>
      <c r="AG9" s="8" t="s">
        <v>36</v>
      </c>
      <c r="AH9" s="5" t="s">
        <v>37</v>
      </c>
      <c r="AI9" s="4"/>
      <c r="AJ9" s="4"/>
      <c r="AK9" s="8" t="s">
        <v>36</v>
      </c>
      <c r="AL9" s="4"/>
      <c r="AM9" s="4"/>
      <c r="AN9" s="4"/>
      <c r="AO9" s="8" t="s">
        <v>36</v>
      </c>
      <c r="AP9" s="4"/>
      <c r="AQ9" s="4"/>
      <c r="AR9" s="4"/>
      <c r="AS9" s="8" t="s">
        <v>36</v>
      </c>
      <c r="AT9" s="4"/>
      <c r="AU9" s="4"/>
      <c r="AV9" s="4"/>
      <c r="AW9" s="8" t="s">
        <v>36</v>
      </c>
      <c r="AX9" s="4"/>
      <c r="AY9" s="4"/>
      <c r="AZ9" s="4"/>
      <c r="BA9" s="8" t="s">
        <v>36</v>
      </c>
      <c r="BB9" s="4"/>
      <c r="BC9" s="4"/>
      <c r="BD9" s="4"/>
      <c r="BE9" s="8" t="s">
        <v>36</v>
      </c>
      <c r="BF9" s="4"/>
      <c r="BG9" s="4"/>
      <c r="BH9" s="4"/>
      <c r="BI9" s="8" t="s">
        <v>36</v>
      </c>
      <c r="BJ9" s="4"/>
      <c r="BK9" s="4"/>
      <c r="BL9" s="4"/>
      <c r="BM9" s="8" t="s">
        <v>36</v>
      </c>
      <c r="BN9" s="4"/>
      <c r="BO9" s="4"/>
      <c r="BP9" s="4"/>
      <c r="BQ9" s="8" t="s">
        <v>36</v>
      </c>
      <c r="BR9" s="4"/>
      <c r="BS9" s="4"/>
      <c r="BT9" s="4"/>
      <c r="BU9" s="8" t="s">
        <v>36</v>
      </c>
      <c r="BV9" s="4"/>
      <c r="BW9" s="4"/>
      <c r="BX9" s="4"/>
      <c r="BY9" s="8" t="s">
        <v>36</v>
      </c>
      <c r="BZ9" s="4"/>
      <c r="CA9" s="8" t="s">
        <v>33</v>
      </c>
      <c r="CB9" s="8" t="s">
        <v>31</v>
      </c>
      <c r="CC9" s="8" t="s">
        <v>31</v>
      </c>
      <c r="CD9" s="4"/>
      <c r="CE9" s="8" t="s">
        <v>33</v>
      </c>
      <c r="CF9" s="8" t="s">
        <v>31</v>
      </c>
      <c r="CG9" s="8" t="s">
        <v>31</v>
      </c>
      <c r="CH9" s="4"/>
      <c r="CI9" s="22"/>
      <c r="CJ9" s="22"/>
      <c r="CK9" s="22"/>
      <c r="CL9" s="23"/>
      <c r="CM9" s="21"/>
    </row>
    <row r="10" spans="1:91" ht="13.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8" t="s">
        <v>36</v>
      </c>
      <c r="CD10" s="4"/>
      <c r="CE10" s="4"/>
      <c r="CF10" s="4"/>
      <c r="CG10" s="8" t="s">
        <v>36</v>
      </c>
      <c r="CH10" s="4"/>
      <c r="CI10" s="23"/>
      <c r="CJ10" s="23"/>
      <c r="CK10" s="22"/>
      <c r="CL10" s="23"/>
      <c r="CM10" s="21"/>
    </row>
    <row r="11" spans="1:91" ht="13.5" thickTop="1">
      <c r="A11" s="10" t="s">
        <v>3</v>
      </c>
      <c r="B11" s="7"/>
      <c r="C11" s="31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23"/>
      <c r="CJ11" s="23"/>
      <c r="CK11" s="23"/>
      <c r="CL11" s="23"/>
      <c r="CM11" s="21"/>
    </row>
    <row r="12" spans="1:91" ht="12.75">
      <c r="A12" s="26">
        <v>1</v>
      </c>
      <c r="B12" s="27" t="s">
        <v>38</v>
      </c>
      <c r="C12" s="4">
        <v>2.2152</v>
      </c>
      <c r="D12" s="16">
        <v>66.21</v>
      </c>
      <c r="E12" s="16">
        <f>D$34/C12</f>
        <v>66.21072589382449</v>
      </c>
      <c r="F12" s="4">
        <v>66.24</v>
      </c>
      <c r="G12" s="4">
        <v>2.2067</v>
      </c>
      <c r="H12" s="16">
        <v>66.38</v>
      </c>
      <c r="I12" s="16">
        <f>H$34/G12</f>
        <v>66.38419359224181</v>
      </c>
      <c r="J12" s="4">
        <v>66.42</v>
      </c>
      <c r="K12" s="4">
        <v>2.1703</v>
      </c>
      <c r="L12" s="16">
        <v>66.9</v>
      </c>
      <c r="M12" s="16">
        <f>L$34/K12</f>
        <v>66.89397779108879</v>
      </c>
      <c r="N12" s="4">
        <v>66.6</v>
      </c>
      <c r="O12" s="4">
        <v>2.1722</v>
      </c>
      <c r="P12" s="16">
        <v>66.58</v>
      </c>
      <c r="Q12" s="16">
        <f>P$34/O12</f>
        <v>66.58226682625909</v>
      </c>
      <c r="R12" s="4">
        <v>66.6</v>
      </c>
      <c r="S12" s="4">
        <v>2.1717</v>
      </c>
      <c r="T12" s="16">
        <v>66.69</v>
      </c>
      <c r="U12" s="16">
        <f>T$34/S12</f>
        <v>66.69429479209836</v>
      </c>
      <c r="V12" s="4">
        <v>66.54</v>
      </c>
      <c r="W12" s="12">
        <v>2.1715</v>
      </c>
      <c r="X12" s="16">
        <v>66.87</v>
      </c>
      <c r="Y12" s="16">
        <f>X$34/W12</f>
        <v>66.87082661754548</v>
      </c>
      <c r="Z12" s="4">
        <v>66.64</v>
      </c>
      <c r="AA12" s="4">
        <v>2.1797</v>
      </c>
      <c r="AB12" s="16">
        <v>66.83</v>
      </c>
      <c r="AC12" s="16">
        <f>AB$34/AA12</f>
        <v>66.83029774739643</v>
      </c>
      <c r="AD12" s="4">
        <v>66.6</v>
      </c>
      <c r="AE12" s="4">
        <v>2.1988</v>
      </c>
      <c r="AF12" s="16">
        <v>66.48</v>
      </c>
      <c r="AG12" s="16">
        <f>AF$34/AE12</f>
        <v>66.47716936510824</v>
      </c>
      <c r="AH12" s="4">
        <v>66.54</v>
      </c>
      <c r="AI12" s="4">
        <v>2.1948</v>
      </c>
      <c r="AJ12" s="16">
        <v>66.44</v>
      </c>
      <c r="AK12" s="16">
        <f>AJ$34/AI12</f>
        <v>66.44796792418444</v>
      </c>
      <c r="AL12" s="4">
        <v>66.43</v>
      </c>
      <c r="AM12" s="4">
        <v>2.1976</v>
      </c>
      <c r="AN12" s="16">
        <v>66.18</v>
      </c>
      <c r="AO12" s="16">
        <f>AN$34/AM12</f>
        <v>66.18128867855843</v>
      </c>
      <c r="AP12" s="4">
        <v>66.38</v>
      </c>
      <c r="AQ12" s="4">
        <v>2.2182</v>
      </c>
      <c r="AR12" s="16">
        <v>65.87</v>
      </c>
      <c r="AS12" s="16">
        <f>AR$34/AQ12</f>
        <v>65.86872238752142</v>
      </c>
      <c r="AT12" s="4">
        <v>66.27</v>
      </c>
      <c r="AU12" s="4">
        <v>2.221</v>
      </c>
      <c r="AV12" s="16">
        <v>65.79</v>
      </c>
      <c r="AW12" s="16">
        <f>AV$34/AU12</f>
        <v>65.79468707789283</v>
      </c>
      <c r="AX12" s="4">
        <v>66.27</v>
      </c>
      <c r="AY12" s="4">
        <v>2.2112</v>
      </c>
      <c r="AZ12" s="16">
        <v>66.08</v>
      </c>
      <c r="BA12" s="16">
        <f>AZ$34/AY12</f>
        <v>66.0772431259045</v>
      </c>
      <c r="BB12" s="4">
        <v>66.3</v>
      </c>
      <c r="BC12" s="4">
        <v>2.1828</v>
      </c>
      <c r="BD12" s="16">
        <v>66.5</v>
      </c>
      <c r="BE12" s="16">
        <f>BD$34/BC12</f>
        <v>66.49715961150817</v>
      </c>
      <c r="BF12" s="4">
        <v>66.45</v>
      </c>
      <c r="BG12" s="4">
        <v>2.1739</v>
      </c>
      <c r="BH12" s="16">
        <v>66.67</v>
      </c>
      <c r="BI12" s="16">
        <f>BH$34/BG12</f>
        <v>66.67280003680021</v>
      </c>
      <c r="BJ12" s="4">
        <v>66.6</v>
      </c>
      <c r="BK12" s="4">
        <v>2.1734</v>
      </c>
      <c r="BL12" s="16">
        <v>66.74</v>
      </c>
      <c r="BM12" s="16">
        <f>BL$34/BK12</f>
        <v>66.73875034508144</v>
      </c>
      <c r="BN12" s="4">
        <v>66.55</v>
      </c>
      <c r="BO12" s="4">
        <v>2.1804</v>
      </c>
      <c r="BP12" s="16">
        <v>66.59</v>
      </c>
      <c r="BQ12" s="16">
        <f>BP$34/BO12</f>
        <v>66.59328563566318</v>
      </c>
      <c r="BR12" s="4">
        <v>66.5</v>
      </c>
      <c r="BS12" s="4">
        <v>2.1809</v>
      </c>
      <c r="BT12" s="16">
        <v>66.48</v>
      </c>
      <c r="BU12" s="16">
        <f>BT$34/BS12</f>
        <v>66.48172772708516</v>
      </c>
      <c r="BV12" s="4">
        <v>66.55</v>
      </c>
      <c r="BW12" s="4">
        <v>2.1802</v>
      </c>
      <c r="BX12" s="16">
        <v>66.43</v>
      </c>
      <c r="BY12" s="16">
        <f>BX$34/BW12</f>
        <v>66.42509861480598</v>
      </c>
      <c r="BZ12" s="4">
        <v>66.58</v>
      </c>
      <c r="CA12" s="4">
        <v>2.1956</v>
      </c>
      <c r="CB12" s="16">
        <v>66.05</v>
      </c>
      <c r="CC12" s="16">
        <f>CB$34/CA12</f>
        <v>66.0457278192749</v>
      </c>
      <c r="CD12" s="4">
        <v>66.35</v>
      </c>
      <c r="CE12" s="4">
        <f aca="true" t="shared" si="0" ref="CE12:CE34">(+C12+G12+K12+O12+S12+W12+AA12+AE12+AI12+AM12+AQ12+AU12+AY12+BC12+BG12+BK12+BO12+BS12+BW12+CA12)/20</f>
        <v>2.1898050000000002</v>
      </c>
      <c r="CF12" s="90">
        <f aca="true" t="shared" si="1" ref="CF12:CH27">(+D12+H12+L12+P12+T12+X12+AB12+AF12+AJ12+AN12+AR12+AV12+AZ12+BD12+BH12+BL12+BP12+BT12+BX12+CB12)/20</f>
        <v>66.43799999999999</v>
      </c>
      <c r="CG12" s="90">
        <f t="shared" si="1"/>
        <v>66.43841058049217</v>
      </c>
      <c r="CH12" s="4">
        <f t="shared" si="1"/>
        <v>66.47049999999999</v>
      </c>
      <c r="CI12" s="23"/>
      <c r="CJ12" s="42"/>
      <c r="CK12" s="42"/>
      <c r="CL12" s="23"/>
      <c r="CM12" s="21"/>
    </row>
    <row r="13" spans="1:91" ht="12.75">
      <c r="A13" s="26">
        <v>2</v>
      </c>
      <c r="B13" s="27" t="s">
        <v>39</v>
      </c>
      <c r="C13" s="4">
        <v>126.33</v>
      </c>
      <c r="D13" s="16">
        <v>116.1</v>
      </c>
      <c r="E13" s="16">
        <f>D$34/C13*100</f>
        <v>116.10068867252434</v>
      </c>
      <c r="F13" s="4"/>
      <c r="G13" s="4">
        <v>125.72</v>
      </c>
      <c r="H13" s="16">
        <v>116.52</v>
      </c>
      <c r="I13" s="16">
        <f>H$34/G13*100</f>
        <v>116.52083996181992</v>
      </c>
      <c r="J13" s="4"/>
      <c r="K13" s="4">
        <v>124.94</v>
      </c>
      <c r="L13" s="16">
        <v>116.2</v>
      </c>
      <c r="M13" s="16">
        <f>L$34/K13*100</f>
        <v>116.19977589242838</v>
      </c>
      <c r="N13" s="4"/>
      <c r="O13" s="4">
        <v>124.04</v>
      </c>
      <c r="P13" s="16">
        <v>116.6</v>
      </c>
      <c r="Q13" s="16">
        <f>P$34/O13*100</f>
        <v>116.59948403740728</v>
      </c>
      <c r="R13" s="4"/>
      <c r="S13" s="4">
        <v>124.21</v>
      </c>
      <c r="T13" s="16">
        <v>116.61</v>
      </c>
      <c r="U13" s="16">
        <f>T$34/S13*100</f>
        <v>116.6089686820707</v>
      </c>
      <c r="V13" s="4"/>
      <c r="W13" s="4">
        <v>124.84</v>
      </c>
      <c r="X13" s="16">
        <v>116.32</v>
      </c>
      <c r="Y13" s="16">
        <f>X$34/W13*100</f>
        <v>116.3168856135854</v>
      </c>
      <c r="Z13" s="4"/>
      <c r="AA13" s="4">
        <v>124.57</v>
      </c>
      <c r="AB13" s="16">
        <v>116.94</v>
      </c>
      <c r="AC13" s="16">
        <f>AB$34/AA13*100</f>
        <v>116.93826764068396</v>
      </c>
      <c r="AD13" s="4"/>
      <c r="AE13" s="4">
        <v>123.96</v>
      </c>
      <c r="AF13" s="16">
        <v>117.92</v>
      </c>
      <c r="AG13" s="16">
        <f>AF$34/AE13*100</f>
        <v>117.91707002258794</v>
      </c>
      <c r="AH13" s="4"/>
      <c r="AI13" s="4">
        <v>123.44</v>
      </c>
      <c r="AJ13" s="16">
        <v>118.14</v>
      </c>
      <c r="AK13" s="16">
        <f>AJ$34/AI13*100</f>
        <v>118.14646791963708</v>
      </c>
      <c r="AL13" s="4"/>
      <c r="AM13" s="4">
        <v>124.11</v>
      </c>
      <c r="AN13" s="16">
        <v>117.19</v>
      </c>
      <c r="AO13" s="16">
        <f>AN$34/AM13*100</f>
        <v>117.18636693255982</v>
      </c>
      <c r="AP13" s="4"/>
      <c r="AQ13" s="4">
        <v>123.63</v>
      </c>
      <c r="AR13" s="16">
        <v>118.18</v>
      </c>
      <c r="AS13" s="16">
        <f>AR$34/AQ13*100</f>
        <v>118.18328884574942</v>
      </c>
      <c r="AT13" s="4"/>
      <c r="AU13" s="4">
        <v>122.37</v>
      </c>
      <c r="AV13" s="16">
        <v>119.42</v>
      </c>
      <c r="AW13" s="16">
        <f>AV$34/AU13*100</f>
        <v>119.41652365775926</v>
      </c>
      <c r="AX13" s="4"/>
      <c r="AY13" s="4">
        <v>121.63</v>
      </c>
      <c r="AZ13" s="16">
        <v>120.13</v>
      </c>
      <c r="BA13" s="16">
        <f>AZ$34/AY13*100</f>
        <v>120.1266134999589</v>
      </c>
      <c r="BB13" s="4"/>
      <c r="BC13" s="4">
        <v>122.51</v>
      </c>
      <c r="BD13" s="16">
        <v>118.48</v>
      </c>
      <c r="BE13" s="16">
        <f>BD$34/BC13*100</f>
        <v>118.48012407150436</v>
      </c>
      <c r="BF13" s="4"/>
      <c r="BG13" s="4">
        <v>121.94</v>
      </c>
      <c r="BH13" s="16">
        <v>118.86</v>
      </c>
      <c r="BI13" s="16">
        <f>BH$34/BG13*100</f>
        <v>118.86173527964571</v>
      </c>
      <c r="BJ13" s="4"/>
      <c r="BK13" s="4">
        <v>122.07</v>
      </c>
      <c r="BL13" s="16">
        <v>118.82</v>
      </c>
      <c r="BM13" s="16">
        <f>BL$34/BK13*100</f>
        <v>118.82526419267634</v>
      </c>
      <c r="BN13" s="4"/>
      <c r="BO13" s="4">
        <v>122.05</v>
      </c>
      <c r="BP13" s="16">
        <v>118.97</v>
      </c>
      <c r="BQ13" s="16">
        <f>BP$34/BO13*100</f>
        <v>118.9676362146661</v>
      </c>
      <c r="BR13" s="4"/>
      <c r="BS13" s="4">
        <v>122.31</v>
      </c>
      <c r="BT13" s="16">
        <v>118.54</v>
      </c>
      <c r="BU13" s="16">
        <f>BT$34/BS13*100</f>
        <v>118.5430463576159</v>
      </c>
      <c r="BV13" s="4"/>
      <c r="BW13" s="4">
        <v>123.735</v>
      </c>
      <c r="BX13" s="16">
        <v>117.04</v>
      </c>
      <c r="BY13" s="16">
        <f>BX$34/BW13*100</f>
        <v>117.04044934739564</v>
      </c>
      <c r="BZ13" s="4"/>
      <c r="CA13" s="4">
        <v>123.82</v>
      </c>
      <c r="CB13" s="16">
        <v>117.11</v>
      </c>
      <c r="CC13" s="16">
        <f>CB$34/CA13*100</f>
        <v>117.11355193022128</v>
      </c>
      <c r="CD13" s="4"/>
      <c r="CE13" s="4">
        <f t="shared" si="0"/>
        <v>123.61125000000001</v>
      </c>
      <c r="CF13" s="90">
        <f t="shared" si="1"/>
        <v>117.70450000000001</v>
      </c>
      <c r="CG13" s="90">
        <f t="shared" si="1"/>
        <v>117.70465243862486</v>
      </c>
      <c r="CH13" s="4"/>
      <c r="CI13" s="23"/>
      <c r="CJ13" s="42"/>
      <c r="CK13" s="42"/>
      <c r="CL13" s="23"/>
      <c r="CM13" s="21"/>
    </row>
    <row r="14" spans="1:91" ht="12.75">
      <c r="A14" s="26">
        <v>3</v>
      </c>
      <c r="B14" s="27" t="s">
        <v>40</v>
      </c>
      <c r="C14" s="4">
        <f>1/1.422</f>
        <v>0.7032348804500703</v>
      </c>
      <c r="D14" s="16">
        <v>208.57</v>
      </c>
      <c r="E14" s="16">
        <f>D$34/C14</f>
        <v>208.56473999999997</v>
      </c>
      <c r="F14" s="4"/>
      <c r="G14" s="4">
        <f>1/1.425</f>
        <v>0.7017543859649122</v>
      </c>
      <c r="H14" s="16">
        <v>208.75</v>
      </c>
      <c r="I14" s="16">
        <f>H$34/G14</f>
        <v>208.74825</v>
      </c>
      <c r="J14" s="4"/>
      <c r="K14" s="4">
        <f>1/1.432</f>
        <v>0.6983240223463687</v>
      </c>
      <c r="L14" s="16">
        <v>207.9</v>
      </c>
      <c r="M14" s="16">
        <f>L$34/K14</f>
        <v>207.89776</v>
      </c>
      <c r="N14" s="4"/>
      <c r="O14" s="4">
        <f>1/1.4364</f>
        <v>0.6961849067112226</v>
      </c>
      <c r="P14" s="16">
        <v>207.75</v>
      </c>
      <c r="Q14" s="16">
        <f>P$34/O14</f>
        <v>207.74653199999997</v>
      </c>
      <c r="R14" s="4"/>
      <c r="S14" s="4">
        <f>1/1.434</f>
        <v>0.697350069735007</v>
      </c>
      <c r="T14" s="16">
        <v>207.7</v>
      </c>
      <c r="U14" s="16">
        <f>T$34/S14</f>
        <v>207.70056</v>
      </c>
      <c r="V14" s="4"/>
      <c r="W14" s="4">
        <f>1/1.4419</f>
        <v>0.6935293709688606</v>
      </c>
      <c r="X14" s="16">
        <v>209.38</v>
      </c>
      <c r="Y14" s="16">
        <f>X$34/W14</f>
        <v>209.378299</v>
      </c>
      <c r="Z14" s="4"/>
      <c r="AA14" s="4">
        <f>1/1.4448</f>
        <v>0.6921373200442967</v>
      </c>
      <c r="AB14" s="16">
        <v>210.47</v>
      </c>
      <c r="AC14" s="16">
        <f>AB$34/AA14</f>
        <v>210.464016</v>
      </c>
      <c r="AD14" s="4"/>
      <c r="AE14" s="4">
        <f>1/1.4335</f>
        <v>0.6975933031042902</v>
      </c>
      <c r="AF14" s="16">
        <v>209.54</v>
      </c>
      <c r="AG14" s="16">
        <f>AF$34/AE14</f>
        <v>209.53469499999997</v>
      </c>
      <c r="AH14" s="4"/>
      <c r="AI14" s="4">
        <f>1/1.4377</f>
        <v>0.6955554009876886</v>
      </c>
      <c r="AJ14" s="16">
        <v>209.67</v>
      </c>
      <c r="AK14" s="16">
        <f>AJ$34/AI14</f>
        <v>209.674168</v>
      </c>
      <c r="AL14" s="4"/>
      <c r="AM14" s="4">
        <f>1/1.437</f>
        <v>0.6958942240779401</v>
      </c>
      <c r="AN14" s="16">
        <v>209</v>
      </c>
      <c r="AO14" s="16">
        <f>AN$34/AM14</f>
        <v>208.99728000000002</v>
      </c>
      <c r="AP14" s="4"/>
      <c r="AQ14" s="4">
        <f>1/1.4302</f>
        <v>0.6992029086841002</v>
      </c>
      <c r="AR14" s="16">
        <v>208.97</v>
      </c>
      <c r="AS14" s="16">
        <f>AR$34/AQ14</f>
        <v>208.966522</v>
      </c>
      <c r="AT14" s="4"/>
      <c r="AU14" s="4">
        <f>1/1.4247</f>
        <v>0.7019021548396153</v>
      </c>
      <c r="AV14" s="16">
        <v>208.19</v>
      </c>
      <c r="AW14" s="16">
        <f>AV$34/AU14</f>
        <v>208.19141100000002</v>
      </c>
      <c r="AX14" s="4"/>
      <c r="AY14" s="4">
        <f>1/1.4321</f>
        <v>0.6982752601075344</v>
      </c>
      <c r="AZ14" s="16">
        <v>209.25</v>
      </c>
      <c r="BA14" s="16">
        <f>AZ$34/AY14</f>
        <v>209.244131</v>
      </c>
      <c r="BB14" s="4"/>
      <c r="BC14" s="4">
        <f>1/1.4376</f>
        <v>0.6956037840845855</v>
      </c>
      <c r="BD14" s="16">
        <v>208.67</v>
      </c>
      <c r="BE14" s="16">
        <f>BD$34/BC14</f>
        <v>208.66764</v>
      </c>
      <c r="BF14" s="4"/>
      <c r="BG14" s="4">
        <f>1/1.442</f>
        <v>0.6934812760055479</v>
      </c>
      <c r="BH14" s="16">
        <v>209</v>
      </c>
      <c r="BI14" s="16">
        <f>BH$34/BG14</f>
        <v>209.00348</v>
      </c>
      <c r="BJ14" s="4"/>
      <c r="BK14" s="4">
        <f>1/1.443</f>
        <v>0.693000693000693</v>
      </c>
      <c r="BL14" s="16">
        <v>209.3</v>
      </c>
      <c r="BM14" s="16">
        <f>BL$34/BK14</f>
        <v>209.30715</v>
      </c>
      <c r="BN14" s="4"/>
      <c r="BO14" s="4">
        <f>1/1.4398</f>
        <v>0.6945409084595083</v>
      </c>
      <c r="BP14" s="16">
        <v>209.06</v>
      </c>
      <c r="BQ14" s="16">
        <f>BP$34/BO14</f>
        <v>209.05895999999996</v>
      </c>
      <c r="BR14" s="4"/>
      <c r="BS14" s="4">
        <f>1/1.4399</f>
        <v>0.6944926731022988</v>
      </c>
      <c r="BT14" s="16">
        <v>208.77</v>
      </c>
      <c r="BU14" s="16">
        <f>BT$34/BS14</f>
        <v>208.77110100000002</v>
      </c>
      <c r="BV14" s="4"/>
      <c r="BW14" s="4">
        <f>1/1.4385</f>
        <v>0.6951685783802573</v>
      </c>
      <c r="BX14" s="16">
        <v>208.32</v>
      </c>
      <c r="BY14" s="16">
        <f>BX$34/BW14</f>
        <v>208.32357</v>
      </c>
      <c r="BZ14" s="4"/>
      <c r="CA14" s="4">
        <f>1/1.4365</f>
        <v>0.6961364427427775</v>
      </c>
      <c r="CB14" s="16">
        <v>208.31</v>
      </c>
      <c r="CC14" s="16">
        <f>CB$34/CA14</f>
        <v>208.30686500000002</v>
      </c>
      <c r="CD14" s="4"/>
      <c r="CE14" s="4">
        <f t="shared" si="0"/>
        <v>0.6966681281898788</v>
      </c>
      <c r="CF14" s="90">
        <f t="shared" si="1"/>
        <v>208.82850000000002</v>
      </c>
      <c r="CG14" s="90">
        <f t="shared" si="1"/>
        <v>208.8273565</v>
      </c>
      <c r="CH14" s="4"/>
      <c r="CI14" s="23"/>
      <c r="CJ14" s="42"/>
      <c r="CK14" s="42"/>
      <c r="CL14" s="23"/>
      <c r="CM14" s="21"/>
    </row>
    <row r="15" spans="1:91" ht="12.75">
      <c r="A15" s="26">
        <v>4</v>
      </c>
      <c r="B15" s="27" t="s">
        <v>41</v>
      </c>
      <c r="C15" s="4">
        <v>1.7283</v>
      </c>
      <c r="D15" s="16">
        <v>84.87</v>
      </c>
      <c r="E15" s="16">
        <f>D$34/C15</f>
        <v>84.8637389342128</v>
      </c>
      <c r="F15" s="4"/>
      <c r="G15" s="4">
        <v>1.7231</v>
      </c>
      <c r="H15" s="16">
        <v>85.02</v>
      </c>
      <c r="I15" s="16">
        <f>H$34/G15</f>
        <v>85.0153792583135</v>
      </c>
      <c r="J15" s="4"/>
      <c r="K15" s="4">
        <v>1.6945</v>
      </c>
      <c r="L15" s="16">
        <v>85.68</v>
      </c>
      <c r="M15" s="16">
        <f>L$34/K15</f>
        <v>85.6771909117734</v>
      </c>
      <c r="N15" s="4"/>
      <c r="O15" s="4">
        <v>1.6977</v>
      </c>
      <c r="P15" s="16">
        <v>85.19</v>
      </c>
      <c r="Q15" s="16">
        <f>P$34/O15</f>
        <v>85.19172998763032</v>
      </c>
      <c r="R15" s="4"/>
      <c r="S15" s="4">
        <v>1.6972</v>
      </c>
      <c r="T15" s="16">
        <v>85.34</v>
      </c>
      <c r="U15" s="16">
        <f>T$34/S15</f>
        <v>85.34056092387462</v>
      </c>
      <c r="V15" s="4"/>
      <c r="W15" s="4">
        <v>1.6972</v>
      </c>
      <c r="X15" s="16">
        <v>85.56</v>
      </c>
      <c r="Y15" s="16">
        <f>X$34/W15</f>
        <v>85.55856705161443</v>
      </c>
      <c r="Z15" s="4"/>
      <c r="AA15" s="4">
        <v>1.7024</v>
      </c>
      <c r="AB15" s="16">
        <v>85.57</v>
      </c>
      <c r="AC15" s="16">
        <f>AB$34/AA15</f>
        <v>85.56743421052632</v>
      </c>
      <c r="AD15" s="4"/>
      <c r="AE15" s="4">
        <v>1.7138</v>
      </c>
      <c r="AF15" s="16">
        <v>85.29</v>
      </c>
      <c r="AG15" s="16">
        <f>AF$34/AE15</f>
        <v>85.28999883300268</v>
      </c>
      <c r="AH15" s="4"/>
      <c r="AI15" s="4">
        <v>1.705</v>
      </c>
      <c r="AJ15" s="16">
        <v>85.53</v>
      </c>
      <c r="AK15" s="16">
        <f>AJ$34/AI15</f>
        <v>85.5366568914956</v>
      </c>
      <c r="AL15" s="4"/>
      <c r="AM15" s="4">
        <v>1.7098</v>
      </c>
      <c r="AN15" s="16">
        <v>85.06</v>
      </c>
      <c r="AO15" s="16">
        <f>AN$34/AM15</f>
        <v>85.06258041876242</v>
      </c>
      <c r="AP15" s="4"/>
      <c r="AQ15" s="4">
        <v>1.7287</v>
      </c>
      <c r="AR15" s="16">
        <v>84.52</v>
      </c>
      <c r="AS15" s="16">
        <f>AR$34/AQ15</f>
        <v>84.52015965754615</v>
      </c>
      <c r="AT15" s="4"/>
      <c r="AU15" s="4">
        <v>1.7405</v>
      </c>
      <c r="AV15" s="16">
        <v>83.96</v>
      </c>
      <c r="AW15" s="16">
        <f>AV$34/AU15</f>
        <v>83.95863257684573</v>
      </c>
      <c r="AX15" s="4"/>
      <c r="AY15" s="4">
        <v>1.7289</v>
      </c>
      <c r="AZ15" s="16">
        <v>84.51</v>
      </c>
      <c r="BA15" s="16">
        <f>AZ$34/AY15</f>
        <v>84.51038232402105</v>
      </c>
      <c r="BB15" s="4"/>
      <c r="BC15" s="4">
        <v>1.7064</v>
      </c>
      <c r="BD15" s="16">
        <v>85.06</v>
      </c>
      <c r="BE15" s="16">
        <f>BD$34/BC15</f>
        <v>85.06211908110643</v>
      </c>
      <c r="BF15" s="4"/>
      <c r="BG15" s="4">
        <v>1.7008</v>
      </c>
      <c r="BH15" s="16">
        <v>85.22</v>
      </c>
      <c r="BI15" s="16">
        <f>BH$34/BG15</f>
        <v>85.21872060206961</v>
      </c>
      <c r="BJ15" s="4"/>
      <c r="BK15" s="4">
        <v>1.6998</v>
      </c>
      <c r="BL15" s="16">
        <v>85.33</v>
      </c>
      <c r="BM15" s="16">
        <f>BL$34/BK15</f>
        <v>85.3335686551359</v>
      </c>
      <c r="BN15" s="4"/>
      <c r="BO15" s="4">
        <v>1.7069</v>
      </c>
      <c r="BP15" s="16">
        <v>85.07</v>
      </c>
      <c r="BQ15" s="16">
        <f>BP$34/BO15</f>
        <v>85.06649481516197</v>
      </c>
      <c r="BR15" s="4"/>
      <c r="BS15" s="4">
        <v>1.7074</v>
      </c>
      <c r="BT15" s="16">
        <v>84.92</v>
      </c>
      <c r="BU15" s="16">
        <f>BT$34/BS15</f>
        <v>84.91858966850182</v>
      </c>
      <c r="BV15" s="4"/>
      <c r="BW15" s="4">
        <v>1.7153</v>
      </c>
      <c r="BX15" s="16">
        <v>84.43</v>
      </c>
      <c r="BY15" s="16">
        <f>BX$34/BW15</f>
        <v>84.42837987524048</v>
      </c>
      <c r="BZ15" s="4"/>
      <c r="CA15" s="4">
        <v>1.725</v>
      </c>
      <c r="CB15" s="16">
        <v>84.06</v>
      </c>
      <c r="CC15" s="16">
        <f>CB$34/CA15</f>
        <v>84.06376811594203</v>
      </c>
      <c r="CD15" s="4"/>
      <c r="CE15" s="4">
        <f t="shared" si="0"/>
        <v>1.7114350000000003</v>
      </c>
      <c r="CF15" s="90">
        <f t="shared" si="1"/>
        <v>85.00949999999999</v>
      </c>
      <c r="CG15" s="90">
        <f t="shared" si="1"/>
        <v>85.00923263963887</v>
      </c>
      <c r="CH15" s="4"/>
      <c r="CI15" s="23"/>
      <c r="CJ15" s="42"/>
      <c r="CK15" s="42"/>
      <c r="CL15" s="23"/>
      <c r="CM15" s="21"/>
    </row>
    <row r="16" spans="1:91" ht="12.75">
      <c r="A16" s="26">
        <v>5</v>
      </c>
      <c r="B16" s="27" t="s">
        <v>42</v>
      </c>
      <c r="C16" s="4">
        <v>7.4296</v>
      </c>
      <c r="D16" s="16">
        <v>19.74</v>
      </c>
      <c r="E16" s="16">
        <f>D$34/C16</f>
        <v>19.74130505006999</v>
      </c>
      <c r="F16" s="4"/>
      <c r="G16" s="4">
        <v>7.4011</v>
      </c>
      <c r="H16" s="16">
        <v>19.79</v>
      </c>
      <c r="I16" s="16">
        <f>H$34/G16</f>
        <v>19.7930037426869</v>
      </c>
      <c r="J16" s="4"/>
      <c r="K16" s="4">
        <v>7.2787</v>
      </c>
      <c r="L16" s="16">
        <v>19.95</v>
      </c>
      <c r="M16" s="16">
        <f>L$34/K16</f>
        <v>19.94586945471032</v>
      </c>
      <c r="N16" s="4"/>
      <c r="O16" s="4">
        <v>7.2852</v>
      </c>
      <c r="P16" s="16">
        <v>19.85</v>
      </c>
      <c r="Q16" s="16">
        <f>P$34/O16</f>
        <v>19.852577829023225</v>
      </c>
      <c r="R16" s="4"/>
      <c r="S16" s="4">
        <v>7.2836</v>
      </c>
      <c r="T16" s="16">
        <v>19.89</v>
      </c>
      <c r="U16" s="16">
        <f>T$34/S16</f>
        <v>19.885770772694823</v>
      </c>
      <c r="V16" s="4"/>
      <c r="W16" s="4">
        <v>7.2827</v>
      </c>
      <c r="X16" s="16">
        <v>19.94</v>
      </c>
      <c r="Y16" s="16">
        <f>X$34/W16</f>
        <v>19.939033600175758</v>
      </c>
      <c r="Z16" s="4"/>
      <c r="AA16" s="4">
        <v>7.3103</v>
      </c>
      <c r="AB16" s="16">
        <v>19.93</v>
      </c>
      <c r="AC16" s="16">
        <f>AB$34/AA16</f>
        <v>19.926678795671858</v>
      </c>
      <c r="AD16" s="4"/>
      <c r="AE16" s="4">
        <v>7.3744</v>
      </c>
      <c r="AF16" s="16">
        <v>19.82</v>
      </c>
      <c r="AG16" s="16">
        <f>AF$34/AE16</f>
        <v>19.821273595139942</v>
      </c>
      <c r="AH16" s="4"/>
      <c r="AI16" s="4">
        <v>7.3612</v>
      </c>
      <c r="AJ16" s="16">
        <v>19.81</v>
      </c>
      <c r="AK16" s="16">
        <f>AJ$34/AI16</f>
        <v>19.811987176003914</v>
      </c>
      <c r="AL16" s="4"/>
      <c r="AM16" s="4">
        <v>7.3703</v>
      </c>
      <c r="AN16" s="16">
        <v>19.73</v>
      </c>
      <c r="AO16" s="16">
        <f>AN$34/AM16</f>
        <v>19.733253734583393</v>
      </c>
      <c r="AP16" s="4"/>
      <c r="AQ16" s="4">
        <v>7.4397</v>
      </c>
      <c r="AR16" s="16">
        <v>19.64</v>
      </c>
      <c r="AS16" s="16">
        <f>AR$34/AQ16</f>
        <v>19.63923276476202</v>
      </c>
      <c r="AT16" s="4"/>
      <c r="AU16" s="4">
        <v>7.449</v>
      </c>
      <c r="AV16" s="16">
        <v>19.62</v>
      </c>
      <c r="AW16" s="16">
        <f>AV$34/AU16</f>
        <v>19.617398308497783</v>
      </c>
      <c r="AX16" s="4"/>
      <c r="AY16" s="4">
        <v>7.4161</v>
      </c>
      <c r="AZ16" s="16">
        <v>19.7</v>
      </c>
      <c r="BA16" s="16">
        <f>AZ$34/AY16</f>
        <v>19.701730019821742</v>
      </c>
      <c r="BB16" s="4"/>
      <c r="BC16" s="4">
        <v>7.3209</v>
      </c>
      <c r="BD16" s="16">
        <v>19.83</v>
      </c>
      <c r="BE16" s="16">
        <f>BD$34/BC16</f>
        <v>19.826797251704026</v>
      </c>
      <c r="BF16" s="4"/>
      <c r="BG16" s="4">
        <v>7.2908</v>
      </c>
      <c r="BH16" s="16">
        <v>19.88</v>
      </c>
      <c r="BI16" s="16">
        <f>BH$34/BG16</f>
        <v>19.879848576287923</v>
      </c>
      <c r="BJ16" s="4"/>
      <c r="BK16" s="4">
        <v>7.2892</v>
      </c>
      <c r="BL16" s="16">
        <v>19.9</v>
      </c>
      <c r="BM16" s="16">
        <f>BL$34/BK16</f>
        <v>19.899303078527137</v>
      </c>
      <c r="BN16" s="4"/>
      <c r="BO16" s="4">
        <v>7.3128</v>
      </c>
      <c r="BP16" s="16">
        <v>19.86</v>
      </c>
      <c r="BQ16" s="16">
        <f>BP$34/BO16</f>
        <v>19.855595667870034</v>
      </c>
      <c r="BR16" s="4"/>
      <c r="BS16" s="4">
        <v>7.3144</v>
      </c>
      <c r="BT16" s="16">
        <v>19.82</v>
      </c>
      <c r="BU16" s="16">
        <f>BT$34/BS16</f>
        <v>19.822541835283825</v>
      </c>
      <c r="BV16" s="4"/>
      <c r="BW16" s="4">
        <v>7.312</v>
      </c>
      <c r="BX16" s="16">
        <v>19.81</v>
      </c>
      <c r="BY16" s="16">
        <f>BX$34/BW16</f>
        <v>19.805798687089712</v>
      </c>
      <c r="BZ16" s="4"/>
      <c r="CA16" s="4">
        <v>7.3637</v>
      </c>
      <c r="CB16" s="16">
        <v>19.69</v>
      </c>
      <c r="CC16" s="16">
        <f>CB$34/CA16</f>
        <v>19.69254586688757</v>
      </c>
      <c r="CD16" s="4"/>
      <c r="CE16" s="4">
        <f t="shared" si="0"/>
        <v>7.344284999999999</v>
      </c>
      <c r="CF16" s="90">
        <f t="shared" si="1"/>
        <v>19.809999999999995</v>
      </c>
      <c r="CG16" s="90">
        <f t="shared" si="1"/>
        <v>19.809577290374598</v>
      </c>
      <c r="CH16" s="4"/>
      <c r="CI16" s="23"/>
      <c r="CJ16" s="42"/>
      <c r="CK16" s="42"/>
      <c r="CL16" s="23"/>
      <c r="CM16" s="21"/>
    </row>
    <row r="17" spans="1:91" ht="12.75">
      <c r="A17" s="26">
        <v>6</v>
      </c>
      <c r="B17" s="27" t="s">
        <v>43</v>
      </c>
      <c r="C17" s="4">
        <v>2.496</v>
      </c>
      <c r="D17" s="16">
        <v>58.76</v>
      </c>
      <c r="E17" s="16">
        <f>D$34/C17</f>
        <v>58.762019230769226</v>
      </c>
      <c r="F17" s="4"/>
      <c r="G17" s="4">
        <v>2.4864</v>
      </c>
      <c r="H17" s="16">
        <v>58.92</v>
      </c>
      <c r="I17" s="16">
        <f>H$34/G17</f>
        <v>58.91650579150579</v>
      </c>
      <c r="J17" s="4"/>
      <c r="K17" s="4">
        <v>2.4453</v>
      </c>
      <c r="L17" s="16">
        <v>59.37</v>
      </c>
      <c r="M17" s="16">
        <f>L$34/K17</f>
        <v>59.37103831840674</v>
      </c>
      <c r="N17" s="4"/>
      <c r="O17" s="4">
        <v>2.4475</v>
      </c>
      <c r="P17" s="16">
        <v>59.09</v>
      </c>
      <c r="Q17" s="16">
        <f>P$34/O17</f>
        <v>59.0929519918284</v>
      </c>
      <c r="R17" s="4"/>
      <c r="S17" s="4">
        <v>2.4469</v>
      </c>
      <c r="T17" s="16">
        <v>59.19</v>
      </c>
      <c r="U17" s="16">
        <f>T$34/S17</f>
        <v>59.19326494748458</v>
      </c>
      <c r="V17" s="4"/>
      <c r="W17" s="4">
        <v>2.4467</v>
      </c>
      <c r="X17" s="16">
        <v>59.35</v>
      </c>
      <c r="Y17" s="16">
        <f>X$34/W17</f>
        <v>59.349327665835624</v>
      </c>
      <c r="Z17" s="4"/>
      <c r="AA17" s="4">
        <v>2.4559</v>
      </c>
      <c r="AB17" s="16">
        <v>59.31</v>
      </c>
      <c r="AC17" s="16">
        <f>AB$34/AA17</f>
        <v>59.31430432835212</v>
      </c>
      <c r="AD17" s="4"/>
      <c r="AE17" s="4">
        <v>2.4775</v>
      </c>
      <c r="AF17" s="16">
        <v>59</v>
      </c>
      <c r="AG17" s="16">
        <f>AF$34/AE17</f>
        <v>58.998990918264376</v>
      </c>
      <c r="AH17" s="4"/>
      <c r="AI17" s="4">
        <v>2.473</v>
      </c>
      <c r="AJ17" s="16">
        <v>58.97</v>
      </c>
      <c r="AK17" s="16">
        <f>AJ$34/AI17</f>
        <v>58.97290739991913</v>
      </c>
      <c r="AL17" s="4"/>
      <c r="AM17" s="4">
        <v>2.4761</v>
      </c>
      <c r="AN17" s="16">
        <v>58.74</v>
      </c>
      <c r="AO17" s="16">
        <f>AN$34/AM17</f>
        <v>58.7375307943944</v>
      </c>
      <c r="AP17" s="4"/>
      <c r="AQ17" s="4">
        <v>2.4994</v>
      </c>
      <c r="AR17" s="16">
        <v>58.46</v>
      </c>
      <c r="AS17" s="16">
        <f>AR$34/AQ17</f>
        <v>58.45802992718253</v>
      </c>
      <c r="AT17" s="4"/>
      <c r="AU17" s="4">
        <v>2.5025</v>
      </c>
      <c r="AV17" s="16">
        <v>58.39</v>
      </c>
      <c r="AW17" s="16">
        <f>AV$34/AU17</f>
        <v>58.39360639360639</v>
      </c>
      <c r="AX17" s="4"/>
      <c r="AY17" s="4">
        <v>2.4915</v>
      </c>
      <c r="AZ17" s="16">
        <v>58.64</v>
      </c>
      <c r="BA17" s="16">
        <f>AZ$34/AY17</f>
        <v>58.64338751755971</v>
      </c>
      <c r="BB17" s="4"/>
      <c r="BC17" s="4">
        <v>2.4595</v>
      </c>
      <c r="BD17" s="16">
        <v>59.02</v>
      </c>
      <c r="BE17" s="16">
        <f>BD$34/BC17</f>
        <v>59.01606017483229</v>
      </c>
      <c r="BF17" s="4"/>
      <c r="BG17" s="4">
        <v>2.4494</v>
      </c>
      <c r="BH17" s="16">
        <v>59.17</v>
      </c>
      <c r="BI17" s="16">
        <f>BH$34/BG17</f>
        <v>59.173675185759784</v>
      </c>
      <c r="BJ17" s="4"/>
      <c r="BK17" s="4">
        <v>2.4488</v>
      </c>
      <c r="BL17" s="16">
        <v>59.23</v>
      </c>
      <c r="BM17" s="16">
        <f>BL$34/BK17</f>
        <v>59.23309376020909</v>
      </c>
      <c r="BN17" s="4"/>
      <c r="BO17" s="4">
        <v>2.4568</v>
      </c>
      <c r="BP17" s="16">
        <v>59.1</v>
      </c>
      <c r="BQ17" s="16">
        <f>BP$34/BO17</f>
        <v>59.101269944643434</v>
      </c>
      <c r="BR17" s="4"/>
      <c r="BS17" s="4">
        <v>2.4573</v>
      </c>
      <c r="BT17" s="16">
        <v>59</v>
      </c>
      <c r="BU17" s="16">
        <f>BT$34/BS17</f>
        <v>59.00378464167989</v>
      </c>
      <c r="BV17" s="4"/>
      <c r="BW17" s="4">
        <v>2.4565</v>
      </c>
      <c r="BX17" s="16">
        <v>58.95</v>
      </c>
      <c r="BY17" s="16">
        <f>BX$34/BW17</f>
        <v>58.953796051292485</v>
      </c>
      <c r="BZ17" s="4"/>
      <c r="CA17" s="4">
        <v>2.4739</v>
      </c>
      <c r="CB17" s="16">
        <v>58.62</v>
      </c>
      <c r="CC17" s="16">
        <f>CB$34/CA17</f>
        <v>58.615950523464974</v>
      </c>
      <c r="CD17" s="4"/>
      <c r="CE17" s="4">
        <f t="shared" si="0"/>
        <v>2.467345</v>
      </c>
      <c r="CF17" s="90">
        <f t="shared" si="1"/>
        <v>58.964</v>
      </c>
      <c r="CG17" s="90">
        <f t="shared" si="1"/>
        <v>58.96507477534956</v>
      </c>
      <c r="CH17" s="4"/>
      <c r="CI17" s="23"/>
      <c r="CJ17" s="42"/>
      <c r="CK17" s="42"/>
      <c r="CL17" s="23"/>
      <c r="CM17" s="21"/>
    </row>
    <row r="18" spans="1:91" ht="12.75">
      <c r="A18" s="26">
        <v>7</v>
      </c>
      <c r="B18" s="27" t="s">
        <v>44</v>
      </c>
      <c r="C18" s="4">
        <v>2193.0796</v>
      </c>
      <c r="D18" s="16">
        <v>66.88</v>
      </c>
      <c r="E18" s="16">
        <f>D$34/C18*1000</f>
        <v>66.87855744041391</v>
      </c>
      <c r="F18" s="4">
        <v>66.8</v>
      </c>
      <c r="G18" s="4">
        <v>2184.666</v>
      </c>
      <c r="H18" s="16">
        <v>67.05</v>
      </c>
      <c r="I18" s="16">
        <f>H$34/G18*1000</f>
        <v>67.05372812136959</v>
      </c>
      <c r="J18" s="4">
        <v>66.98</v>
      </c>
      <c r="K18" s="4">
        <v>2148.5464</v>
      </c>
      <c r="L18" s="16">
        <v>67.57</v>
      </c>
      <c r="M18" s="16">
        <f>L$34/K18*1000</f>
        <v>67.57126585676717</v>
      </c>
      <c r="N18" s="4">
        <v>67.2</v>
      </c>
      <c r="O18" s="4">
        <v>2150.4554</v>
      </c>
      <c r="P18" s="16">
        <v>67.26</v>
      </c>
      <c r="Q18" s="16">
        <f>P$34/O18*1000</f>
        <v>67.2555217838975</v>
      </c>
      <c r="R18" s="4">
        <v>67.2</v>
      </c>
      <c r="S18" s="4">
        <v>2149.9778</v>
      </c>
      <c r="T18" s="16">
        <v>67.37</v>
      </c>
      <c r="U18" s="16">
        <f>T$34/S18*1000</f>
        <v>67.36813747565206</v>
      </c>
      <c r="V18" s="4">
        <v>67.14</v>
      </c>
      <c r="W18" s="4">
        <v>2149.7391</v>
      </c>
      <c r="X18" s="16">
        <v>67.55</v>
      </c>
      <c r="Y18" s="16">
        <f>X$34/W18*1000</f>
        <v>67.54773172242157</v>
      </c>
      <c r="Z18" s="4">
        <v>67.22</v>
      </c>
      <c r="AA18" s="4">
        <v>2157.8848</v>
      </c>
      <c r="AB18" s="16">
        <v>67.51</v>
      </c>
      <c r="AC18" s="16">
        <f>AB$34/AA18*1000</f>
        <v>67.50592061262955</v>
      </c>
      <c r="AD18" s="4">
        <v>67.16</v>
      </c>
      <c r="AE18" s="4">
        <v>2176.8072</v>
      </c>
      <c r="AF18" s="16">
        <v>67.15</v>
      </c>
      <c r="AG18" s="16">
        <f>AF$34/AE18*1000</f>
        <v>67.14880399146051</v>
      </c>
      <c r="AH18" s="4">
        <v>67.07</v>
      </c>
      <c r="AI18" s="4">
        <v>2172.8987</v>
      </c>
      <c r="AJ18" s="16">
        <v>67.12</v>
      </c>
      <c r="AK18" s="16">
        <f>AJ$34/AI18*1000</f>
        <v>67.11771699251328</v>
      </c>
      <c r="AL18" s="4">
        <v>66.98</v>
      </c>
      <c r="AM18" s="4">
        <v>2175.5843</v>
      </c>
      <c r="AN18" s="16">
        <v>66.85</v>
      </c>
      <c r="AO18" s="16">
        <f>AN$34/AM18*1000</f>
        <v>66.85100641698875</v>
      </c>
      <c r="AP18" s="4">
        <v>66.86</v>
      </c>
      <c r="AQ18" s="4">
        <v>2196.0644</v>
      </c>
      <c r="AR18" s="16">
        <v>66.53</v>
      </c>
      <c r="AS18" s="16">
        <f>AR$34/AQ18*1000</f>
        <v>66.53265723901357</v>
      </c>
      <c r="AT18" s="4">
        <v>66.74</v>
      </c>
      <c r="AU18" s="4">
        <v>2198.8076</v>
      </c>
      <c r="AV18" s="16">
        <v>66.46</v>
      </c>
      <c r="AW18" s="16">
        <f>AV$34/AU18*1000</f>
        <v>66.45874791409672</v>
      </c>
      <c r="AX18" s="4">
        <v>66.7</v>
      </c>
      <c r="AY18" s="4">
        <v>2189.1125</v>
      </c>
      <c r="AZ18" s="16">
        <v>66.74</v>
      </c>
      <c r="BA18" s="16">
        <f>AZ$34/AY18*1000</f>
        <v>66.74394303627612</v>
      </c>
      <c r="BB18" s="4">
        <v>66.7</v>
      </c>
      <c r="BC18" s="4">
        <v>2161.0156</v>
      </c>
      <c r="BD18" s="16">
        <v>67.17</v>
      </c>
      <c r="BE18" s="16">
        <f>BD$34/BC18*1000</f>
        <v>67.16749291397988</v>
      </c>
      <c r="BF18" s="4">
        <v>66.95</v>
      </c>
      <c r="BG18" s="4">
        <v>2152.1285</v>
      </c>
      <c r="BH18" s="16">
        <v>67.35</v>
      </c>
      <c r="BI18" s="16">
        <f>BH$34/BG18*1000</f>
        <v>67.34727968148744</v>
      </c>
      <c r="BJ18" s="4">
        <v>67.1</v>
      </c>
      <c r="BK18" s="4">
        <v>2151.6502</v>
      </c>
      <c r="BL18" s="16">
        <v>67.41</v>
      </c>
      <c r="BM18" s="16">
        <f>BL$34/BK18*1000</f>
        <v>67.41337416277052</v>
      </c>
      <c r="BN18" s="4">
        <v>67.05</v>
      </c>
      <c r="BO18" s="4">
        <v>2158.6065</v>
      </c>
      <c r="BP18" s="16">
        <v>67.26</v>
      </c>
      <c r="BQ18" s="16">
        <f>BP$34/BO18*1000</f>
        <v>67.26561788820705</v>
      </c>
      <c r="BR18" s="4">
        <v>67</v>
      </c>
      <c r="BS18" s="4">
        <v>2159.0879</v>
      </c>
      <c r="BT18" s="16">
        <v>67.15</v>
      </c>
      <c r="BU18" s="16">
        <f>BT$34/BS18*1000</f>
        <v>67.15335674846773</v>
      </c>
      <c r="BV18" s="4">
        <v>67</v>
      </c>
      <c r="BW18" s="4">
        <v>2158.3658</v>
      </c>
      <c r="BX18" s="16">
        <v>67.1</v>
      </c>
      <c r="BY18" s="16">
        <f>BX$34/BW18*1000</f>
        <v>67.09706019248452</v>
      </c>
      <c r="BZ18" s="4">
        <v>67.04</v>
      </c>
      <c r="CA18" s="4">
        <v>2173.6304</v>
      </c>
      <c r="CB18" s="16">
        <v>66.71</v>
      </c>
      <c r="CC18" s="16">
        <f>CB$34/CA18*1000</f>
        <v>66.71327379300547</v>
      </c>
      <c r="CD18" s="4">
        <v>66.78</v>
      </c>
      <c r="CE18" s="4">
        <f t="shared" si="0"/>
        <v>2167.9054349999997</v>
      </c>
      <c r="CF18" s="90">
        <f t="shared" si="1"/>
        <v>67.1095</v>
      </c>
      <c r="CG18" s="90">
        <f t="shared" si="1"/>
        <v>67.10955969919516</v>
      </c>
      <c r="CH18" s="4">
        <f t="shared" si="1"/>
        <v>66.9835</v>
      </c>
      <c r="CI18" s="23"/>
      <c r="CJ18" s="42"/>
      <c r="CK18" s="42"/>
      <c r="CL18" s="23"/>
      <c r="CM18" s="21"/>
    </row>
    <row r="19" spans="1:91" ht="12.75">
      <c r="A19" s="26">
        <v>8</v>
      </c>
      <c r="B19" s="27" t="s">
        <v>45</v>
      </c>
      <c r="C19" s="4">
        <v>45.6902</v>
      </c>
      <c r="D19" s="16">
        <v>3.21</v>
      </c>
      <c r="E19" s="16">
        <f>D$34/C19</f>
        <v>3.2100975701572767</v>
      </c>
      <c r="F19" s="4"/>
      <c r="G19" s="4">
        <v>45.5149</v>
      </c>
      <c r="H19" s="16">
        <v>3.22</v>
      </c>
      <c r="I19" s="16">
        <f>H$34/G19</f>
        <v>3.218506467112968</v>
      </c>
      <c r="J19" s="4"/>
      <c r="K19" s="4">
        <v>44.7624</v>
      </c>
      <c r="L19" s="16">
        <v>3.24</v>
      </c>
      <c r="M19" s="16">
        <f>L$34/K19</f>
        <v>3.2433470948832057</v>
      </c>
      <c r="N19" s="4"/>
      <c r="O19" s="4">
        <v>44.8022</v>
      </c>
      <c r="P19" s="16">
        <v>3.23</v>
      </c>
      <c r="Q19" s="16">
        <f>P$34/O19</f>
        <v>3.2281896871135793</v>
      </c>
      <c r="R19" s="4"/>
      <c r="S19" s="4">
        <v>44.7922</v>
      </c>
      <c r="T19" s="16">
        <v>3.23</v>
      </c>
      <c r="U19" s="16">
        <f>T$34/S19</f>
        <v>3.2335987069177223</v>
      </c>
      <c r="V19" s="4"/>
      <c r="W19" s="4">
        <v>44.7873</v>
      </c>
      <c r="X19" s="16">
        <v>3.24</v>
      </c>
      <c r="Y19" s="16">
        <f>X$34/W19</f>
        <v>3.2422137525593193</v>
      </c>
      <c r="Z19" s="4"/>
      <c r="AA19" s="4">
        <v>44.957</v>
      </c>
      <c r="AB19" s="16">
        <v>3.24</v>
      </c>
      <c r="AC19" s="16">
        <f>AB$34/AA19</f>
        <v>3.240207309206575</v>
      </c>
      <c r="AD19" s="4"/>
      <c r="AE19" s="4">
        <v>45.3512</v>
      </c>
      <c r="AF19" s="16">
        <v>3.22</v>
      </c>
      <c r="AG19" s="16">
        <f>AF$34/AE19</f>
        <v>3.2230679673305227</v>
      </c>
      <c r="AH19" s="4"/>
      <c r="AI19" s="4">
        <v>45.2698</v>
      </c>
      <c r="AJ19" s="16">
        <v>3.22</v>
      </c>
      <c r="AK19" s="16">
        <f>AJ$34/AI19</f>
        <v>3.2215737644080606</v>
      </c>
      <c r="AL19" s="4"/>
      <c r="AM19" s="4">
        <v>45.3257</v>
      </c>
      <c r="AN19" s="16">
        <v>3.21</v>
      </c>
      <c r="AO19" s="16">
        <f>AN$34/AM19</f>
        <v>3.2087755953024444</v>
      </c>
      <c r="AP19" s="4"/>
      <c r="AQ19" s="4">
        <v>45.7524</v>
      </c>
      <c r="AR19" s="16">
        <v>3.19</v>
      </c>
      <c r="AS19" s="16">
        <f>AR$34/AQ19</f>
        <v>3.193493674648762</v>
      </c>
      <c r="AT19" s="4"/>
      <c r="AU19" s="4">
        <v>45.8096</v>
      </c>
      <c r="AV19" s="16">
        <v>3.19</v>
      </c>
      <c r="AW19" s="16">
        <f>AV$34/AU19</f>
        <v>3.1899427194299883</v>
      </c>
      <c r="AX19" s="4"/>
      <c r="AY19" s="4">
        <v>45.6076</v>
      </c>
      <c r="AZ19" s="16">
        <v>3.2</v>
      </c>
      <c r="BA19" s="16">
        <f>AZ$34/AY19</f>
        <v>3.2036327278786874</v>
      </c>
      <c r="BB19" s="4"/>
      <c r="BC19" s="4">
        <v>45.0222</v>
      </c>
      <c r="BD19" s="16">
        <v>3.22</v>
      </c>
      <c r="BE19" s="16">
        <f>BD$34/BC19</f>
        <v>3.2239650661229353</v>
      </c>
      <c r="BF19" s="4"/>
      <c r="BG19" s="4">
        <v>44.8371</v>
      </c>
      <c r="BH19" s="16">
        <v>3.23</v>
      </c>
      <c r="BI19" s="16">
        <f>BH$34/BG19</f>
        <v>3.232590867830435</v>
      </c>
      <c r="BJ19" s="4"/>
      <c r="BK19" s="4">
        <v>44.8271</v>
      </c>
      <c r="BL19" s="16">
        <v>3.24</v>
      </c>
      <c r="BM19" s="16">
        <f>BL$34/BK19</f>
        <v>3.2357658648451495</v>
      </c>
      <c r="BN19" s="4"/>
      <c r="BO19" s="4">
        <v>44.972</v>
      </c>
      <c r="BP19" s="16">
        <v>3.23</v>
      </c>
      <c r="BQ19" s="16">
        <f>BP$34/BO19</f>
        <v>3.2286756203860176</v>
      </c>
      <c r="BR19" s="4"/>
      <c r="BS19" s="4">
        <v>44.982</v>
      </c>
      <c r="BT19" s="16">
        <v>3.22</v>
      </c>
      <c r="BU19" s="16">
        <f>BT$34/BS19</f>
        <v>3.2232893157262907</v>
      </c>
      <c r="BV19" s="4"/>
      <c r="BW19" s="4">
        <v>44.967</v>
      </c>
      <c r="BX19" s="16">
        <v>3.22</v>
      </c>
      <c r="BY19" s="16">
        <f>BX$34/BW19</f>
        <v>3.2205839838103496</v>
      </c>
      <c r="BZ19" s="4"/>
      <c r="CA19" s="4">
        <v>45.285</v>
      </c>
      <c r="CB19" s="16">
        <v>3.2</v>
      </c>
      <c r="CC19" s="16">
        <f>CB$34/CA19</f>
        <v>3.202164071988517</v>
      </c>
      <c r="CD19" s="4"/>
      <c r="CE19" s="4">
        <f t="shared" si="0"/>
        <v>45.165744999999994</v>
      </c>
      <c r="CF19" s="90">
        <f t="shared" si="1"/>
        <v>3.2199999999999998</v>
      </c>
      <c r="CG19" s="90">
        <f t="shared" si="1"/>
        <v>3.2211840913829404</v>
      </c>
      <c r="CH19" s="4"/>
      <c r="CI19" s="23"/>
      <c r="CJ19" s="42"/>
      <c r="CK19" s="42"/>
      <c r="CL19" s="23"/>
      <c r="CM19" s="21"/>
    </row>
    <row r="20" spans="1:91" ht="12.75">
      <c r="A20" s="26">
        <v>9</v>
      </c>
      <c r="B20" s="27" t="s">
        <v>46</v>
      </c>
      <c r="C20" s="4">
        <f>1/0.8829</f>
        <v>1.1326311020500623</v>
      </c>
      <c r="D20" s="16">
        <v>129.5</v>
      </c>
      <c r="E20" s="16">
        <f>D$34/C20</f>
        <v>129.49494299999998</v>
      </c>
      <c r="F20" s="4"/>
      <c r="G20" s="4">
        <f>1/0.8863</f>
        <v>1.128286133363421</v>
      </c>
      <c r="H20" s="16">
        <v>129.83</v>
      </c>
      <c r="I20" s="16">
        <f>H$34/G20</f>
        <v>129.83408699999998</v>
      </c>
      <c r="J20" s="4"/>
      <c r="K20" s="4">
        <f>1/0.9012</f>
        <v>1.1096316023080337</v>
      </c>
      <c r="L20" s="16">
        <v>130.84</v>
      </c>
      <c r="M20" s="16">
        <f>L$34/K20</f>
        <v>130.836216</v>
      </c>
      <c r="N20" s="4"/>
      <c r="O20" s="4">
        <f>1/0.9004</f>
        <v>1.1106175033318526</v>
      </c>
      <c r="P20" s="16">
        <v>130.23</v>
      </c>
      <c r="Q20" s="16">
        <f>P$34/O20</f>
        <v>130.224852</v>
      </c>
      <c r="R20" s="4"/>
      <c r="S20" s="4">
        <f>1/0.9006</f>
        <v>1.1103708638685321</v>
      </c>
      <c r="T20" s="16">
        <v>130.44</v>
      </c>
      <c r="U20" s="16">
        <f>T$34/S20</f>
        <v>130.442904</v>
      </c>
      <c r="V20" s="4"/>
      <c r="W20" s="4">
        <f>1/0.9007</f>
        <v>1.1102475852115021</v>
      </c>
      <c r="X20" s="16">
        <v>130.79</v>
      </c>
      <c r="Y20" s="16">
        <f>X$34/W20</f>
        <v>130.790647</v>
      </c>
      <c r="Z20" s="4"/>
      <c r="AA20" s="4">
        <f>1/0.8973</f>
        <v>1.1144544745347154</v>
      </c>
      <c r="AB20" s="16">
        <v>130.71</v>
      </c>
      <c r="AC20" s="16">
        <f>AB$34/AA20</f>
        <v>130.70969099999996</v>
      </c>
      <c r="AD20" s="4"/>
      <c r="AE20" s="4">
        <f>1/0.8895</f>
        <v>1.1242270938729624</v>
      </c>
      <c r="AF20" s="16">
        <v>130.02</v>
      </c>
      <c r="AG20" s="16">
        <f>AF$34/AE20</f>
        <v>130.018215</v>
      </c>
      <c r="AH20" s="4"/>
      <c r="AI20" s="4">
        <f>1/0.8911</f>
        <v>1.122208506340478</v>
      </c>
      <c r="AJ20" s="16">
        <v>129.95</v>
      </c>
      <c r="AK20" s="16">
        <f>AJ$34/AI20</f>
        <v>129.958024</v>
      </c>
      <c r="AL20" s="4"/>
      <c r="AM20" s="4">
        <f>1/0.89</f>
        <v>1.1235955056179776</v>
      </c>
      <c r="AN20" s="16">
        <v>129.44</v>
      </c>
      <c r="AO20" s="16">
        <f>AN$34/AM20</f>
        <v>129.4416</v>
      </c>
      <c r="AP20" s="4"/>
      <c r="AQ20" s="4">
        <f>1/0.8817</f>
        <v>1.1341726210729273</v>
      </c>
      <c r="AR20" s="16">
        <v>128.83</v>
      </c>
      <c r="AS20" s="16">
        <f>AR$34/AQ20</f>
        <v>128.82518700000003</v>
      </c>
      <c r="AT20" s="4"/>
      <c r="AU20" s="4">
        <f>1/0.8806</f>
        <v>1.1355893708834885</v>
      </c>
      <c r="AV20" s="16">
        <v>128.68</v>
      </c>
      <c r="AW20" s="16">
        <f>AV$34/AU20</f>
        <v>128.682078</v>
      </c>
      <c r="AX20" s="4"/>
      <c r="AY20" s="25">
        <f>1/0.8845</f>
        <v>1.1305822498586773</v>
      </c>
      <c r="AZ20" s="16">
        <v>129.24</v>
      </c>
      <c r="BA20" s="16">
        <f>AZ$34/AY20</f>
        <v>129.234295</v>
      </c>
      <c r="BB20" s="4"/>
      <c r="BC20" s="25">
        <f>1/0.896</f>
        <v>1.1160714285714286</v>
      </c>
      <c r="BD20" s="16">
        <v>130.05</v>
      </c>
      <c r="BE20" s="16">
        <f>BD$34/BC20</f>
        <v>130.05440000000002</v>
      </c>
      <c r="BF20" s="4"/>
      <c r="BG20" s="4">
        <f>1/0.8997</f>
        <v>1.1114816049794376</v>
      </c>
      <c r="BH20" s="16">
        <v>130.4</v>
      </c>
      <c r="BI20" s="16">
        <f>BH$34/BG20</f>
        <v>130.402518</v>
      </c>
      <c r="BJ20" s="4"/>
      <c r="BK20" s="4">
        <f>1/0.8999</f>
        <v>1.11123458162018</v>
      </c>
      <c r="BL20" s="16">
        <v>130.53</v>
      </c>
      <c r="BM20" s="16">
        <f>BL$34/BK20</f>
        <v>130.530495</v>
      </c>
      <c r="BN20" s="4"/>
      <c r="BO20" s="4">
        <f>1/0.897</f>
        <v>1.1148272017837235</v>
      </c>
      <c r="BP20" s="16">
        <v>130.24</v>
      </c>
      <c r="BQ20" s="16">
        <f>BP$34/BO20</f>
        <v>130.24439999999998</v>
      </c>
      <c r="BR20" s="4"/>
      <c r="BS20" s="4">
        <f>1/0.8968</f>
        <v>1.1150758251561106</v>
      </c>
      <c r="BT20" s="16">
        <v>130.03</v>
      </c>
      <c r="BU20" s="16">
        <f>BT$34/BS20</f>
        <v>130.02703200000002</v>
      </c>
      <c r="BV20" s="4"/>
      <c r="BW20" s="4">
        <f>1/0.8971</f>
        <v>1.1147029316687103</v>
      </c>
      <c r="BX20" s="16">
        <v>129.92</v>
      </c>
      <c r="BY20" s="16">
        <f>BX$34/BW20</f>
        <v>129.918022</v>
      </c>
      <c r="BZ20" s="4"/>
      <c r="CA20" s="4">
        <f>1/0.8908</f>
        <v>1.122586439155815</v>
      </c>
      <c r="CB20" s="16">
        <v>129.18</v>
      </c>
      <c r="CC20" s="16">
        <f>CB$34/CA20</f>
        <v>129.17490800000002</v>
      </c>
      <c r="CD20" s="4"/>
      <c r="CE20" s="4">
        <f t="shared" si="0"/>
        <v>1.1196297312625016</v>
      </c>
      <c r="CF20" s="90">
        <f t="shared" si="1"/>
        <v>129.94250000000002</v>
      </c>
      <c r="CG20" s="90">
        <f t="shared" si="1"/>
        <v>129.9422257</v>
      </c>
      <c r="CH20" s="4"/>
      <c r="CI20" s="23"/>
      <c r="CJ20" s="42"/>
      <c r="CK20" s="42"/>
      <c r="CL20" s="23"/>
      <c r="CM20" s="21"/>
    </row>
    <row r="21" spans="1:91" ht="12.75">
      <c r="A21" s="26">
        <v>10</v>
      </c>
      <c r="B21" s="27" t="s">
        <v>47</v>
      </c>
      <c r="C21" s="4">
        <v>255.65</v>
      </c>
      <c r="D21" s="16">
        <v>37494.41</v>
      </c>
      <c r="E21" s="16">
        <f>D$34*C21</f>
        <v>37496.1855</v>
      </c>
      <c r="F21" s="4"/>
      <c r="G21" s="4">
        <v>257</v>
      </c>
      <c r="H21" s="16">
        <v>37648.18</v>
      </c>
      <c r="I21" s="16">
        <f>H$34*G21</f>
        <v>37647.93</v>
      </c>
      <c r="J21" s="4"/>
      <c r="K21" s="4">
        <v>259.15</v>
      </c>
      <c r="L21" s="16">
        <v>37624.27</v>
      </c>
      <c r="M21" s="16">
        <f>L$34*K21</f>
        <v>37623.397</v>
      </c>
      <c r="N21" s="4"/>
      <c r="O21" s="4">
        <v>258.3</v>
      </c>
      <c r="P21" s="16">
        <v>37358.76</v>
      </c>
      <c r="Q21" s="16">
        <f>P$34*O21</f>
        <v>37357.929000000004</v>
      </c>
      <c r="R21" s="4"/>
      <c r="S21" s="4">
        <v>258.6</v>
      </c>
      <c r="T21" s="16">
        <v>37455.87</v>
      </c>
      <c r="U21" s="16">
        <f>T$34*S21</f>
        <v>37455.624</v>
      </c>
      <c r="V21" s="4"/>
      <c r="W21" s="4">
        <v>260.6</v>
      </c>
      <c r="X21" s="16">
        <v>37842.66</v>
      </c>
      <c r="Y21" s="16">
        <f>X$34*W21</f>
        <v>37841.726</v>
      </c>
      <c r="Z21" s="4"/>
      <c r="AA21" s="4">
        <v>258.6</v>
      </c>
      <c r="AB21" s="16">
        <v>37670.76</v>
      </c>
      <c r="AC21" s="16">
        <f>AB$34*AA21</f>
        <v>37670.262</v>
      </c>
      <c r="AD21" s="4"/>
      <c r="AE21" s="4">
        <v>257.3</v>
      </c>
      <c r="AF21" s="16">
        <v>37609.85</v>
      </c>
      <c r="AG21" s="16">
        <f>AF$34*AE21</f>
        <v>37609.541</v>
      </c>
      <c r="AH21" s="4"/>
      <c r="AI21" s="4">
        <v>259.5</v>
      </c>
      <c r="AJ21" s="16">
        <v>37844.55</v>
      </c>
      <c r="AK21" s="16">
        <f>AJ$34*AI21</f>
        <v>37845.48</v>
      </c>
      <c r="AL21" s="4"/>
      <c r="AM21" s="4">
        <v>259.9</v>
      </c>
      <c r="AN21" s="16">
        <v>37800.62</v>
      </c>
      <c r="AO21" s="16">
        <f>AN$34*AM21</f>
        <v>37799.85599999999</v>
      </c>
      <c r="AP21" s="4"/>
      <c r="AQ21" s="4">
        <v>260.7</v>
      </c>
      <c r="AR21" s="16">
        <v>38091.19</v>
      </c>
      <c r="AS21" s="16">
        <f>AR$34*AQ21</f>
        <v>38090.877</v>
      </c>
      <c r="AT21" s="4"/>
      <c r="AU21" s="4">
        <v>261</v>
      </c>
      <c r="AV21" s="16">
        <v>38139.67</v>
      </c>
      <c r="AW21" s="16">
        <f>AV$34*AU21</f>
        <v>38139.93</v>
      </c>
      <c r="AX21" s="4"/>
      <c r="AY21" s="4">
        <v>262.2</v>
      </c>
      <c r="AZ21" s="16">
        <v>38310.6</v>
      </c>
      <c r="BA21" s="16">
        <f>AZ$34*AY21</f>
        <v>38310.042</v>
      </c>
      <c r="BB21" s="4"/>
      <c r="BC21" s="4">
        <v>263.9</v>
      </c>
      <c r="BD21" s="16">
        <v>38305.21</v>
      </c>
      <c r="BE21" s="16">
        <f>BD$34*BC21</f>
        <v>38305.085</v>
      </c>
      <c r="BF21" s="4"/>
      <c r="BG21" s="4">
        <v>262.9</v>
      </c>
      <c r="BH21" s="16">
        <v>38104.9</v>
      </c>
      <c r="BI21" s="16">
        <f>BH$34*BG21</f>
        <v>38104.725999999995</v>
      </c>
      <c r="BJ21" s="4"/>
      <c r="BK21" s="4">
        <v>263.25</v>
      </c>
      <c r="BL21" s="16">
        <v>38183.49</v>
      </c>
      <c r="BM21" s="16">
        <f>BL$34*BK21</f>
        <v>38184.412500000006</v>
      </c>
      <c r="BN21" s="4"/>
      <c r="BO21" s="4">
        <v>263.3</v>
      </c>
      <c r="BP21" s="16">
        <v>38230.59</v>
      </c>
      <c r="BQ21" s="16">
        <f>BP$34*BO21</f>
        <v>38231.159999999996</v>
      </c>
      <c r="BR21" s="4"/>
      <c r="BS21" s="4">
        <v>262.7</v>
      </c>
      <c r="BT21" s="16">
        <v>38088.71</v>
      </c>
      <c r="BU21" s="16">
        <f>BT$34*BS21</f>
        <v>38088.873</v>
      </c>
      <c r="BV21" s="4"/>
      <c r="BW21" s="4">
        <v>265.425</v>
      </c>
      <c r="BX21" s="16">
        <v>38438.79</v>
      </c>
      <c r="BY21" s="16">
        <f>BX$34*BW21</f>
        <v>38438.8485</v>
      </c>
      <c r="BZ21" s="4"/>
      <c r="CA21" s="4">
        <v>263.15</v>
      </c>
      <c r="CB21" s="16">
        <v>38159.73</v>
      </c>
      <c r="CC21" s="16">
        <f>CB$34*CA21</f>
        <v>38159.381499999996</v>
      </c>
      <c r="CD21" s="4"/>
      <c r="CE21" s="4">
        <f t="shared" si="0"/>
        <v>260.65624999999994</v>
      </c>
      <c r="CF21" s="90">
        <f t="shared" si="1"/>
        <v>37920.140499999994</v>
      </c>
      <c r="CG21" s="90">
        <f t="shared" si="1"/>
        <v>37920.063299999994</v>
      </c>
      <c r="CH21" s="4"/>
      <c r="CI21" s="23"/>
      <c r="CJ21" s="42"/>
      <c r="CK21" s="42"/>
      <c r="CL21" s="23"/>
      <c r="CM21" s="21"/>
    </row>
    <row r="22" spans="1:91" ht="12.75">
      <c r="A22" s="26">
        <v>11</v>
      </c>
      <c r="B22" s="28" t="s">
        <v>48</v>
      </c>
      <c r="C22" s="4">
        <v>4.28</v>
      </c>
      <c r="D22" s="16">
        <v>627.77</v>
      </c>
      <c r="E22" s="16">
        <f>D$34*C22</f>
        <v>627.7476</v>
      </c>
      <c r="F22" s="4"/>
      <c r="G22" s="4">
        <v>4.32</v>
      </c>
      <c r="H22" s="16">
        <v>632.84</v>
      </c>
      <c r="I22" s="16">
        <f>H$34*G22</f>
        <v>632.8368</v>
      </c>
      <c r="J22" s="4"/>
      <c r="K22" s="4">
        <v>4.33</v>
      </c>
      <c r="L22" s="16">
        <v>628.64</v>
      </c>
      <c r="M22" s="16">
        <f>L$34*K22</f>
        <v>628.6294</v>
      </c>
      <c r="N22" s="4"/>
      <c r="O22" s="4">
        <v>4.35</v>
      </c>
      <c r="P22" s="16">
        <v>629.15</v>
      </c>
      <c r="Q22" s="16">
        <f>P$34*O22</f>
        <v>629.1405</v>
      </c>
      <c r="R22" s="4"/>
      <c r="S22" s="4">
        <v>4.35</v>
      </c>
      <c r="T22" s="16">
        <v>630.06</v>
      </c>
      <c r="U22" s="16">
        <f>T$34*S22</f>
        <v>630.054</v>
      </c>
      <c r="V22" s="4"/>
      <c r="W22" s="4">
        <v>4.35</v>
      </c>
      <c r="X22" s="16">
        <v>631.68</v>
      </c>
      <c r="Y22" s="16">
        <f>X$34*W22</f>
        <v>631.6635</v>
      </c>
      <c r="Z22" s="4"/>
      <c r="AA22" s="4">
        <v>4.32</v>
      </c>
      <c r="AB22" s="16">
        <v>629.3</v>
      </c>
      <c r="AC22" s="16">
        <f>AB$34*AA22</f>
        <v>629.2944</v>
      </c>
      <c r="AD22" s="4"/>
      <c r="AE22" s="4">
        <v>4.31</v>
      </c>
      <c r="AF22" s="16">
        <v>630</v>
      </c>
      <c r="AG22" s="16">
        <f>AF$34*AE22</f>
        <v>629.9926999999999</v>
      </c>
      <c r="AH22" s="4"/>
      <c r="AI22" s="4">
        <v>4.37</v>
      </c>
      <c r="AJ22" s="16">
        <v>637.31</v>
      </c>
      <c r="AK22" s="16">
        <f>AJ$34*AI22</f>
        <v>637.3208000000001</v>
      </c>
      <c r="AL22" s="4"/>
      <c r="AM22" s="4">
        <v>4.37</v>
      </c>
      <c r="AN22" s="16">
        <v>635.59</v>
      </c>
      <c r="AO22" s="16">
        <f>AN$34*AM22</f>
        <v>635.5728</v>
      </c>
      <c r="AP22" s="4"/>
      <c r="AQ22" s="4">
        <v>4.38</v>
      </c>
      <c r="AR22" s="16">
        <v>639.97</v>
      </c>
      <c r="AS22" s="16">
        <f>AR$34*AQ22</f>
        <v>639.9618</v>
      </c>
      <c r="AT22" s="4"/>
      <c r="AU22" s="4">
        <v>4.37</v>
      </c>
      <c r="AV22" s="16">
        <v>638.58</v>
      </c>
      <c r="AW22" s="16">
        <f>AV$34*AU22</f>
        <v>638.5880999999999</v>
      </c>
      <c r="AX22" s="4"/>
      <c r="AY22" s="4">
        <v>4.39</v>
      </c>
      <c r="AZ22" s="16">
        <v>641.43</v>
      </c>
      <c r="BA22" s="16">
        <f>AZ$34*AY22</f>
        <v>641.4229</v>
      </c>
      <c r="BB22" s="4"/>
      <c r="BC22" s="4">
        <v>4.42</v>
      </c>
      <c r="BD22" s="16">
        <v>641.57</v>
      </c>
      <c r="BE22" s="16">
        <f>BD$34*BC22</f>
        <v>641.563</v>
      </c>
      <c r="BF22" s="4"/>
      <c r="BG22" s="4">
        <v>4.42</v>
      </c>
      <c r="BH22" s="16">
        <v>640.64</v>
      </c>
      <c r="BI22" s="16">
        <f>BH$34*BG22</f>
        <v>640.6347999999999</v>
      </c>
      <c r="BJ22" s="4"/>
      <c r="BK22" s="4">
        <v>4.46</v>
      </c>
      <c r="BL22" s="16">
        <v>646.91</v>
      </c>
      <c r="BM22" s="16">
        <f>BL$34*BK22</f>
        <v>646.923</v>
      </c>
      <c r="BN22" s="4"/>
      <c r="BO22" s="4">
        <v>4.44</v>
      </c>
      <c r="BP22" s="16">
        <v>644.68</v>
      </c>
      <c r="BQ22" s="16">
        <f>BP$34*BO22</f>
        <v>644.688</v>
      </c>
      <c r="BR22" s="4"/>
      <c r="BS22" s="4">
        <v>4.37</v>
      </c>
      <c r="BT22" s="16">
        <v>633.6</v>
      </c>
      <c r="BU22" s="16">
        <f>BT$34*BS22</f>
        <v>633.6063</v>
      </c>
      <c r="BV22" s="4"/>
      <c r="BW22" s="4">
        <v>4.385</v>
      </c>
      <c r="BX22" s="16">
        <v>635.03</v>
      </c>
      <c r="BY22" s="16">
        <f>BX$34*BW22</f>
        <v>635.0356999999999</v>
      </c>
      <c r="BZ22" s="4"/>
      <c r="CA22" s="4">
        <v>4.36</v>
      </c>
      <c r="CB22" s="16">
        <v>632.25</v>
      </c>
      <c r="CC22" s="16">
        <f>CB$34*CA22</f>
        <v>632.2436</v>
      </c>
      <c r="CD22" s="4"/>
      <c r="CE22" s="4">
        <f t="shared" si="0"/>
        <v>4.36725</v>
      </c>
      <c r="CF22" s="90">
        <f t="shared" si="1"/>
        <v>635.35</v>
      </c>
      <c r="CG22" s="90">
        <f t="shared" si="1"/>
        <v>635.345985</v>
      </c>
      <c r="CH22" s="4"/>
      <c r="CI22" s="23"/>
      <c r="CJ22" s="42"/>
      <c r="CK22" s="42"/>
      <c r="CL22" s="23"/>
      <c r="CM22" s="21"/>
    </row>
    <row r="23" spans="1:91" ht="12.75">
      <c r="A23" s="26">
        <v>12</v>
      </c>
      <c r="B23" s="27" t="s">
        <v>49</v>
      </c>
      <c r="C23" s="4">
        <f>1/0.4849</f>
        <v>2.062280882656218</v>
      </c>
      <c r="D23" s="16">
        <v>71.12</v>
      </c>
      <c r="E23" s="16">
        <f>D$34/C23</f>
        <v>71.120283</v>
      </c>
      <c r="F23" s="4"/>
      <c r="G23" s="4">
        <f>1/0.4837</f>
        <v>2.067397146991937</v>
      </c>
      <c r="H23" s="16">
        <v>70.86</v>
      </c>
      <c r="I23" s="16">
        <f>H$34/G23</f>
        <v>70.85721300000002</v>
      </c>
      <c r="J23" s="4"/>
      <c r="K23" s="4">
        <f>1/0.4895</f>
        <v>2.0429009193054135</v>
      </c>
      <c r="L23" s="16">
        <v>71.07</v>
      </c>
      <c r="M23" s="16">
        <f>L$34/K23</f>
        <v>71.06561</v>
      </c>
      <c r="N23" s="4"/>
      <c r="O23" s="4">
        <f>1/0.4905</f>
        <v>2.038735983690112</v>
      </c>
      <c r="P23" s="16">
        <v>70.94</v>
      </c>
      <c r="Q23" s="16">
        <f>P$34/O23</f>
        <v>70.94101500000001</v>
      </c>
      <c r="R23" s="4"/>
      <c r="S23" s="4">
        <f>1/0.4953</f>
        <v>2.0189783969311526</v>
      </c>
      <c r="T23" s="16">
        <v>71.74</v>
      </c>
      <c r="U23" s="16">
        <f>T$34/S23</f>
        <v>71.73925200000001</v>
      </c>
      <c r="V23" s="4"/>
      <c r="W23" s="4">
        <f>1/0.4975</f>
        <v>2.0100502512562812</v>
      </c>
      <c r="X23" s="16">
        <v>72.24</v>
      </c>
      <c r="Y23" s="16">
        <f>X$34/W23</f>
        <v>72.24197500000001</v>
      </c>
      <c r="Z23" s="4"/>
      <c r="AA23" s="4">
        <f>1/0.493</f>
        <v>2.028397565922921</v>
      </c>
      <c r="AB23" s="16">
        <v>71.82</v>
      </c>
      <c r="AC23" s="16">
        <f>AB$34/AA23</f>
        <v>71.81531</v>
      </c>
      <c r="AD23" s="4"/>
      <c r="AE23" s="4">
        <f>1/0.4995</f>
        <v>2.002002002002002</v>
      </c>
      <c r="AF23" s="16">
        <v>73.01</v>
      </c>
      <c r="AG23" s="16">
        <f>AF$34/AE23</f>
        <v>73.01191499999999</v>
      </c>
      <c r="AH23" s="4"/>
      <c r="AI23" s="4">
        <f>1/0.5072</f>
        <v>1.971608832807571</v>
      </c>
      <c r="AJ23" s="16">
        <v>73.97</v>
      </c>
      <c r="AK23" s="16">
        <f>AJ$34/AI23</f>
        <v>73.970048</v>
      </c>
      <c r="AL23" s="4"/>
      <c r="AM23" s="4">
        <f>1/0.5082</f>
        <v>1.9677292404565132</v>
      </c>
      <c r="AN23" s="16">
        <v>73.91</v>
      </c>
      <c r="AO23" s="16">
        <f>AN$34/AM23</f>
        <v>73.91260799999999</v>
      </c>
      <c r="AP23" s="4"/>
      <c r="AQ23" s="4">
        <f>1/0.5054</f>
        <v>1.9786307874950535</v>
      </c>
      <c r="AR23" s="16">
        <v>73.84</v>
      </c>
      <c r="AS23" s="16">
        <f>AR$34/AQ23</f>
        <v>73.84399400000001</v>
      </c>
      <c r="AT23" s="4"/>
      <c r="AU23" s="4">
        <f>1/0.4992</f>
        <v>2.003205128205128</v>
      </c>
      <c r="AV23" s="16">
        <v>72.95</v>
      </c>
      <c r="AW23" s="16">
        <f>AV$34/AU23</f>
        <v>72.94809599999999</v>
      </c>
      <c r="AX23" s="4"/>
      <c r="AY23" s="4">
        <f>1/0.509</f>
        <v>1.9646365422396856</v>
      </c>
      <c r="AZ23" s="16">
        <v>74.37</v>
      </c>
      <c r="BA23" s="16">
        <f>AZ$34/AY23</f>
        <v>74.36999</v>
      </c>
      <c r="BB23" s="4"/>
      <c r="BC23" s="4">
        <f>1/0.514</f>
        <v>1.9455252918287937</v>
      </c>
      <c r="BD23" s="16">
        <v>74.61</v>
      </c>
      <c r="BE23" s="16">
        <f>BD$34/BC23</f>
        <v>74.6071</v>
      </c>
      <c r="BF23" s="4"/>
      <c r="BG23" s="4">
        <f>1/0.5059</f>
        <v>1.9766752322593397</v>
      </c>
      <c r="BH23" s="16">
        <v>73.33</v>
      </c>
      <c r="BI23" s="16">
        <f>BH$34/BG23</f>
        <v>73.325146</v>
      </c>
      <c r="BJ23" s="4"/>
      <c r="BK23" s="4">
        <f>1/0.5044</f>
        <v>1.9825535289452816</v>
      </c>
      <c r="BL23" s="16">
        <v>73.16</v>
      </c>
      <c r="BM23" s="16">
        <f>BL$34/BK23</f>
        <v>73.16322000000001</v>
      </c>
      <c r="BN23" s="4"/>
      <c r="BO23" s="4">
        <f>1/0.5084</f>
        <v>1.966955153422502</v>
      </c>
      <c r="BP23" s="16">
        <v>73.82</v>
      </c>
      <c r="BQ23" s="16">
        <f>BP$34/BO23</f>
        <v>73.81967999999999</v>
      </c>
      <c r="BR23" s="4"/>
      <c r="BS23" s="4">
        <f>1/0.5055</f>
        <v>1.9782393669634029</v>
      </c>
      <c r="BT23" s="16">
        <v>73.29</v>
      </c>
      <c r="BU23" s="16">
        <f>BT$34/BS23</f>
        <v>73.292445</v>
      </c>
      <c r="BV23" s="4"/>
      <c r="BW23" s="4">
        <f>1/0.5108</f>
        <v>1.9577133907595927</v>
      </c>
      <c r="BX23" s="16">
        <v>73.97</v>
      </c>
      <c r="BY23" s="16">
        <f>BX$34/BW23</f>
        <v>73.974056</v>
      </c>
      <c r="BZ23" s="4"/>
      <c r="CA23" s="4">
        <f>1/0.5084</f>
        <v>1.966955153422502</v>
      </c>
      <c r="CB23" s="16">
        <v>73.72</v>
      </c>
      <c r="CC23" s="16">
        <f>CB$34/CA23</f>
        <v>73.72308399999999</v>
      </c>
      <c r="CD23" s="4"/>
      <c r="CE23" s="4">
        <f t="shared" si="0"/>
        <v>1.99655853987807</v>
      </c>
      <c r="CF23" s="90">
        <f t="shared" si="1"/>
        <v>72.88700000000001</v>
      </c>
      <c r="CG23" s="90">
        <f t="shared" si="1"/>
        <v>72.887102</v>
      </c>
      <c r="CH23" s="4"/>
      <c r="CI23" s="23"/>
      <c r="CJ23" s="42"/>
      <c r="CK23" s="42"/>
      <c r="CL23" s="23"/>
      <c r="CM23" s="21"/>
    </row>
    <row r="24" spans="1:91" ht="12.75">
      <c r="A24" s="26">
        <v>13</v>
      </c>
      <c r="B24" s="27" t="s">
        <v>50</v>
      </c>
      <c r="C24" s="4">
        <v>1.5742</v>
      </c>
      <c r="D24" s="16">
        <v>93.17</v>
      </c>
      <c r="E24" s="16">
        <f>D$34/C24</f>
        <v>93.17113454453055</v>
      </c>
      <c r="F24" s="4"/>
      <c r="G24" s="4">
        <v>1.5778</v>
      </c>
      <c r="H24" s="16">
        <v>92.85</v>
      </c>
      <c r="I24" s="16">
        <f>H$34/G24</f>
        <v>92.84446697933832</v>
      </c>
      <c r="J24" s="4"/>
      <c r="K24" s="4">
        <v>1.5688</v>
      </c>
      <c r="L24" s="16">
        <v>92.54</v>
      </c>
      <c r="M24" s="16">
        <f>L$34/K24</f>
        <v>92.54207037225906</v>
      </c>
      <c r="N24" s="4"/>
      <c r="O24" s="4">
        <v>1.5763</v>
      </c>
      <c r="P24" s="16">
        <v>91.75</v>
      </c>
      <c r="Q24" s="16">
        <f>P$34/O24</f>
        <v>91.75283892660026</v>
      </c>
      <c r="R24" s="4"/>
      <c r="S24" s="4">
        <v>1.5692</v>
      </c>
      <c r="T24" s="16">
        <v>92.3</v>
      </c>
      <c r="U24" s="16">
        <f>T$34/S24</f>
        <v>92.30180983940862</v>
      </c>
      <c r="V24" s="4"/>
      <c r="W24" s="4">
        <v>1.5637</v>
      </c>
      <c r="X24" s="16">
        <v>92.87</v>
      </c>
      <c r="Y24" s="16">
        <f>X$34/W24</f>
        <v>92.86308115367397</v>
      </c>
      <c r="Z24" s="4"/>
      <c r="AA24" s="4">
        <v>1.5624</v>
      </c>
      <c r="AB24" s="16">
        <v>93.24</v>
      </c>
      <c r="AC24" s="16">
        <f>AB$34/AA24</f>
        <v>93.2347670250896</v>
      </c>
      <c r="AD24" s="4"/>
      <c r="AE24" s="4">
        <v>1.5551</v>
      </c>
      <c r="AF24" s="16">
        <v>93.99</v>
      </c>
      <c r="AG24" s="16">
        <f>AF$34/AE24</f>
        <v>93.99395537264485</v>
      </c>
      <c r="AH24" s="4"/>
      <c r="AI24" s="4">
        <v>1.5584</v>
      </c>
      <c r="AJ24" s="16">
        <v>93.58</v>
      </c>
      <c r="AK24" s="16">
        <f>AJ$34/AI24</f>
        <v>93.58316221765914</v>
      </c>
      <c r="AL24" s="4"/>
      <c r="AM24" s="4">
        <v>1.5618</v>
      </c>
      <c r="AN24" s="16">
        <v>93.13</v>
      </c>
      <c r="AO24" s="16">
        <f>AN$34/AM24</f>
        <v>93.12331924702266</v>
      </c>
      <c r="AP24" s="4"/>
      <c r="AQ24" s="4">
        <v>1.5555</v>
      </c>
      <c r="AR24" s="16">
        <v>93.93</v>
      </c>
      <c r="AS24" s="16">
        <f>AR$34/AQ24</f>
        <v>93.9312118289939</v>
      </c>
      <c r="AT24" s="4"/>
      <c r="AU24" s="4">
        <v>1.5682</v>
      </c>
      <c r="AV24" s="16">
        <v>93.18</v>
      </c>
      <c r="AW24" s="16">
        <f>AV$34/AU24</f>
        <v>93.18326744037749</v>
      </c>
      <c r="AX24" s="4"/>
      <c r="AY24" s="4">
        <v>1.5526</v>
      </c>
      <c r="AZ24" s="16">
        <v>94.11</v>
      </c>
      <c r="BA24" s="16">
        <f>AZ$34/AY24</f>
        <v>94.10665979647045</v>
      </c>
      <c r="BB24" s="4"/>
      <c r="BC24" s="4">
        <v>1.5476</v>
      </c>
      <c r="BD24" s="16">
        <v>93.79</v>
      </c>
      <c r="BE24" s="16">
        <f>BD$34/BC24</f>
        <v>93.79038511243215</v>
      </c>
      <c r="BF24" s="4"/>
      <c r="BG24" s="4">
        <v>1.5478</v>
      </c>
      <c r="BH24" s="16">
        <v>93.64</v>
      </c>
      <c r="BI24" s="16">
        <f>BH$34/BG24</f>
        <v>93.64258948184519</v>
      </c>
      <c r="BJ24" s="4"/>
      <c r="BK24" s="4">
        <v>1.5514</v>
      </c>
      <c r="BL24" s="16">
        <v>93.49</v>
      </c>
      <c r="BM24" s="16">
        <f>BL$34/BK24</f>
        <v>93.49619698336987</v>
      </c>
      <c r="BN24" s="4"/>
      <c r="BO24" s="4">
        <v>1.542</v>
      </c>
      <c r="BP24" s="16">
        <v>94.16</v>
      </c>
      <c r="BQ24" s="16">
        <f>BP$34/BO24</f>
        <v>94.16342412451361</v>
      </c>
      <c r="BR24" s="4"/>
      <c r="BS24" s="4">
        <v>1.5477</v>
      </c>
      <c r="BT24" s="16">
        <v>93.68</v>
      </c>
      <c r="BU24" s="16">
        <f>BT$34/BS24</f>
        <v>93.68094591975189</v>
      </c>
      <c r="BV24" s="4"/>
      <c r="BW24" s="4">
        <v>1.5433</v>
      </c>
      <c r="BX24" s="16">
        <v>93.84</v>
      </c>
      <c r="BY24" s="16">
        <f>BX$34/BW24</f>
        <v>93.83787986781572</v>
      </c>
      <c r="BZ24" s="4"/>
      <c r="CA24" s="4">
        <v>1.5422</v>
      </c>
      <c r="CB24" s="16">
        <v>94.03</v>
      </c>
      <c r="CC24" s="16">
        <f>CB$34/CA24</f>
        <v>94.02801193100764</v>
      </c>
      <c r="CD24" s="4"/>
      <c r="CE24" s="4">
        <f t="shared" si="0"/>
        <v>1.5583</v>
      </c>
      <c r="CF24" s="90">
        <f t="shared" si="1"/>
        <v>93.36350000000002</v>
      </c>
      <c r="CG24" s="90">
        <f t="shared" si="1"/>
        <v>93.36355890824022</v>
      </c>
      <c r="CH24" s="4"/>
      <c r="CI24" s="23"/>
      <c r="CJ24" s="42"/>
      <c r="CK24" s="42"/>
      <c r="CL24" s="23"/>
      <c r="CM24" s="21"/>
    </row>
    <row r="25" spans="1:91" ht="12.75">
      <c r="A25" s="26">
        <v>14</v>
      </c>
      <c r="B25" s="27" t="s">
        <v>51</v>
      </c>
      <c r="C25" s="4">
        <v>15.5853</v>
      </c>
      <c r="D25" s="16">
        <v>9.41</v>
      </c>
      <c r="E25" s="16">
        <f>D$34/C25</f>
        <v>9.410790937614289</v>
      </c>
      <c r="F25" s="4"/>
      <c r="G25" s="4">
        <v>15.5256</v>
      </c>
      <c r="H25" s="16">
        <v>9.44</v>
      </c>
      <c r="I25" s="16">
        <f>H$34/G25</f>
        <v>9.435384139743391</v>
      </c>
      <c r="J25" s="4"/>
      <c r="K25" s="4">
        <v>15.2689</v>
      </c>
      <c r="L25" s="16">
        <v>9.51</v>
      </c>
      <c r="M25" s="16">
        <f>L$34/K25</f>
        <v>9.508216046997491</v>
      </c>
      <c r="N25" s="4"/>
      <c r="O25" s="4">
        <v>15.2824</v>
      </c>
      <c r="P25" s="16">
        <v>9.46</v>
      </c>
      <c r="Q25" s="16">
        <f>P$34/O25</f>
        <v>9.463827671046431</v>
      </c>
      <c r="R25" s="4"/>
      <c r="S25" s="4">
        <v>15.279</v>
      </c>
      <c r="T25" s="16">
        <v>9.48</v>
      </c>
      <c r="U25" s="16">
        <f>T$34/S25</f>
        <v>9.479677989397212</v>
      </c>
      <c r="V25" s="4"/>
      <c r="W25" s="4">
        <v>15.2773</v>
      </c>
      <c r="X25" s="16">
        <v>9.51</v>
      </c>
      <c r="Y25" s="16">
        <f>X$34/W25</f>
        <v>9.504951791219654</v>
      </c>
      <c r="Z25" s="4"/>
      <c r="AA25" s="4">
        <v>15.3352</v>
      </c>
      <c r="AB25" s="16">
        <v>9.5</v>
      </c>
      <c r="AC25" s="16">
        <f>AB$34/AA25</f>
        <v>9.499060983880222</v>
      </c>
      <c r="AD25" s="4"/>
      <c r="AE25" s="4">
        <v>15.4697</v>
      </c>
      <c r="AF25" s="16">
        <v>9.45</v>
      </c>
      <c r="AG25" s="16">
        <f>AF$34/AE25</f>
        <v>9.448793447836739</v>
      </c>
      <c r="AH25" s="4"/>
      <c r="AI25" s="4">
        <v>15.4419</v>
      </c>
      <c r="AJ25" s="16">
        <v>9.44</v>
      </c>
      <c r="AK25" s="16">
        <f>AJ$34/AI25</f>
        <v>9.444433651299386</v>
      </c>
      <c r="AL25" s="4"/>
      <c r="AM25" s="4">
        <v>15.461</v>
      </c>
      <c r="AN25" s="16">
        <v>9.41</v>
      </c>
      <c r="AO25" s="16">
        <f>AN$34/AM25</f>
        <v>9.406894767479464</v>
      </c>
      <c r="AP25" s="4"/>
      <c r="AQ25" s="4">
        <v>15.6066</v>
      </c>
      <c r="AR25" s="16">
        <v>9.36</v>
      </c>
      <c r="AS25" s="16">
        <f>AR$34/AQ25</f>
        <v>9.362064767470173</v>
      </c>
      <c r="AT25" s="4"/>
      <c r="AU25" s="4">
        <v>15.6261</v>
      </c>
      <c r="AV25" s="16">
        <v>9.35</v>
      </c>
      <c r="AW25" s="16">
        <f>AV$34/AU25</f>
        <v>9.351661643020332</v>
      </c>
      <c r="AX25" s="4"/>
      <c r="AY25" s="4">
        <v>15.5572</v>
      </c>
      <c r="AZ25" s="16">
        <v>9.39</v>
      </c>
      <c r="BA25" s="16">
        <f>AZ$34/AY25</f>
        <v>9.391792867611139</v>
      </c>
      <c r="BB25" s="4"/>
      <c r="BC25" s="4">
        <v>15.3575</v>
      </c>
      <c r="BD25" s="16">
        <v>9.45</v>
      </c>
      <c r="BE25" s="16">
        <f>BD$34/BC25</f>
        <v>9.451408106788215</v>
      </c>
      <c r="BF25" s="4"/>
      <c r="BG25" s="4">
        <v>15.2943</v>
      </c>
      <c r="BH25" s="16">
        <v>9.48</v>
      </c>
      <c r="BI25" s="16">
        <f>BH$34/BG25</f>
        <v>9.476733162027683</v>
      </c>
      <c r="BJ25" s="4"/>
      <c r="BK25" s="4">
        <v>15.2909</v>
      </c>
      <c r="BL25" s="16">
        <v>9.49</v>
      </c>
      <c r="BM25" s="16">
        <f>BL$34/BK25</f>
        <v>9.486034177190355</v>
      </c>
      <c r="BN25" s="4"/>
      <c r="BO25" s="4">
        <v>15.3404</v>
      </c>
      <c r="BP25" s="16">
        <v>9.47</v>
      </c>
      <c r="BQ25" s="16">
        <f>BP$34/BO25</f>
        <v>9.46520299340304</v>
      </c>
      <c r="BR25" s="4"/>
      <c r="BS25" s="4">
        <v>15.3438</v>
      </c>
      <c r="BT25" s="16">
        <v>9.45</v>
      </c>
      <c r="BU25" s="16">
        <f>BT$34/BS25</f>
        <v>9.449419309427913</v>
      </c>
      <c r="BV25" s="4"/>
      <c r="BW25" s="4">
        <v>15.3386</v>
      </c>
      <c r="BX25" s="16">
        <v>9.44</v>
      </c>
      <c r="BY25" s="16">
        <f>BX$34/BW25</f>
        <v>9.441539645078429</v>
      </c>
      <c r="BZ25" s="4"/>
      <c r="CA25" s="4">
        <v>15.4471</v>
      </c>
      <c r="CB25" s="16">
        <v>9.39</v>
      </c>
      <c r="CC25" s="16">
        <f>CB$34/CA25</f>
        <v>9.387522577053296</v>
      </c>
      <c r="CD25" s="4"/>
      <c r="CE25" s="4">
        <f t="shared" si="0"/>
        <v>15.406439999999998</v>
      </c>
      <c r="CF25" s="90">
        <f t="shared" si="1"/>
        <v>9.443999999999999</v>
      </c>
      <c r="CG25" s="90">
        <f t="shared" si="1"/>
        <v>9.443270533779243</v>
      </c>
      <c r="CH25" s="4"/>
      <c r="CI25" s="23"/>
      <c r="CJ25" s="42"/>
      <c r="CK25" s="42"/>
      <c r="CL25" s="23"/>
      <c r="CM25" s="21"/>
    </row>
    <row r="26" spans="1:91" ht="12.75">
      <c r="A26" s="26">
        <v>15</v>
      </c>
      <c r="B26" s="27" t="s">
        <v>52</v>
      </c>
      <c r="C26" s="4">
        <v>188.454</v>
      </c>
      <c r="D26" s="16">
        <v>77.83</v>
      </c>
      <c r="E26" s="16">
        <f>D$34/C26*100</f>
        <v>77.82801107962685</v>
      </c>
      <c r="F26" s="4"/>
      <c r="G26" s="4">
        <v>187.731</v>
      </c>
      <c r="H26" s="16">
        <v>78.03</v>
      </c>
      <c r="I26" s="16">
        <f>H$34/G26*100</f>
        <v>78.03186474263708</v>
      </c>
      <c r="J26" s="4"/>
      <c r="K26" s="4">
        <v>184.6272</v>
      </c>
      <c r="L26" s="16">
        <v>78.64</v>
      </c>
      <c r="M26" s="16">
        <f>L$34/K26*100</f>
        <v>78.63413408208542</v>
      </c>
      <c r="N26" s="4"/>
      <c r="O26" s="4">
        <v>184.7912</v>
      </c>
      <c r="P26" s="16">
        <v>78.27</v>
      </c>
      <c r="Q26" s="16">
        <f>P$34/O26*100</f>
        <v>78.26671399936794</v>
      </c>
      <c r="R26" s="4"/>
      <c r="S26" s="4">
        <v>184.7502</v>
      </c>
      <c r="T26" s="16">
        <v>78.4</v>
      </c>
      <c r="U26" s="16">
        <f>T$34/S26*100</f>
        <v>78.39775004303108</v>
      </c>
      <c r="V26" s="4"/>
      <c r="W26" s="4">
        <v>184.7297</v>
      </c>
      <c r="X26" s="16">
        <v>78.61</v>
      </c>
      <c r="Y26" s="16">
        <f>X$34/W26*100</f>
        <v>78.6067427165204</v>
      </c>
      <c r="Z26" s="4"/>
      <c r="AA26" s="4">
        <v>185.4296</v>
      </c>
      <c r="AB26" s="16">
        <v>78.56</v>
      </c>
      <c r="AC26" s="16">
        <f>AB$34/AA26*100</f>
        <v>78.55811585636813</v>
      </c>
      <c r="AD26" s="4"/>
      <c r="AE26" s="4">
        <v>187.0556</v>
      </c>
      <c r="AF26" s="41">
        <v>78.14</v>
      </c>
      <c r="AG26" s="16">
        <f>AF$34/AE26*100</f>
        <v>78.1425415758737</v>
      </c>
      <c r="AH26" s="4"/>
      <c r="AI26" s="4">
        <v>186.7198</v>
      </c>
      <c r="AJ26" s="16">
        <v>78.1</v>
      </c>
      <c r="AK26" s="16">
        <f>AJ$34/AI26*100</f>
        <v>78.10633901707264</v>
      </c>
      <c r="AL26" s="4"/>
      <c r="AM26" s="4">
        <v>186.9506</v>
      </c>
      <c r="AN26" s="16">
        <v>77.8</v>
      </c>
      <c r="AO26" s="16">
        <f>AN$34/AM26*100</f>
        <v>77.79595251365869</v>
      </c>
      <c r="AP26" s="4"/>
      <c r="AQ26" s="4">
        <v>188.7101</v>
      </c>
      <c r="AR26" s="16">
        <v>77.43</v>
      </c>
      <c r="AS26" s="16">
        <f>AR$34/AQ26*100</f>
        <v>77.42563858532215</v>
      </c>
      <c r="AT26" s="4"/>
      <c r="AU26" s="4">
        <v>188.9462</v>
      </c>
      <c r="AV26" s="16">
        <v>77.34</v>
      </c>
      <c r="AW26" s="16">
        <f>AV$34/AU26*100</f>
        <v>77.33947546973688</v>
      </c>
      <c r="AX26" s="4"/>
      <c r="AY26" s="4">
        <v>188.1131</v>
      </c>
      <c r="AZ26" s="16">
        <v>77.67</v>
      </c>
      <c r="BA26" s="16">
        <f>AZ$34/AY26*100</f>
        <v>77.67135834771742</v>
      </c>
      <c r="BB26" s="4"/>
      <c r="BC26" s="4">
        <v>185.6987</v>
      </c>
      <c r="BD26" s="16">
        <v>78.16</v>
      </c>
      <c r="BE26" s="16">
        <f>BD$34/BC26*100</f>
        <v>78.16425209223328</v>
      </c>
      <c r="BF26" s="4"/>
      <c r="BG26" s="4">
        <v>184.935</v>
      </c>
      <c r="BH26" s="16">
        <v>78.37</v>
      </c>
      <c r="BI26" s="16">
        <f>BH$34/BG26*100</f>
        <v>78.37348257495876</v>
      </c>
      <c r="BJ26" s="4"/>
      <c r="BK26" s="4">
        <v>184.8939</v>
      </c>
      <c r="BL26" s="16">
        <v>78.45</v>
      </c>
      <c r="BM26" s="16">
        <f>BL$34/BK26*100</f>
        <v>78.45039776866625</v>
      </c>
      <c r="BN26" s="4"/>
      <c r="BO26" s="4">
        <v>185.4916</v>
      </c>
      <c r="BP26" s="16">
        <v>78.28</v>
      </c>
      <c r="BQ26" s="16">
        <f>BP$34/BO26*100</f>
        <v>78.27847730031979</v>
      </c>
      <c r="BR26" s="4"/>
      <c r="BS26" s="4">
        <v>185.533</v>
      </c>
      <c r="BT26" s="16">
        <v>78.15</v>
      </c>
      <c r="BU26" s="16">
        <f>BT$34/BS26*100</f>
        <v>78.1478227592935</v>
      </c>
      <c r="BV26" s="4"/>
      <c r="BW26" s="4">
        <v>185.471</v>
      </c>
      <c r="BX26" s="16">
        <v>78.08</v>
      </c>
      <c r="BY26" s="16">
        <f>BX$34/BW26*100</f>
        <v>78.08228779701409</v>
      </c>
      <c r="BZ26" s="4"/>
      <c r="CA26" s="4">
        <v>186.7827</v>
      </c>
      <c r="CB26" s="16">
        <v>77.64</v>
      </c>
      <c r="CC26" s="16">
        <f>CB$34/CA26*100</f>
        <v>77.63566968461211</v>
      </c>
      <c r="CD26" s="4"/>
      <c r="CE26" s="4">
        <f t="shared" si="0"/>
        <v>186.29070999999996</v>
      </c>
      <c r="CF26" s="90">
        <f t="shared" si="1"/>
        <v>78.0975</v>
      </c>
      <c r="CG26" s="90">
        <f t="shared" si="1"/>
        <v>78.09685140030582</v>
      </c>
      <c r="CH26" s="4"/>
      <c r="CI26" s="23"/>
      <c r="CJ26" s="42"/>
      <c r="CK26" s="42"/>
      <c r="CL26" s="23"/>
      <c r="CM26" s="21"/>
    </row>
    <row r="27" spans="1:91" ht="12.75">
      <c r="A27" s="26">
        <v>16</v>
      </c>
      <c r="B27" s="27" t="s">
        <v>53</v>
      </c>
      <c r="C27" s="4">
        <v>10.35</v>
      </c>
      <c r="D27" s="16">
        <v>14.17</v>
      </c>
      <c r="E27" s="16">
        <f>D$34/C27</f>
        <v>14.171014492753622</v>
      </c>
      <c r="F27" s="4"/>
      <c r="G27" s="4">
        <v>10.386</v>
      </c>
      <c r="H27" s="16">
        <v>14.1</v>
      </c>
      <c r="I27" s="16">
        <f>H$34/G27</f>
        <v>14.10456383593299</v>
      </c>
      <c r="J27" s="4"/>
      <c r="K27" s="4">
        <v>10.233</v>
      </c>
      <c r="L27" s="16">
        <v>14.19</v>
      </c>
      <c r="M27" s="16">
        <f>L$34/K27</f>
        <v>14.187432815401152</v>
      </c>
      <c r="N27" s="4"/>
      <c r="O27" s="4">
        <v>10.196</v>
      </c>
      <c r="P27" s="16">
        <v>14.19</v>
      </c>
      <c r="Q27" s="16">
        <f>P$34/O27</f>
        <v>14.184974499803845</v>
      </c>
      <c r="R27" s="4"/>
      <c r="S27" s="4">
        <v>10.1315</v>
      </c>
      <c r="T27" s="16">
        <v>14.3</v>
      </c>
      <c r="U27" s="16">
        <f>T$34/S27</f>
        <v>14.296007501357153</v>
      </c>
      <c r="V27" s="4"/>
      <c r="W27" s="4">
        <v>10.098</v>
      </c>
      <c r="X27" s="16">
        <v>14.38</v>
      </c>
      <c r="Y27" s="16">
        <f>X$34/W27</f>
        <v>14.380075262428203</v>
      </c>
      <c r="Z27" s="4"/>
      <c r="AA27" s="4">
        <v>10.192</v>
      </c>
      <c r="AB27" s="16">
        <v>14.29</v>
      </c>
      <c r="AC27" s="16">
        <f>AB$34/AA27</f>
        <v>14.292582417582416</v>
      </c>
      <c r="AD27" s="4"/>
      <c r="AE27" s="4">
        <v>10.152</v>
      </c>
      <c r="AF27" s="16">
        <v>14.4</v>
      </c>
      <c r="AG27" s="16">
        <f>AF$34/AE27</f>
        <v>14.398148148148149</v>
      </c>
      <c r="AH27" s="4"/>
      <c r="AI27" s="4">
        <v>10.1075</v>
      </c>
      <c r="AJ27" s="16">
        <v>14.43</v>
      </c>
      <c r="AK27" s="16">
        <f>AJ$34/AI27</f>
        <v>14.428889438535741</v>
      </c>
      <c r="AL27" s="4"/>
      <c r="AM27" s="4">
        <v>10.148</v>
      </c>
      <c r="AN27" s="16">
        <v>14.33</v>
      </c>
      <c r="AO27" s="16">
        <f>AN$34/AM27</f>
        <v>14.331888056759952</v>
      </c>
      <c r="AP27" s="4"/>
      <c r="AQ27" s="4">
        <v>10.276</v>
      </c>
      <c r="AR27" s="16">
        <v>14.22</v>
      </c>
      <c r="AS27" s="16">
        <f>AR$34/AQ27</f>
        <v>14.21856753600623</v>
      </c>
      <c r="AT27" s="4"/>
      <c r="AU27" s="4">
        <v>10.2895</v>
      </c>
      <c r="AV27" s="16">
        <v>14.2</v>
      </c>
      <c r="AW27" s="16">
        <f>AV$34/AU27</f>
        <v>14.201856261237182</v>
      </c>
      <c r="AX27" s="4"/>
      <c r="AY27" s="4">
        <v>10.194</v>
      </c>
      <c r="AZ27" s="16">
        <v>14.33</v>
      </c>
      <c r="BA27" s="16">
        <f>AZ$34/AY27</f>
        <v>14.332940945654306</v>
      </c>
      <c r="BB27" s="4"/>
      <c r="BC27" s="4">
        <v>10.1394</v>
      </c>
      <c r="BD27" s="16">
        <v>14.32</v>
      </c>
      <c r="BE27" s="16">
        <f>BD$34/BC27</f>
        <v>14.31544272836657</v>
      </c>
      <c r="BF27" s="4"/>
      <c r="BG27" s="4">
        <v>10.116</v>
      </c>
      <c r="BH27" s="16">
        <v>14.33</v>
      </c>
      <c r="BI27" s="16">
        <f>BH$34/BG27</f>
        <v>14.327797548438118</v>
      </c>
      <c r="BJ27" s="4"/>
      <c r="BK27" s="4">
        <v>10.1759</v>
      </c>
      <c r="BL27" s="16">
        <v>14.25</v>
      </c>
      <c r="BM27" s="16">
        <f>BL$34/BK27</f>
        <v>14.254267435804204</v>
      </c>
      <c r="BN27" s="4"/>
      <c r="BO27" s="4">
        <v>10.2044</v>
      </c>
      <c r="BP27" s="16">
        <v>14.23</v>
      </c>
      <c r="BQ27" s="16">
        <f>BP$34/BO27</f>
        <v>14.229156050331229</v>
      </c>
      <c r="BR27" s="4"/>
      <c r="BS27" s="4">
        <v>10.186</v>
      </c>
      <c r="BT27" s="16">
        <v>14.23</v>
      </c>
      <c r="BU27" s="16">
        <f>BT$34/BS27</f>
        <v>14.23424307873552</v>
      </c>
      <c r="BV27" s="4"/>
      <c r="BW27" s="4">
        <v>10.1561</v>
      </c>
      <c r="BX27" s="16">
        <v>14.26</v>
      </c>
      <c r="BY27" s="16">
        <f>BX$34/BW27</f>
        <v>14.259410600525792</v>
      </c>
      <c r="BZ27" s="4"/>
      <c r="CA27" s="4">
        <v>10.204</v>
      </c>
      <c r="CB27" s="16">
        <v>14.21</v>
      </c>
      <c r="CC27" s="16">
        <f>CB$34/CA27</f>
        <v>14.211093688749509</v>
      </c>
      <c r="CD27" s="4"/>
      <c r="CE27" s="4">
        <f t="shared" si="0"/>
        <v>10.196765000000001</v>
      </c>
      <c r="CF27" s="90">
        <f t="shared" si="1"/>
        <v>14.268</v>
      </c>
      <c r="CG27" s="90">
        <f t="shared" si="1"/>
        <v>14.268017617127592</v>
      </c>
      <c r="CH27" s="4"/>
      <c r="CI27" s="23"/>
      <c r="CJ27" s="42"/>
      <c r="CK27" s="42"/>
      <c r="CL27" s="23"/>
      <c r="CM27" s="21"/>
    </row>
    <row r="28" spans="1:91" ht="12.75">
      <c r="A28" s="26">
        <v>17</v>
      </c>
      <c r="B28" s="27" t="s">
        <v>54</v>
      </c>
      <c r="C28" s="4">
        <v>9.144</v>
      </c>
      <c r="D28" s="16">
        <v>16.04</v>
      </c>
      <c r="E28" s="16">
        <f>D$34/C28</f>
        <v>16.040026246719158</v>
      </c>
      <c r="F28" s="4"/>
      <c r="G28" s="4">
        <v>9.1396</v>
      </c>
      <c r="H28" s="16">
        <v>16.03</v>
      </c>
      <c r="I28" s="16">
        <f>H$34/G28</f>
        <v>16.028053744146355</v>
      </c>
      <c r="J28" s="4"/>
      <c r="K28" s="4">
        <v>9.0772</v>
      </c>
      <c r="L28" s="16">
        <v>15.99</v>
      </c>
      <c r="M28" s="16">
        <f>L$34/K28</f>
        <v>15.993918829595032</v>
      </c>
      <c r="N28" s="4"/>
      <c r="O28" s="4">
        <v>9.062</v>
      </c>
      <c r="P28" s="16">
        <v>15.96</v>
      </c>
      <c r="Q28" s="16">
        <f>P$34/O28</f>
        <v>15.960052968439639</v>
      </c>
      <c r="R28" s="4"/>
      <c r="S28" s="4">
        <v>9.0362</v>
      </c>
      <c r="T28" s="16">
        <v>16.03</v>
      </c>
      <c r="U28" s="16">
        <f>T$34/S28</f>
        <v>16.028861689648306</v>
      </c>
      <c r="V28" s="4"/>
      <c r="W28" s="4">
        <v>9.0282</v>
      </c>
      <c r="X28" s="16">
        <v>16.08</v>
      </c>
      <c r="Y28" s="16">
        <f>X$34/W28</f>
        <v>16.084047761458542</v>
      </c>
      <c r="Z28" s="4"/>
      <c r="AA28" s="4">
        <v>9.0583</v>
      </c>
      <c r="AB28" s="16">
        <v>16.08</v>
      </c>
      <c r="AC28" s="16">
        <f>AB$34/AA28</f>
        <v>16.081383924135874</v>
      </c>
      <c r="AD28" s="4"/>
      <c r="AE28" s="4">
        <v>9.0693</v>
      </c>
      <c r="AF28" s="16">
        <v>16.12</v>
      </c>
      <c r="AG28" s="16">
        <f>AF$34/AE28</f>
        <v>16.117010133086346</v>
      </c>
      <c r="AH28" s="4"/>
      <c r="AI28" s="4">
        <v>9.069</v>
      </c>
      <c r="AJ28" s="16">
        <v>16.08</v>
      </c>
      <c r="AK28" s="16">
        <f>AJ$34/AI28</f>
        <v>16.081155584959753</v>
      </c>
      <c r="AL28" s="4"/>
      <c r="AM28" s="4">
        <v>9.1136</v>
      </c>
      <c r="AN28" s="16">
        <v>15.96</v>
      </c>
      <c r="AO28" s="16">
        <f>AN$34/AM28</f>
        <v>15.958567415730338</v>
      </c>
      <c r="AP28" s="4"/>
      <c r="AQ28" s="4">
        <v>9.1208</v>
      </c>
      <c r="AR28" s="16">
        <v>16.02</v>
      </c>
      <c r="AS28" s="16">
        <f>AR$34/AQ28</f>
        <v>16.019428120340326</v>
      </c>
      <c r="AT28" s="4"/>
      <c r="AU28" s="4">
        <v>9.1194</v>
      </c>
      <c r="AV28" s="16">
        <v>16.02</v>
      </c>
      <c r="AW28" s="16">
        <f>AV$34/AU28</f>
        <v>16.02408053161392</v>
      </c>
      <c r="AX28" s="4"/>
      <c r="AY28" s="4">
        <v>9.1106</v>
      </c>
      <c r="AZ28" s="16">
        <v>16.04</v>
      </c>
      <c r="BA28" s="16">
        <f>AZ$34/AY28</f>
        <v>16.037363071586945</v>
      </c>
      <c r="BB28" s="4"/>
      <c r="BC28" s="4">
        <v>9.0584</v>
      </c>
      <c r="BD28" s="16">
        <v>16.02</v>
      </c>
      <c r="BE28" s="16">
        <f>BD$34/BC28</f>
        <v>16.0238011127793</v>
      </c>
      <c r="BF28" s="4"/>
      <c r="BG28" s="4">
        <v>9.0496</v>
      </c>
      <c r="BH28" s="16">
        <v>16.02</v>
      </c>
      <c r="BI28" s="16">
        <f>BH$34/BG28</f>
        <v>16.016177510608205</v>
      </c>
      <c r="BJ28" s="4"/>
      <c r="BK28" s="4">
        <v>9.0515</v>
      </c>
      <c r="BL28" s="16">
        <v>16.02</v>
      </c>
      <c r="BM28" s="16">
        <f>BL$34/BK28</f>
        <v>16.024968237308734</v>
      </c>
      <c r="BN28" s="4"/>
      <c r="BO28" s="4">
        <v>9.0994</v>
      </c>
      <c r="BP28" s="16">
        <v>15.96</v>
      </c>
      <c r="BQ28" s="16">
        <f>BP$34/BO28</f>
        <v>15.9570960722685</v>
      </c>
      <c r="BR28" s="4"/>
      <c r="BS28" s="4">
        <v>9.1012</v>
      </c>
      <c r="BT28" s="16">
        <v>15.93</v>
      </c>
      <c r="BU28" s="16">
        <f>BT$34/BS28</f>
        <v>15.930866259394366</v>
      </c>
      <c r="BV28" s="4"/>
      <c r="BW28" s="4">
        <v>9.0722</v>
      </c>
      <c r="BX28" s="16">
        <v>15.96</v>
      </c>
      <c r="BY28" s="16">
        <f>BX$34/BW28</f>
        <v>15.963051960935603</v>
      </c>
      <c r="BZ28" s="4"/>
      <c r="CA28" s="4">
        <v>9.0866</v>
      </c>
      <c r="CB28" s="16">
        <v>15.96</v>
      </c>
      <c r="CC28" s="16">
        <f>CB$34/CA28</f>
        <v>15.958664406928882</v>
      </c>
      <c r="CD28" s="4"/>
      <c r="CE28" s="4">
        <f t="shared" si="0"/>
        <v>9.083355000000001</v>
      </c>
      <c r="CF28" s="90">
        <f aca="true" t="shared" si="2" ref="CF28:CG34">(+D28+H28+L28+P28+T28+X28+AB28+AF28+AJ28+AN28+AR28+AV28+AZ28+BD28+BH28+BL28+BP28+BT28+BX28+CB28)/20</f>
        <v>16.016</v>
      </c>
      <c r="CG28" s="90">
        <f t="shared" si="2"/>
        <v>16.016428779084208</v>
      </c>
      <c r="CH28" s="4"/>
      <c r="CI28" s="23"/>
      <c r="CJ28" s="42"/>
      <c r="CK28" s="42"/>
      <c r="CL28" s="23"/>
      <c r="CM28" s="21"/>
    </row>
    <row r="29" spans="1:91" ht="12.75">
      <c r="A29" s="26">
        <v>18</v>
      </c>
      <c r="B29" s="27" t="s">
        <v>55</v>
      </c>
      <c r="C29" s="4">
        <v>8.448</v>
      </c>
      <c r="D29" s="16">
        <v>17.36</v>
      </c>
      <c r="E29" s="16">
        <f>D$34/C29</f>
        <v>17.36150568181818</v>
      </c>
      <c r="F29" s="4"/>
      <c r="G29" s="4">
        <v>8.4137</v>
      </c>
      <c r="H29" s="16">
        <v>17.41</v>
      </c>
      <c r="I29" s="16">
        <f>H$34/G29</f>
        <v>17.41088938279235</v>
      </c>
      <c r="J29" s="4"/>
      <c r="K29" s="4">
        <v>8.2771</v>
      </c>
      <c r="L29" s="16">
        <v>17.54</v>
      </c>
      <c r="M29" s="16">
        <f>L$34/K29</f>
        <v>17.539959647702698</v>
      </c>
      <c r="N29" s="4"/>
      <c r="O29" s="4">
        <v>8.2889</v>
      </c>
      <c r="P29" s="16">
        <v>17.45</v>
      </c>
      <c r="Q29" s="16">
        <f>P$34/O29</f>
        <v>17.44863612783361</v>
      </c>
      <c r="R29" s="4"/>
      <c r="S29" s="4">
        <v>8.2816</v>
      </c>
      <c r="T29" s="16">
        <v>17.49</v>
      </c>
      <c r="U29" s="16">
        <f>T$34/S29</f>
        <v>17.48937403400309</v>
      </c>
      <c r="V29" s="4"/>
      <c r="W29" s="4">
        <v>8.2829</v>
      </c>
      <c r="X29" s="16">
        <v>17.53</v>
      </c>
      <c r="Y29" s="16">
        <f>X$34/W29</f>
        <v>17.531299424114746</v>
      </c>
      <c r="Z29" s="4"/>
      <c r="AA29" s="4">
        <v>8.319</v>
      </c>
      <c r="AB29" s="16">
        <v>17.51</v>
      </c>
      <c r="AC29" s="16">
        <f>AB$34/AA29</f>
        <v>17.51051809111672</v>
      </c>
      <c r="AD29" s="4"/>
      <c r="AE29" s="4">
        <v>8.3829</v>
      </c>
      <c r="AF29" s="16">
        <v>17.44</v>
      </c>
      <c r="AG29" s="16">
        <f>AF$34/AE29</f>
        <v>17.436686588173544</v>
      </c>
      <c r="AH29" s="4"/>
      <c r="AI29" s="4">
        <v>8.407</v>
      </c>
      <c r="AJ29" s="16">
        <v>17.35</v>
      </c>
      <c r="AK29" s="16">
        <f>AJ$34/AI29</f>
        <v>17.34744855477578</v>
      </c>
      <c r="AL29" s="4"/>
      <c r="AM29" s="4">
        <v>8.407</v>
      </c>
      <c r="AN29" s="16">
        <v>17.3</v>
      </c>
      <c r="AO29" s="16">
        <f>AN$34/AM29</f>
        <v>17.299869156655166</v>
      </c>
      <c r="AP29" s="4"/>
      <c r="AQ29" s="4">
        <v>8.46</v>
      </c>
      <c r="AR29" s="16">
        <v>17.27</v>
      </c>
      <c r="AS29" s="16">
        <f>AR$34/AQ29</f>
        <v>17.27068557919622</v>
      </c>
      <c r="AT29" s="4"/>
      <c r="AU29" s="4">
        <v>8.4696</v>
      </c>
      <c r="AV29" s="16">
        <v>17.25</v>
      </c>
      <c r="AW29" s="16">
        <f>AV$34/AU29</f>
        <v>17.253471238311135</v>
      </c>
      <c r="AX29" s="4"/>
      <c r="AY29" s="4">
        <v>8.4345</v>
      </c>
      <c r="AZ29" s="16">
        <v>17.32</v>
      </c>
      <c r="BA29" s="16">
        <f>AZ$34/AY29</f>
        <v>17.322899994071967</v>
      </c>
      <c r="BB29" s="4"/>
      <c r="BC29" s="4">
        <v>8.3275</v>
      </c>
      <c r="BD29" s="16">
        <v>17.43</v>
      </c>
      <c r="BE29" s="16">
        <f>BD$34/BC29</f>
        <v>17.43020114079856</v>
      </c>
      <c r="BF29" s="4"/>
      <c r="BG29" s="4">
        <v>8.292</v>
      </c>
      <c r="BH29" s="16">
        <v>17.48</v>
      </c>
      <c r="BI29" s="16">
        <f>BH$34/BG29</f>
        <v>17.47949831162566</v>
      </c>
      <c r="BJ29" s="4"/>
      <c r="BK29" s="4">
        <v>8.2874</v>
      </c>
      <c r="BL29" s="16">
        <v>17.5</v>
      </c>
      <c r="BM29" s="16">
        <f>BL$34/BK29</f>
        <v>17.502473634674327</v>
      </c>
      <c r="BN29" s="4"/>
      <c r="BO29" s="4">
        <v>8.3175</v>
      </c>
      <c r="BP29" s="16">
        <v>17.46</v>
      </c>
      <c r="BQ29" s="16">
        <f>BP$34/BO29</f>
        <v>17.457168620378717</v>
      </c>
      <c r="BR29" s="4"/>
      <c r="BS29" s="4">
        <v>8.3177</v>
      </c>
      <c r="BT29" s="16">
        <v>17.43</v>
      </c>
      <c r="BU29" s="16">
        <f>BT$34/BS29</f>
        <v>17.43150149680801</v>
      </c>
      <c r="BV29" s="4"/>
      <c r="BW29" s="4">
        <v>8.3189</v>
      </c>
      <c r="BX29" s="16">
        <v>17.41</v>
      </c>
      <c r="BY29" s="16">
        <f>BX$34/BW29</f>
        <v>17.40855161139093</v>
      </c>
      <c r="BZ29" s="4"/>
      <c r="CA29" s="4">
        <v>8.3769</v>
      </c>
      <c r="CB29" s="16">
        <v>17.31</v>
      </c>
      <c r="CC29" s="16">
        <f>CB$34/CA29</f>
        <v>17.310699662166197</v>
      </c>
      <c r="CD29" s="4"/>
      <c r="CE29" s="4">
        <f t="shared" si="0"/>
        <v>8.355505</v>
      </c>
      <c r="CF29" s="90">
        <f t="shared" si="2"/>
        <v>17.412</v>
      </c>
      <c r="CG29" s="90">
        <f t="shared" si="2"/>
        <v>17.412166898920383</v>
      </c>
      <c r="CH29" s="4"/>
      <c r="CI29" s="23"/>
      <c r="CJ29" s="42"/>
      <c r="CK29" s="42"/>
      <c r="CL29" s="23"/>
      <c r="CM29" s="21"/>
    </row>
    <row r="30" spans="1:91" ht="12.75">
      <c r="A30" s="26">
        <v>19</v>
      </c>
      <c r="B30" s="27" t="s">
        <v>56</v>
      </c>
      <c r="C30" s="4">
        <v>6.7343</v>
      </c>
      <c r="D30" s="16">
        <v>21.78</v>
      </c>
      <c r="E30" s="16">
        <f>D$34/C30</f>
        <v>21.77954650074989</v>
      </c>
      <c r="F30" s="4"/>
      <c r="G30" s="4">
        <v>6.7085</v>
      </c>
      <c r="H30" s="16">
        <v>21.84</v>
      </c>
      <c r="I30" s="16">
        <f>H$34/G30</f>
        <v>21.836476112394724</v>
      </c>
      <c r="J30" s="4"/>
      <c r="K30" s="4">
        <v>6.5976</v>
      </c>
      <c r="L30" s="16">
        <v>22.01</v>
      </c>
      <c r="M30" s="16">
        <f>L$34/K30</f>
        <v>22.004971504789623</v>
      </c>
      <c r="N30" s="4"/>
      <c r="O30" s="4">
        <v>6.6034</v>
      </c>
      <c r="P30" s="16">
        <v>21.9</v>
      </c>
      <c r="Q30" s="16">
        <f>P$34/O30</f>
        <v>21.90235333313142</v>
      </c>
      <c r="R30" s="4"/>
      <c r="S30" s="4">
        <v>6.602</v>
      </c>
      <c r="T30" s="16">
        <v>21.94</v>
      </c>
      <c r="U30" s="16">
        <f>T$34/S30</f>
        <v>21.938806422296274</v>
      </c>
      <c r="V30" s="4"/>
      <c r="W30" s="4">
        <v>6.6012</v>
      </c>
      <c r="X30" s="16">
        <v>22</v>
      </c>
      <c r="Y30" s="16">
        <f>X$34/W30</f>
        <v>21.997515603223658</v>
      </c>
      <c r="Z30" s="4"/>
      <c r="AA30" s="4">
        <v>6.6262</v>
      </c>
      <c r="AB30" s="16">
        <v>21.98</v>
      </c>
      <c r="AC30" s="16">
        <f>AB$34/AA30</f>
        <v>21.983942531164164</v>
      </c>
      <c r="AD30" s="4"/>
      <c r="AE30" s="4">
        <v>6.6844</v>
      </c>
      <c r="AF30" s="16">
        <v>21.87</v>
      </c>
      <c r="AG30" s="16">
        <f>AF$34/AE30</f>
        <v>21.867332894500628</v>
      </c>
      <c r="AH30" s="4"/>
      <c r="AI30" s="4">
        <v>6.6723</v>
      </c>
      <c r="AJ30" s="16">
        <v>21.86</v>
      </c>
      <c r="AK30" s="16">
        <f>AJ$34/AI30</f>
        <v>21.857530386823136</v>
      </c>
      <c r="AL30" s="4"/>
      <c r="AM30" s="4">
        <v>6.6806</v>
      </c>
      <c r="AN30" s="16">
        <v>21.77</v>
      </c>
      <c r="AO30" s="16">
        <f>AN$34/AM30</f>
        <v>21.770499655719547</v>
      </c>
      <c r="AP30" s="4"/>
      <c r="AQ30" s="4">
        <v>6.7435</v>
      </c>
      <c r="AR30" s="16">
        <v>21.67</v>
      </c>
      <c r="AS30" s="16">
        <f>AR$34/AQ30</f>
        <v>21.6667902424557</v>
      </c>
      <c r="AT30" s="4"/>
      <c r="AU30" s="4">
        <v>6.7519</v>
      </c>
      <c r="AV30" s="16">
        <v>21.64</v>
      </c>
      <c r="AW30" s="16">
        <f>AV$34/AU30</f>
        <v>21.642796842370295</v>
      </c>
      <c r="AX30" s="4"/>
      <c r="AY30" s="4">
        <v>6.7221</v>
      </c>
      <c r="AZ30" s="16">
        <v>21.74</v>
      </c>
      <c r="BA30" s="16">
        <f>AZ$34/AY30</f>
        <v>21.73576709659184</v>
      </c>
      <c r="BB30" s="4"/>
      <c r="BC30" s="4">
        <v>6.6359</v>
      </c>
      <c r="BD30" s="16">
        <v>21.87</v>
      </c>
      <c r="BE30" s="16">
        <f>BD$34/BC30</f>
        <v>21.873445953073432</v>
      </c>
      <c r="BF30" s="4"/>
      <c r="BG30" s="4">
        <v>6.6086</v>
      </c>
      <c r="BH30" s="16">
        <v>21.93</v>
      </c>
      <c r="BI30" s="16">
        <f>BH$34/BG30</f>
        <v>21.93202796356263</v>
      </c>
      <c r="BJ30" s="4"/>
      <c r="BK30" s="4">
        <v>6.6071</v>
      </c>
      <c r="BL30" s="16">
        <v>21.95</v>
      </c>
      <c r="BM30" s="16">
        <f>BL$34/BK30</f>
        <v>21.953655915605943</v>
      </c>
      <c r="BN30" s="4"/>
      <c r="BO30" s="4">
        <v>6.6285</v>
      </c>
      <c r="BP30" s="16">
        <v>21.91</v>
      </c>
      <c r="BQ30" s="16">
        <f>BP$34/BO30</f>
        <v>21.90540846345327</v>
      </c>
      <c r="BR30" s="4"/>
      <c r="BS30" s="4">
        <v>6.6299</v>
      </c>
      <c r="BT30" s="16">
        <v>21.87</v>
      </c>
      <c r="BU30" s="16">
        <f>BT$34/BS30</f>
        <v>21.869108131344365</v>
      </c>
      <c r="BV30" s="4"/>
      <c r="BW30" s="4">
        <v>6.6277</v>
      </c>
      <c r="BX30" s="16">
        <v>21.85</v>
      </c>
      <c r="BY30" s="16">
        <f>BX$34/BW30</f>
        <v>21.850717443457004</v>
      </c>
      <c r="BZ30" s="4"/>
      <c r="CA30" s="4">
        <v>6.6746</v>
      </c>
      <c r="CB30" s="16">
        <v>21.73</v>
      </c>
      <c r="CC30" s="16">
        <f>CB$34/CA30</f>
        <v>21.72564648068798</v>
      </c>
      <c r="CD30" s="4"/>
      <c r="CE30" s="4">
        <f t="shared" si="0"/>
        <v>6.657015000000001</v>
      </c>
      <c r="CF30" s="90">
        <f t="shared" si="2"/>
        <v>21.855500000000003</v>
      </c>
      <c r="CG30" s="90">
        <f t="shared" si="2"/>
        <v>21.854716973869778</v>
      </c>
      <c r="CH30" s="4"/>
      <c r="CI30" s="23"/>
      <c r="CJ30" s="42"/>
      <c r="CK30" s="42"/>
      <c r="CL30" s="23"/>
      <c r="CM30" s="21"/>
    </row>
    <row r="31" spans="1:91" ht="12.75">
      <c r="A31" s="26">
        <v>20</v>
      </c>
      <c r="B31" s="27" t="s">
        <v>57</v>
      </c>
      <c r="C31" s="4">
        <v>227.0721</v>
      </c>
      <c r="D31" s="16">
        <v>64.59</v>
      </c>
      <c r="E31" s="16">
        <f>D$34/C31*100</f>
        <v>64.59181907420593</v>
      </c>
      <c r="F31" s="4"/>
      <c r="G31" s="4">
        <v>226.2011</v>
      </c>
      <c r="H31" s="16">
        <v>64.76</v>
      </c>
      <c r="I31" s="16">
        <f>H$34/G31*100</f>
        <v>64.76095828004374</v>
      </c>
      <c r="J31" s="4"/>
      <c r="K31" s="4">
        <v>222.4612</v>
      </c>
      <c r="L31" s="16">
        <v>65.26</v>
      </c>
      <c r="M31" s="16">
        <f>L$34/K31*100</f>
        <v>65.26081851576815</v>
      </c>
      <c r="N31" s="4"/>
      <c r="O31" s="4">
        <v>222.6588</v>
      </c>
      <c r="P31" s="16">
        <v>64.96</v>
      </c>
      <c r="Q31" s="16">
        <f>P$34/O31*100</f>
        <v>64.95588766309707</v>
      </c>
      <c r="R31" s="4"/>
      <c r="S31" s="4">
        <v>222.6094</v>
      </c>
      <c r="T31" s="16">
        <v>65.07</v>
      </c>
      <c r="U31" s="16">
        <f>T$34/S31*100</f>
        <v>65.0646378814192</v>
      </c>
      <c r="V31" s="4"/>
      <c r="W31" s="4">
        <v>222.5847</v>
      </c>
      <c r="X31" s="16">
        <v>65.24</v>
      </c>
      <c r="Y31" s="16">
        <f>X$34/W31*100</f>
        <v>65.23808689456195</v>
      </c>
      <c r="Z31" s="4"/>
      <c r="AA31" s="4">
        <v>223.4281</v>
      </c>
      <c r="AB31" s="16">
        <v>65.2</v>
      </c>
      <c r="AC31" s="16">
        <f>AB$34/AA31*100</f>
        <v>65.19770789797703</v>
      </c>
      <c r="AD31" s="4"/>
      <c r="AE31" s="4">
        <v>225.3873</v>
      </c>
      <c r="AF31" s="16">
        <v>64.85</v>
      </c>
      <c r="AG31" s="16">
        <f>AF$34/AE31*100</f>
        <v>64.85281113887072</v>
      </c>
      <c r="AH31" s="4"/>
      <c r="AI31" s="4">
        <v>224.9826</v>
      </c>
      <c r="AJ31" s="16">
        <v>64.82</v>
      </c>
      <c r="AK31" s="16">
        <f>AJ$34/AI31*100</f>
        <v>64.8227907402617</v>
      </c>
      <c r="AL31" s="4"/>
      <c r="AM31" s="4">
        <v>225.2607</v>
      </c>
      <c r="AN31" s="16">
        <v>64.57</v>
      </c>
      <c r="AO31" s="16">
        <f>AN$34/AM31*100</f>
        <v>64.56519046598008</v>
      </c>
      <c r="AP31" s="4"/>
      <c r="AQ31" s="4">
        <v>227.3812</v>
      </c>
      <c r="AR31" s="16">
        <v>64.26</v>
      </c>
      <c r="AS31" s="16">
        <f>AR$34/AQ31*100</f>
        <v>64.25773107011487</v>
      </c>
      <c r="AT31" s="4"/>
      <c r="AU31" s="4">
        <v>227.6652</v>
      </c>
      <c r="AV31" s="16">
        <v>64.19</v>
      </c>
      <c r="AW31" s="16">
        <f>AV$34/AU31*100</f>
        <v>64.18635786233469</v>
      </c>
      <c r="AX31" s="4"/>
      <c r="AY31" s="4">
        <v>226.6614</v>
      </c>
      <c r="AZ31" s="16">
        <v>64.46</v>
      </c>
      <c r="BA31" s="16">
        <f>AZ$34/AY31*100</f>
        <v>64.46179190634136</v>
      </c>
      <c r="BB31" s="4"/>
      <c r="BC31" s="4">
        <v>223.7522</v>
      </c>
      <c r="BD31" s="16">
        <v>64.87</v>
      </c>
      <c r="BE31" s="16">
        <f>BD$34/BC31*100</f>
        <v>64.87087054339578</v>
      </c>
      <c r="BF31" s="4"/>
      <c r="BG31" s="4">
        <v>222.8321</v>
      </c>
      <c r="BH31" s="16">
        <v>65.04</v>
      </c>
      <c r="BI31" s="16">
        <f>BH$34/BG31*100</f>
        <v>65.04448865311595</v>
      </c>
      <c r="BJ31" s="4"/>
      <c r="BK31" s="4">
        <v>222.7825</v>
      </c>
      <c r="BL31" s="16">
        <v>65.11</v>
      </c>
      <c r="BM31" s="16">
        <f>BL$34/BK31*100</f>
        <v>65.10834558369712</v>
      </c>
      <c r="BN31" s="4"/>
      <c r="BO31" s="4">
        <v>223.5028</v>
      </c>
      <c r="BP31" s="16">
        <v>64.96</v>
      </c>
      <c r="BQ31" s="16">
        <f>BP$34/BO31*100</f>
        <v>64.96562906594458</v>
      </c>
      <c r="BR31" s="4"/>
      <c r="BS31" s="4">
        <v>223.5526</v>
      </c>
      <c r="BT31" s="16">
        <v>64.86</v>
      </c>
      <c r="BU31" s="16">
        <f>BT$34/BS31*100</f>
        <v>64.85721928530467</v>
      </c>
      <c r="BV31" s="4"/>
      <c r="BW31" s="4">
        <v>223.4779</v>
      </c>
      <c r="BX31" s="16">
        <v>64.8</v>
      </c>
      <c r="BY31" s="16">
        <f>BX$34/BW31*100</f>
        <v>64.80282837810807</v>
      </c>
      <c r="BZ31" s="4"/>
      <c r="CA31" s="4">
        <v>225.0584</v>
      </c>
      <c r="CB31" s="16">
        <v>64.43</v>
      </c>
      <c r="CC31" s="16">
        <f>CB$34/CA31*100</f>
        <v>64.4321651624645</v>
      </c>
      <c r="CD31" s="4"/>
      <c r="CE31" s="4">
        <f t="shared" si="0"/>
        <v>224.46561499999999</v>
      </c>
      <c r="CF31" s="90">
        <f t="shared" si="2"/>
        <v>64.815</v>
      </c>
      <c r="CG31" s="90">
        <f t="shared" si="2"/>
        <v>64.81490680315035</v>
      </c>
      <c r="CH31" s="4"/>
      <c r="CI31" s="23"/>
      <c r="CJ31" s="42"/>
      <c r="CK31" s="42"/>
      <c r="CL31" s="23"/>
      <c r="CM31" s="21"/>
    </row>
    <row r="32" spans="1:91" ht="12.75">
      <c r="A32" s="26">
        <v>21</v>
      </c>
      <c r="B32" s="27" t="s">
        <v>58</v>
      </c>
      <c r="C32" s="4">
        <f>1/1.25705</f>
        <v>0.7955133049600255</v>
      </c>
      <c r="D32" s="16">
        <v>184.38</v>
      </c>
      <c r="E32" s="16">
        <f>D$34/C32</f>
        <v>184.37152349999997</v>
      </c>
      <c r="F32" s="4"/>
      <c r="G32" s="4">
        <f>1/1.26021</f>
        <v>0.7935185405607001</v>
      </c>
      <c r="H32" s="16">
        <v>184.61</v>
      </c>
      <c r="I32" s="16">
        <f>H$34/G32</f>
        <v>184.60816290000002</v>
      </c>
      <c r="J32" s="4"/>
      <c r="K32" s="4">
        <f>1/1.26743</f>
        <v>0.7889982089740656</v>
      </c>
      <c r="L32" s="16">
        <v>184.01</v>
      </c>
      <c r="M32" s="16">
        <f>L$34/K32</f>
        <v>184.00548740000002</v>
      </c>
      <c r="N32" s="4"/>
      <c r="O32" s="4">
        <f>1/1.27136</f>
        <v>0.786559275106972</v>
      </c>
      <c r="P32" s="16">
        <v>183.88</v>
      </c>
      <c r="Q32" s="16">
        <f>P$34/O32</f>
        <v>183.87679680000002</v>
      </c>
      <c r="R32" s="4"/>
      <c r="S32" s="4">
        <f>1/1.26837</f>
        <v>0.7884134755631244</v>
      </c>
      <c r="T32" s="16">
        <v>183.71</v>
      </c>
      <c r="U32" s="16">
        <f>T$34/S32</f>
        <v>183.7107108</v>
      </c>
      <c r="V32" s="4"/>
      <c r="W32" s="4">
        <f>1/1.26837</f>
        <v>0.7884134755631244</v>
      </c>
      <c r="X32" s="16">
        <v>184.18</v>
      </c>
      <c r="Y32" s="16">
        <f>X$34/W32</f>
        <v>184.1800077</v>
      </c>
      <c r="Z32" s="4"/>
      <c r="AA32" s="4">
        <f>1/1.2692</f>
        <v>0.7878978884336589</v>
      </c>
      <c r="AB32" s="16">
        <v>184.89</v>
      </c>
      <c r="AC32" s="16">
        <f>AB$34/AA32</f>
        <v>184.884364</v>
      </c>
      <c r="AD32" s="4"/>
      <c r="AE32" s="4">
        <f>1/1.26591</f>
        <v>0.7899455727500375</v>
      </c>
      <c r="AF32" s="16">
        <v>185.04</v>
      </c>
      <c r="AG32" s="16">
        <f>AF$34/AE32</f>
        <v>185.03806469999998</v>
      </c>
      <c r="AH32" s="4"/>
      <c r="AI32" s="4">
        <f>1/1.26563</f>
        <v>0.7901203353270703</v>
      </c>
      <c r="AJ32" s="16">
        <v>184.57</v>
      </c>
      <c r="AK32" s="16">
        <f>AJ$34/AI32</f>
        <v>184.5794792</v>
      </c>
      <c r="AL32" s="4"/>
      <c r="AM32" s="4">
        <f>1/1.26563</f>
        <v>0.7901203353270703</v>
      </c>
      <c r="AN32" s="16">
        <v>184.08</v>
      </c>
      <c r="AO32" s="16">
        <f>AN$34/AM32</f>
        <v>184.07322720000002</v>
      </c>
      <c r="AP32" s="4"/>
      <c r="AQ32" s="4">
        <f>1/1.26181</f>
        <v>0.7925123433797481</v>
      </c>
      <c r="AR32" s="16">
        <v>184.36</v>
      </c>
      <c r="AS32" s="16">
        <f>AR$34/AQ32</f>
        <v>184.36305910000004</v>
      </c>
      <c r="AT32" s="4"/>
      <c r="AU32" s="4">
        <f>1/1.26181</f>
        <v>0.7925123433797481</v>
      </c>
      <c r="AV32" s="16">
        <v>184.39</v>
      </c>
      <c r="AW32" s="16">
        <f>AV$34/AU32</f>
        <v>184.3882953</v>
      </c>
      <c r="AX32" s="4"/>
      <c r="AY32" s="4">
        <f>1/1.26711</f>
        <v>0.7891974650977421</v>
      </c>
      <c r="AZ32" s="16">
        <v>185.14</v>
      </c>
      <c r="BA32" s="16">
        <f>AZ$34/AY32</f>
        <v>185.13744210000002</v>
      </c>
      <c r="BB32" s="4"/>
      <c r="BC32" s="4">
        <f>1/1.27442</f>
        <v>0.7846706737182404</v>
      </c>
      <c r="BD32" s="16">
        <v>184.98</v>
      </c>
      <c r="BE32" s="16">
        <f>BD$34/BC32</f>
        <v>184.982063</v>
      </c>
      <c r="BF32" s="4"/>
      <c r="BG32" s="4">
        <f>1/1.27443</f>
        <v>0.784664516685891</v>
      </c>
      <c r="BH32" s="16">
        <v>184.72</v>
      </c>
      <c r="BI32" s="16">
        <f>BH$34/BG32</f>
        <v>184.71588419999998</v>
      </c>
      <c r="BJ32" s="4"/>
      <c r="BK32" s="4">
        <f>1/1.27312</f>
        <v>0.7854719115244438</v>
      </c>
      <c r="BL32" s="16">
        <v>184.66</v>
      </c>
      <c r="BM32" s="16">
        <f>BL$34/BK32</f>
        <v>184.66605600000003</v>
      </c>
      <c r="BN32" s="4"/>
      <c r="BO32" s="4">
        <f>1/1.2706</f>
        <v>0.7870297497245397</v>
      </c>
      <c r="BP32" s="16">
        <v>184.49</v>
      </c>
      <c r="BQ32" s="16">
        <f>BP$34/BO32</f>
        <v>184.49111999999997</v>
      </c>
      <c r="BR32" s="4"/>
      <c r="BS32" s="4">
        <f>1/1.27227</f>
        <v>0.7859966830939973</v>
      </c>
      <c r="BT32" s="16">
        <v>184.47</v>
      </c>
      <c r="BU32" s="16">
        <f>BT$34/BS32</f>
        <v>184.46642730000002</v>
      </c>
      <c r="BV32" s="4"/>
      <c r="BW32" s="4">
        <f>1/1.27254</f>
        <v>0.7858299149732032</v>
      </c>
      <c r="BX32" s="16">
        <v>184.29</v>
      </c>
      <c r="BY32" s="16">
        <f>BX$34/BW32</f>
        <v>184.28924279999998</v>
      </c>
      <c r="BZ32" s="4"/>
      <c r="CA32" s="4">
        <f>1/1.26579</f>
        <v>0.7900204615299536</v>
      </c>
      <c r="CB32" s="16">
        <v>183.55</v>
      </c>
      <c r="CC32" s="16">
        <f>CB$34/CA32</f>
        <v>183.55220789999998</v>
      </c>
      <c r="CD32" s="4"/>
      <c r="CE32" s="4">
        <f t="shared" si="0"/>
        <v>0.7888703237836677</v>
      </c>
      <c r="CF32" s="90">
        <f t="shared" si="2"/>
        <v>184.41999999999996</v>
      </c>
      <c r="CG32" s="90">
        <f t="shared" si="2"/>
        <v>184.418981095</v>
      </c>
      <c r="CH32" s="4"/>
      <c r="CI32" s="23"/>
      <c r="CJ32" s="42"/>
      <c r="CK32" s="42"/>
      <c r="CL32" s="23"/>
      <c r="CM32" s="21"/>
    </row>
    <row r="33" spans="1:91" ht="12.75">
      <c r="A33" s="26">
        <v>22</v>
      </c>
      <c r="B33" s="27" t="s">
        <v>59</v>
      </c>
      <c r="C33" s="4">
        <v>385.944</v>
      </c>
      <c r="D33" s="16">
        <v>38</v>
      </c>
      <c r="E33" s="16">
        <f>D$34/C33*100</f>
        <v>38.00292270381195</v>
      </c>
      <c r="F33" s="4">
        <v>37.9</v>
      </c>
      <c r="G33" s="4">
        <v>384.4635</v>
      </c>
      <c r="H33" s="16">
        <v>38.1</v>
      </c>
      <c r="I33" s="16">
        <f>H$34/G33*100</f>
        <v>38.10244665618453</v>
      </c>
      <c r="J33" s="4">
        <v>38.05</v>
      </c>
      <c r="K33" s="4">
        <v>378.107</v>
      </c>
      <c r="L33" s="16">
        <v>38.4</v>
      </c>
      <c r="M33" s="16">
        <f>L$34/K33*100</f>
        <v>38.39653854596715</v>
      </c>
      <c r="N33" s="4">
        <v>38.15</v>
      </c>
      <c r="O33" s="4">
        <v>378.4429</v>
      </c>
      <c r="P33" s="16">
        <v>38.22</v>
      </c>
      <c r="Q33" s="16">
        <f>P$34/O33*100</f>
        <v>38.21712601821833</v>
      </c>
      <c r="R33" s="4">
        <v>38.15</v>
      </c>
      <c r="S33" s="4">
        <v>378.3589</v>
      </c>
      <c r="T33" s="16">
        <v>38.28</v>
      </c>
      <c r="U33" s="16">
        <f>T$34/S33*100</f>
        <v>38.28111351417926</v>
      </c>
      <c r="V33" s="4">
        <v>38.1</v>
      </c>
      <c r="W33" s="4">
        <v>378.3169</v>
      </c>
      <c r="X33" s="16">
        <v>38.38</v>
      </c>
      <c r="Y33" s="16">
        <f>X$34/W33*100</f>
        <v>38.38316501324683</v>
      </c>
      <c r="Z33" s="4">
        <v>38.1</v>
      </c>
      <c r="AA33" s="4">
        <v>379.7504</v>
      </c>
      <c r="AB33" s="16">
        <v>38.36</v>
      </c>
      <c r="AC33" s="16">
        <f>AB$34/AA33*100</f>
        <v>38.35940659970338</v>
      </c>
      <c r="AD33" s="4">
        <v>38.05</v>
      </c>
      <c r="AE33" s="4">
        <v>383.0804</v>
      </c>
      <c r="AF33" s="16">
        <v>38.16</v>
      </c>
      <c r="AG33" s="16">
        <f>AF$34/AE33*100</f>
        <v>38.15648098936933</v>
      </c>
      <c r="AH33" s="4">
        <v>38.03</v>
      </c>
      <c r="AI33" s="4">
        <v>382.3925</v>
      </c>
      <c r="AJ33" s="16">
        <v>38.14</v>
      </c>
      <c r="AK33" s="16">
        <f>AJ$34/AI33*100</f>
        <v>38.138823329432455</v>
      </c>
      <c r="AL33" s="4">
        <v>37.9</v>
      </c>
      <c r="AM33" s="4">
        <v>382.8652</v>
      </c>
      <c r="AN33" s="16">
        <v>37.99</v>
      </c>
      <c r="AO33" s="16">
        <f>AN$34/AM33*100</f>
        <v>37.987260268104805</v>
      </c>
      <c r="AP33" s="4">
        <v>37.87</v>
      </c>
      <c r="AQ33" s="4">
        <v>386.4693</v>
      </c>
      <c r="AR33" s="16">
        <v>37.81</v>
      </c>
      <c r="AS33" s="16">
        <f>AR$34/AQ33*100</f>
        <v>37.80636650828411</v>
      </c>
      <c r="AT33" s="4">
        <v>37.81</v>
      </c>
      <c r="AU33" s="23">
        <v>386.9521</v>
      </c>
      <c r="AV33" s="16">
        <v>37.76</v>
      </c>
      <c r="AW33" s="16">
        <f>AV$34/AU33*100</f>
        <v>37.764364116385465</v>
      </c>
      <c r="AX33" s="4">
        <v>37.8</v>
      </c>
      <c r="AY33" s="4">
        <v>385.2459</v>
      </c>
      <c r="AZ33" s="16">
        <v>37.93</v>
      </c>
      <c r="BA33" s="16">
        <f>AZ$34/AY33*100</f>
        <v>37.92642569330395</v>
      </c>
      <c r="BB33" s="4">
        <v>37.8</v>
      </c>
      <c r="BC33" s="4">
        <v>380.3013</v>
      </c>
      <c r="BD33" s="16">
        <v>38.17</v>
      </c>
      <c r="BE33" s="16">
        <f>BD$34/BC33*100</f>
        <v>38.16710592364528</v>
      </c>
      <c r="BF33" s="4">
        <v>37.95</v>
      </c>
      <c r="BG33" s="4">
        <v>378.7374</v>
      </c>
      <c r="BH33" s="16">
        <v>38.27</v>
      </c>
      <c r="BI33" s="16">
        <f>BH$34/BG33*100</f>
        <v>38.26925991465327</v>
      </c>
      <c r="BJ33" s="4">
        <v>38</v>
      </c>
      <c r="BK33" s="4">
        <v>378.6532</v>
      </c>
      <c r="BL33" s="16">
        <v>38.31</v>
      </c>
      <c r="BM33" s="16">
        <f>BL$34/BK33*100</f>
        <v>38.30682006648828</v>
      </c>
      <c r="BN33" s="4">
        <v>38</v>
      </c>
      <c r="BO33" s="4">
        <v>379.8774</v>
      </c>
      <c r="BP33" s="16">
        <v>38.22</v>
      </c>
      <c r="BQ33" s="16">
        <f>BP$34/BO33*100</f>
        <v>38.222858216887865</v>
      </c>
      <c r="BR33" s="4">
        <v>38</v>
      </c>
      <c r="BS33" s="4">
        <v>379.9621</v>
      </c>
      <c r="BT33" s="16">
        <v>38.16</v>
      </c>
      <c r="BU33" s="16">
        <f>BT$34/BS33*100</f>
        <v>38.15906902293676</v>
      </c>
      <c r="BV33" s="4">
        <v>38</v>
      </c>
      <c r="BW33" s="4">
        <v>379.835</v>
      </c>
      <c r="BX33" s="16">
        <v>38.13</v>
      </c>
      <c r="BY33" s="16">
        <f>BX$34/BW33*100</f>
        <v>38.1270814959127</v>
      </c>
      <c r="BZ33" s="4">
        <v>38.04</v>
      </c>
      <c r="CA33" s="4">
        <v>382.5213</v>
      </c>
      <c r="CB33" s="16">
        <v>37.91</v>
      </c>
      <c r="CC33" s="16">
        <f>CB$34/CA33*100</f>
        <v>37.90900010012514</v>
      </c>
      <c r="CD33" s="4">
        <v>37.9</v>
      </c>
      <c r="CE33" s="4">
        <f t="shared" si="0"/>
        <v>381.513835</v>
      </c>
      <c r="CF33" s="90">
        <f t="shared" si="2"/>
        <v>38.135</v>
      </c>
      <c r="CG33" s="90">
        <f t="shared" si="2"/>
        <v>38.13418173484204</v>
      </c>
      <c r="CH33" s="4">
        <f>(+F33+J33+N33+R33+V33+Z33+AD33+AH33+AL33+AP33+AT33+AX33+BB33+BF33+BJ33+BN33+BR33+BV33+BZ33+CD33)/20</f>
        <v>37.98</v>
      </c>
      <c r="CI33" s="23"/>
      <c r="CJ33" s="42"/>
      <c r="CK33" s="42"/>
      <c r="CL33" s="23"/>
      <c r="CM33" s="21"/>
    </row>
    <row r="34" spans="1:91" ht="13.5" thickBot="1">
      <c r="A34" s="29">
        <v>23</v>
      </c>
      <c r="B34" s="30" t="s">
        <v>60</v>
      </c>
      <c r="C34" s="13">
        <v>1</v>
      </c>
      <c r="D34" s="39">
        <v>146.67</v>
      </c>
      <c r="E34" s="40">
        <f>D$34/C34</f>
        <v>146.67</v>
      </c>
      <c r="F34" s="13">
        <v>147</v>
      </c>
      <c r="G34" s="13">
        <v>1</v>
      </c>
      <c r="H34" s="39">
        <v>146.49</v>
      </c>
      <c r="I34" s="40">
        <f>H$34/G34</f>
        <v>146.49</v>
      </c>
      <c r="J34" s="13">
        <v>146.44</v>
      </c>
      <c r="K34" s="13">
        <v>1</v>
      </c>
      <c r="L34" s="39">
        <v>145.18</v>
      </c>
      <c r="M34" s="40">
        <f>L$34/K34</f>
        <v>145.18</v>
      </c>
      <c r="N34" s="13">
        <v>145.26</v>
      </c>
      <c r="O34" s="13">
        <v>1</v>
      </c>
      <c r="P34" s="39">
        <v>144.63</v>
      </c>
      <c r="Q34" s="40">
        <f>P$34/O34</f>
        <v>144.63</v>
      </c>
      <c r="R34" s="13">
        <v>144.42</v>
      </c>
      <c r="S34" s="13">
        <v>1</v>
      </c>
      <c r="T34" s="39">
        <v>144.84</v>
      </c>
      <c r="U34" s="40">
        <f>T$34/S34</f>
        <v>144.84</v>
      </c>
      <c r="V34" s="13">
        <v>145.08</v>
      </c>
      <c r="W34" s="13">
        <v>1</v>
      </c>
      <c r="X34" s="39">
        <v>145.21</v>
      </c>
      <c r="Y34" s="40">
        <f>X$34/W34</f>
        <v>145.21</v>
      </c>
      <c r="Z34" s="13">
        <v>144.98</v>
      </c>
      <c r="AA34" s="13">
        <v>1</v>
      </c>
      <c r="AB34" s="39">
        <v>145.67</v>
      </c>
      <c r="AC34" s="40">
        <f>AB$34/AA34</f>
        <v>145.67</v>
      </c>
      <c r="AD34" s="13">
        <v>145.44</v>
      </c>
      <c r="AE34" s="13">
        <v>1</v>
      </c>
      <c r="AF34" s="39">
        <v>146.17</v>
      </c>
      <c r="AG34" s="40">
        <f>AF$34/AE34</f>
        <v>146.17</v>
      </c>
      <c r="AH34" s="13">
        <v>145.84</v>
      </c>
      <c r="AI34" s="13">
        <v>1</v>
      </c>
      <c r="AJ34" s="39">
        <v>145.84</v>
      </c>
      <c r="AK34" s="40">
        <f>AJ$34/AI34</f>
        <v>145.84</v>
      </c>
      <c r="AL34" s="13">
        <v>145.96</v>
      </c>
      <c r="AM34" s="13">
        <v>1</v>
      </c>
      <c r="AN34" s="39">
        <v>145.44</v>
      </c>
      <c r="AO34" s="40">
        <f>AN$34/AM34</f>
        <v>145.44</v>
      </c>
      <c r="AP34" s="13">
        <v>145.52</v>
      </c>
      <c r="AQ34" s="13">
        <v>1</v>
      </c>
      <c r="AR34" s="39">
        <v>146.11</v>
      </c>
      <c r="AS34" s="40">
        <f>AR$34/AQ34</f>
        <v>146.11</v>
      </c>
      <c r="AT34" s="13">
        <v>146.1</v>
      </c>
      <c r="AU34" s="13">
        <v>1</v>
      </c>
      <c r="AV34" s="39">
        <v>146.13</v>
      </c>
      <c r="AW34" s="40">
        <f>AV$34/AU34</f>
        <v>146.13</v>
      </c>
      <c r="AX34" s="13">
        <v>146.26</v>
      </c>
      <c r="AY34" s="13">
        <v>1</v>
      </c>
      <c r="AZ34" s="39">
        <v>146.11</v>
      </c>
      <c r="BA34" s="40">
        <f>AZ$34/AY34</f>
        <v>146.11</v>
      </c>
      <c r="BB34" s="13">
        <v>146.3</v>
      </c>
      <c r="BC34" s="13">
        <v>1</v>
      </c>
      <c r="BD34" s="39">
        <v>145.15</v>
      </c>
      <c r="BE34" s="40">
        <f>BD$34/BC34</f>
        <v>145.15</v>
      </c>
      <c r="BF34" s="13">
        <v>145.16</v>
      </c>
      <c r="BG34" s="13">
        <v>1</v>
      </c>
      <c r="BH34" s="39">
        <v>144.94</v>
      </c>
      <c r="BI34" s="40">
        <f>BH$34/BG34</f>
        <v>144.94</v>
      </c>
      <c r="BJ34" s="13">
        <v>145.08</v>
      </c>
      <c r="BK34" s="13">
        <v>1</v>
      </c>
      <c r="BL34" s="39">
        <v>145.05</v>
      </c>
      <c r="BM34" s="40">
        <f>BL$34/BK34</f>
        <v>145.05</v>
      </c>
      <c r="BN34" s="13">
        <v>145.19</v>
      </c>
      <c r="BO34" s="13">
        <v>1</v>
      </c>
      <c r="BP34" s="39">
        <v>145.2</v>
      </c>
      <c r="BQ34" s="40">
        <f>BP$34/BO34</f>
        <v>145.2</v>
      </c>
      <c r="BR34" s="13">
        <v>145.4</v>
      </c>
      <c r="BS34" s="13">
        <v>1</v>
      </c>
      <c r="BT34" s="39">
        <v>144.99</v>
      </c>
      <c r="BU34" s="40">
        <f>BT$34/BS34</f>
        <v>144.99</v>
      </c>
      <c r="BV34" s="13">
        <v>145</v>
      </c>
      <c r="BW34" s="13">
        <v>1</v>
      </c>
      <c r="BX34" s="39">
        <v>144.82</v>
      </c>
      <c r="BY34" s="40">
        <f>BX$34/BW34</f>
        <v>144.82</v>
      </c>
      <c r="BZ34" s="13">
        <v>144.8</v>
      </c>
      <c r="CA34" s="13">
        <v>1</v>
      </c>
      <c r="CB34" s="39">
        <v>145.01</v>
      </c>
      <c r="CC34" s="40">
        <f>CB$34/CA34</f>
        <v>145.01</v>
      </c>
      <c r="CD34" s="24">
        <v>145.34</v>
      </c>
      <c r="CE34" s="24">
        <f t="shared" si="0"/>
        <v>1</v>
      </c>
      <c r="CF34" s="91">
        <f t="shared" si="2"/>
        <v>145.48250000000002</v>
      </c>
      <c r="CG34" s="91">
        <f t="shared" si="2"/>
        <v>145.48250000000002</v>
      </c>
      <c r="CH34" s="24">
        <f>(+F34+J34+N34+R34+V34+Z34+AD34+AH34+AL34+AP34+AT34+AX34+BB34+BF34+BJ34+BN34+BR34+BV34+BZ34+CD34)/20</f>
        <v>145.52850000000004</v>
      </c>
      <c r="CI34" s="23"/>
      <c r="CJ34" s="42"/>
      <c r="CK34" s="42"/>
      <c r="CL34" s="23"/>
      <c r="CM34" s="21"/>
    </row>
    <row r="35" spans="1:91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4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34"/>
      <c r="CA35" s="1"/>
      <c r="CB35" s="1"/>
      <c r="CC35" s="1"/>
      <c r="CD35" s="34"/>
      <c r="CE35" s="1"/>
      <c r="CF35" s="1"/>
      <c r="CG35" s="1"/>
      <c r="CH35" s="34"/>
      <c r="CI35" s="14"/>
      <c r="CJ35" s="14"/>
      <c r="CK35" s="14"/>
      <c r="CL35" s="35"/>
      <c r="CM35" s="21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16" r:id="rId1"/>
  <headerFooter alignWithMargins="0">
    <oddHeader>&amp;L&amp;"Times New Roman,Bold"&amp;12Sektori i Informacionit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35"/>
  <sheetViews>
    <sheetView zoomScale="75" zoomScaleNormal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4.7109375" style="0" customWidth="1"/>
    <col min="2" max="2" width="32.28125" style="0" customWidth="1"/>
    <col min="92" max="92" width="10.140625" style="0" customWidth="1"/>
    <col min="93" max="93" width="10.8515625" style="0" customWidth="1"/>
  </cols>
  <sheetData>
    <row r="1" spans="1:82" ht="15.75">
      <c r="A1" s="2"/>
      <c r="B1" s="3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5" t="s">
        <v>1</v>
      </c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15"/>
      <c r="CB1" s="15"/>
      <c r="CC1" s="17"/>
      <c r="CD1" s="15"/>
    </row>
    <row r="2" spans="1:82" ht="15.75">
      <c r="A2" s="4"/>
      <c r="B2" s="33" t="s">
        <v>137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23"/>
      <c r="CB2" s="2"/>
      <c r="CC2" s="23"/>
      <c r="CD2" s="23"/>
    </row>
    <row r="3" spans="1:94" ht="12.75">
      <c r="A3" s="5" t="s">
        <v>3</v>
      </c>
      <c r="B3" s="4"/>
      <c r="C3" s="3"/>
      <c r="D3" s="2" t="s">
        <v>136</v>
      </c>
      <c r="E3" s="3"/>
      <c r="F3" s="3"/>
      <c r="G3" s="3"/>
      <c r="H3" s="2" t="s">
        <v>138</v>
      </c>
      <c r="I3" s="3"/>
      <c r="J3" s="3"/>
      <c r="K3" s="3"/>
      <c r="L3" s="2" t="s">
        <v>139</v>
      </c>
      <c r="M3" s="3"/>
      <c r="N3" s="3"/>
      <c r="O3" s="3"/>
      <c r="P3" s="2" t="s">
        <v>140</v>
      </c>
      <c r="Q3" s="3"/>
      <c r="R3" s="3"/>
      <c r="S3" s="3"/>
      <c r="T3" s="2" t="s">
        <v>141</v>
      </c>
      <c r="U3" s="3"/>
      <c r="V3" s="3"/>
      <c r="W3" s="3"/>
      <c r="X3" s="2" t="s">
        <v>142</v>
      </c>
      <c r="Y3" s="3"/>
      <c r="Z3" s="3"/>
      <c r="AA3" s="3"/>
      <c r="AB3" s="2" t="s">
        <v>143</v>
      </c>
      <c r="AC3" s="3"/>
      <c r="AD3" s="3"/>
      <c r="AE3" s="3"/>
      <c r="AF3" s="2" t="s">
        <v>144</v>
      </c>
      <c r="AG3" s="3"/>
      <c r="AH3" s="3"/>
      <c r="AI3" s="3"/>
      <c r="AJ3" s="2" t="s">
        <v>145</v>
      </c>
      <c r="AK3" s="3"/>
      <c r="AL3" s="3"/>
      <c r="AM3" s="3"/>
      <c r="AN3" s="2" t="s">
        <v>146</v>
      </c>
      <c r="AO3" s="3"/>
      <c r="AP3" s="3"/>
      <c r="AQ3" s="3"/>
      <c r="AR3" s="2" t="s">
        <v>147</v>
      </c>
      <c r="AS3" s="3"/>
      <c r="AT3" s="3"/>
      <c r="AU3" s="3"/>
      <c r="AV3" s="2" t="s">
        <v>148</v>
      </c>
      <c r="AW3" s="3"/>
      <c r="AX3" s="3"/>
      <c r="AY3" s="3"/>
      <c r="AZ3" s="2" t="s">
        <v>149</v>
      </c>
      <c r="BA3" s="3"/>
      <c r="BB3" s="3"/>
      <c r="BC3" s="3"/>
      <c r="BD3" s="2" t="s">
        <v>150</v>
      </c>
      <c r="BE3" s="3"/>
      <c r="BF3" s="3"/>
      <c r="BG3" s="3"/>
      <c r="BH3" s="2" t="s">
        <v>151</v>
      </c>
      <c r="BI3" s="3"/>
      <c r="BJ3" s="3"/>
      <c r="BK3" s="3"/>
      <c r="BL3" s="2" t="s">
        <v>152</v>
      </c>
      <c r="BM3" s="3"/>
      <c r="BN3" s="3"/>
      <c r="BO3" s="3"/>
      <c r="BP3" s="2" t="s">
        <v>153</v>
      </c>
      <c r="BQ3" s="3"/>
      <c r="BR3" s="3"/>
      <c r="BS3" s="3"/>
      <c r="BT3" s="2" t="s">
        <v>154</v>
      </c>
      <c r="BU3" s="3"/>
      <c r="BV3" s="3"/>
      <c r="BW3" s="3"/>
      <c r="BX3" s="2" t="s">
        <v>155</v>
      </c>
      <c r="BY3" s="3"/>
      <c r="BZ3" s="3"/>
      <c r="CA3" s="6"/>
      <c r="CB3" s="2" t="s">
        <v>156</v>
      </c>
      <c r="CC3" s="3"/>
      <c r="CD3" s="6"/>
      <c r="CE3" s="6"/>
      <c r="CF3" s="2" t="s">
        <v>157</v>
      </c>
      <c r="CG3" s="3"/>
      <c r="CH3" s="6"/>
      <c r="CI3" s="6"/>
      <c r="CJ3" s="2" t="s">
        <v>158</v>
      </c>
      <c r="CK3" s="3"/>
      <c r="CL3" s="6"/>
      <c r="CM3" s="6"/>
      <c r="CN3" s="2" t="s">
        <v>159</v>
      </c>
      <c r="CO3" s="3"/>
      <c r="CP3" s="6"/>
    </row>
    <row r="4" spans="1:94" ht="13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</row>
    <row r="5" spans="1:94" ht="13.5" thickTop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</row>
    <row r="6" spans="1:94" ht="12.75">
      <c r="A6" s="3"/>
      <c r="B6" s="4"/>
      <c r="C6" s="8" t="s">
        <v>26</v>
      </c>
      <c r="D6" s="8" t="s">
        <v>26</v>
      </c>
      <c r="E6" s="8" t="s">
        <v>26</v>
      </c>
      <c r="F6" s="8" t="s">
        <v>26</v>
      </c>
      <c r="G6" s="8" t="s">
        <v>26</v>
      </c>
      <c r="H6" s="8" t="s">
        <v>26</v>
      </c>
      <c r="I6" s="8" t="s">
        <v>26</v>
      </c>
      <c r="J6" s="8" t="s">
        <v>26</v>
      </c>
      <c r="K6" s="8" t="s">
        <v>26</v>
      </c>
      <c r="L6" s="8" t="s">
        <v>26</v>
      </c>
      <c r="M6" s="8" t="s">
        <v>26</v>
      </c>
      <c r="N6" s="8" t="s">
        <v>26</v>
      </c>
      <c r="O6" s="8" t="s">
        <v>26</v>
      </c>
      <c r="P6" s="8" t="s">
        <v>26</v>
      </c>
      <c r="Q6" s="8" t="s">
        <v>26</v>
      </c>
      <c r="R6" s="8" t="s">
        <v>26</v>
      </c>
      <c r="S6" s="8" t="s">
        <v>26</v>
      </c>
      <c r="T6" s="8" t="s">
        <v>26</v>
      </c>
      <c r="U6" s="8" t="s">
        <v>26</v>
      </c>
      <c r="V6" s="8" t="s">
        <v>26</v>
      </c>
      <c r="W6" s="8" t="s">
        <v>26</v>
      </c>
      <c r="X6" s="8" t="s">
        <v>26</v>
      </c>
      <c r="Y6" s="8" t="s">
        <v>26</v>
      </c>
      <c r="Z6" s="8" t="s">
        <v>26</v>
      </c>
      <c r="AA6" s="8" t="s">
        <v>26</v>
      </c>
      <c r="AB6" s="8" t="s">
        <v>26</v>
      </c>
      <c r="AC6" s="8" t="s">
        <v>26</v>
      </c>
      <c r="AD6" s="8" t="s">
        <v>26</v>
      </c>
      <c r="AE6" s="8" t="s">
        <v>26</v>
      </c>
      <c r="AF6" s="8" t="s">
        <v>26</v>
      </c>
      <c r="AG6" s="8" t="s">
        <v>26</v>
      </c>
      <c r="AH6" s="8" t="s">
        <v>26</v>
      </c>
      <c r="AI6" s="8" t="s">
        <v>26</v>
      </c>
      <c r="AJ6" s="8" t="s">
        <v>26</v>
      </c>
      <c r="AK6" s="8" t="s">
        <v>26</v>
      </c>
      <c r="AL6" s="8" t="s">
        <v>26</v>
      </c>
      <c r="AM6" s="8" t="s">
        <v>26</v>
      </c>
      <c r="AN6" s="8" t="s">
        <v>26</v>
      </c>
      <c r="AO6" s="8" t="s">
        <v>26</v>
      </c>
      <c r="AP6" s="8" t="s">
        <v>26</v>
      </c>
      <c r="AQ6" s="8" t="s">
        <v>26</v>
      </c>
      <c r="AR6" s="8" t="s">
        <v>26</v>
      </c>
      <c r="AS6" s="8" t="s">
        <v>26</v>
      </c>
      <c r="AT6" s="8" t="s">
        <v>26</v>
      </c>
      <c r="AU6" s="8" t="s">
        <v>26</v>
      </c>
      <c r="AV6" s="8" t="s">
        <v>26</v>
      </c>
      <c r="AW6" s="8" t="s">
        <v>26</v>
      </c>
      <c r="AX6" s="8" t="s">
        <v>26</v>
      </c>
      <c r="AY6" s="8" t="s">
        <v>26</v>
      </c>
      <c r="AZ6" s="8" t="s">
        <v>26</v>
      </c>
      <c r="BA6" s="8" t="s">
        <v>26</v>
      </c>
      <c r="BB6" s="8" t="s">
        <v>26</v>
      </c>
      <c r="BC6" s="8" t="s">
        <v>26</v>
      </c>
      <c r="BD6" s="8" t="s">
        <v>26</v>
      </c>
      <c r="BE6" s="8" t="s">
        <v>26</v>
      </c>
      <c r="BF6" s="8" t="s">
        <v>26</v>
      </c>
      <c r="BG6" s="8" t="s">
        <v>26</v>
      </c>
      <c r="BH6" s="8" t="s">
        <v>26</v>
      </c>
      <c r="BI6" s="8" t="s">
        <v>26</v>
      </c>
      <c r="BJ6" s="8" t="s">
        <v>26</v>
      </c>
      <c r="BK6" s="8" t="s">
        <v>26</v>
      </c>
      <c r="BL6" s="8" t="s">
        <v>26</v>
      </c>
      <c r="BM6" s="8" t="s">
        <v>26</v>
      </c>
      <c r="BN6" s="8" t="s">
        <v>26</v>
      </c>
      <c r="BO6" s="8" t="s">
        <v>26</v>
      </c>
      <c r="BP6" s="8" t="s">
        <v>26</v>
      </c>
      <c r="BQ6" s="8" t="s">
        <v>26</v>
      </c>
      <c r="BR6" s="8" t="s">
        <v>26</v>
      </c>
      <c r="BS6" s="8" t="s">
        <v>26</v>
      </c>
      <c r="BT6" s="8" t="s">
        <v>26</v>
      </c>
      <c r="BU6" s="8" t="s">
        <v>26</v>
      </c>
      <c r="BV6" s="8" t="s">
        <v>26</v>
      </c>
      <c r="BW6" s="8" t="s">
        <v>26</v>
      </c>
      <c r="BX6" s="8" t="s">
        <v>26</v>
      </c>
      <c r="BY6" s="8" t="s">
        <v>26</v>
      </c>
      <c r="BZ6" s="8" t="s">
        <v>26</v>
      </c>
      <c r="CA6" s="8" t="s">
        <v>27</v>
      </c>
      <c r="CB6" s="8" t="s">
        <v>27</v>
      </c>
      <c r="CC6" s="8" t="s">
        <v>26</v>
      </c>
      <c r="CD6" s="8" t="s">
        <v>26</v>
      </c>
      <c r="CE6" s="8" t="s">
        <v>27</v>
      </c>
      <c r="CF6" s="8" t="s">
        <v>27</v>
      </c>
      <c r="CG6" s="8" t="s">
        <v>26</v>
      </c>
      <c r="CH6" s="8" t="s">
        <v>26</v>
      </c>
      <c r="CI6" s="8" t="s">
        <v>27</v>
      </c>
      <c r="CJ6" s="8" t="s">
        <v>27</v>
      </c>
      <c r="CK6" s="8" t="s">
        <v>26</v>
      </c>
      <c r="CL6" s="8" t="s">
        <v>26</v>
      </c>
      <c r="CM6" s="8" t="s">
        <v>27</v>
      </c>
      <c r="CN6" s="8" t="s">
        <v>27</v>
      </c>
      <c r="CO6" s="8" t="s">
        <v>26</v>
      </c>
      <c r="CP6" s="8" t="s">
        <v>26</v>
      </c>
    </row>
    <row r="7" spans="1:94" ht="12.75">
      <c r="A7" s="4"/>
      <c r="B7" s="9" t="s">
        <v>28</v>
      </c>
      <c r="C7" s="8" t="s">
        <v>29</v>
      </c>
      <c r="D7" s="8" t="s">
        <v>29</v>
      </c>
      <c r="E7" s="8" t="s">
        <v>29</v>
      </c>
      <c r="F7" s="8" t="s">
        <v>30</v>
      </c>
      <c r="G7" s="8" t="s">
        <v>29</v>
      </c>
      <c r="H7" s="8" t="s">
        <v>29</v>
      </c>
      <c r="I7" s="8" t="s">
        <v>29</v>
      </c>
      <c r="J7" s="8" t="s">
        <v>30</v>
      </c>
      <c r="K7" s="8" t="s">
        <v>29</v>
      </c>
      <c r="L7" s="8" t="s">
        <v>29</v>
      </c>
      <c r="M7" s="8" t="s">
        <v>29</v>
      </c>
      <c r="N7" s="8" t="s">
        <v>30</v>
      </c>
      <c r="O7" s="8" t="s">
        <v>29</v>
      </c>
      <c r="P7" s="8" t="s">
        <v>29</v>
      </c>
      <c r="Q7" s="8" t="s">
        <v>29</v>
      </c>
      <c r="R7" s="8" t="s">
        <v>30</v>
      </c>
      <c r="S7" s="8" t="s">
        <v>29</v>
      </c>
      <c r="T7" s="8" t="s">
        <v>29</v>
      </c>
      <c r="U7" s="8" t="s">
        <v>29</v>
      </c>
      <c r="V7" s="8" t="s">
        <v>30</v>
      </c>
      <c r="W7" s="8" t="s">
        <v>29</v>
      </c>
      <c r="X7" s="8" t="s">
        <v>29</v>
      </c>
      <c r="Y7" s="8" t="s">
        <v>29</v>
      </c>
      <c r="Z7" s="8" t="s">
        <v>30</v>
      </c>
      <c r="AA7" s="8" t="s">
        <v>29</v>
      </c>
      <c r="AB7" s="8" t="s">
        <v>29</v>
      </c>
      <c r="AC7" s="8" t="s">
        <v>29</v>
      </c>
      <c r="AD7" s="8" t="s">
        <v>30</v>
      </c>
      <c r="AE7" s="8" t="s">
        <v>29</v>
      </c>
      <c r="AF7" s="8" t="s">
        <v>29</v>
      </c>
      <c r="AG7" s="8" t="s">
        <v>29</v>
      </c>
      <c r="AH7" s="8" t="s">
        <v>30</v>
      </c>
      <c r="AI7" s="8" t="s">
        <v>29</v>
      </c>
      <c r="AJ7" s="8" t="s">
        <v>29</v>
      </c>
      <c r="AK7" s="8" t="s">
        <v>29</v>
      </c>
      <c r="AL7" s="8" t="s">
        <v>30</v>
      </c>
      <c r="AM7" s="8" t="s">
        <v>29</v>
      </c>
      <c r="AN7" s="8" t="s">
        <v>29</v>
      </c>
      <c r="AO7" s="8" t="s">
        <v>29</v>
      </c>
      <c r="AP7" s="8" t="s">
        <v>30</v>
      </c>
      <c r="AQ7" s="8" t="s">
        <v>29</v>
      </c>
      <c r="AR7" s="8" t="s">
        <v>29</v>
      </c>
      <c r="AS7" s="8" t="s">
        <v>29</v>
      </c>
      <c r="AT7" s="8" t="s">
        <v>30</v>
      </c>
      <c r="AU7" s="8" t="s">
        <v>29</v>
      </c>
      <c r="AV7" s="8" t="s">
        <v>29</v>
      </c>
      <c r="AW7" s="8" t="s">
        <v>29</v>
      </c>
      <c r="AX7" s="8" t="s">
        <v>30</v>
      </c>
      <c r="AY7" s="8" t="s">
        <v>29</v>
      </c>
      <c r="AZ7" s="8" t="s">
        <v>29</v>
      </c>
      <c r="BA7" s="8" t="s">
        <v>29</v>
      </c>
      <c r="BB7" s="8" t="s">
        <v>30</v>
      </c>
      <c r="BC7" s="8" t="s">
        <v>29</v>
      </c>
      <c r="BD7" s="8" t="s">
        <v>29</v>
      </c>
      <c r="BE7" s="8" t="s">
        <v>29</v>
      </c>
      <c r="BF7" s="8" t="s">
        <v>30</v>
      </c>
      <c r="BG7" s="8" t="s">
        <v>29</v>
      </c>
      <c r="BH7" s="8" t="s">
        <v>29</v>
      </c>
      <c r="BI7" s="8" t="s">
        <v>29</v>
      </c>
      <c r="BJ7" s="8" t="s">
        <v>30</v>
      </c>
      <c r="BK7" s="8" t="s">
        <v>29</v>
      </c>
      <c r="BL7" s="8" t="s">
        <v>29</v>
      </c>
      <c r="BM7" s="8" t="s">
        <v>29</v>
      </c>
      <c r="BN7" s="8" t="s">
        <v>30</v>
      </c>
      <c r="BO7" s="8" t="s">
        <v>29</v>
      </c>
      <c r="BP7" s="8" t="s">
        <v>29</v>
      </c>
      <c r="BQ7" s="8" t="s">
        <v>29</v>
      </c>
      <c r="BR7" s="8" t="s">
        <v>30</v>
      </c>
      <c r="BS7" s="8" t="s">
        <v>29</v>
      </c>
      <c r="BT7" s="8" t="s">
        <v>29</v>
      </c>
      <c r="BU7" s="8" t="s">
        <v>29</v>
      </c>
      <c r="BV7" s="8" t="s">
        <v>30</v>
      </c>
      <c r="BW7" s="8" t="s">
        <v>29</v>
      </c>
      <c r="BX7" s="8" t="s">
        <v>29</v>
      </c>
      <c r="BY7" s="8" t="s">
        <v>29</v>
      </c>
      <c r="BZ7" s="8" t="s">
        <v>30</v>
      </c>
      <c r="CA7" s="8" t="s">
        <v>31</v>
      </c>
      <c r="CB7" s="8" t="s">
        <v>32</v>
      </c>
      <c r="CC7" s="8" t="s">
        <v>32</v>
      </c>
      <c r="CD7" s="8" t="s">
        <v>30</v>
      </c>
      <c r="CE7" s="8" t="s">
        <v>31</v>
      </c>
      <c r="CF7" s="8" t="s">
        <v>32</v>
      </c>
      <c r="CG7" s="8" t="s">
        <v>32</v>
      </c>
      <c r="CH7" s="8" t="s">
        <v>30</v>
      </c>
      <c r="CI7" s="8" t="s">
        <v>31</v>
      </c>
      <c r="CJ7" s="8" t="s">
        <v>32</v>
      </c>
      <c r="CK7" s="8" t="s">
        <v>32</v>
      </c>
      <c r="CL7" s="8" t="s">
        <v>30</v>
      </c>
      <c r="CM7" s="8" t="s">
        <v>31</v>
      </c>
      <c r="CN7" s="8" t="s">
        <v>32</v>
      </c>
      <c r="CO7" s="8" t="s">
        <v>32</v>
      </c>
      <c r="CP7" s="8" t="s">
        <v>30</v>
      </c>
    </row>
    <row r="8" spans="1:94" ht="12.75">
      <c r="A8" s="4"/>
      <c r="B8" s="4"/>
      <c r="C8" s="8" t="s">
        <v>33</v>
      </c>
      <c r="D8" s="8" t="s">
        <v>32</v>
      </c>
      <c r="E8" s="8" t="s">
        <v>32</v>
      </c>
      <c r="F8" s="8" t="s">
        <v>34</v>
      </c>
      <c r="G8" s="8" t="s">
        <v>33</v>
      </c>
      <c r="H8" s="8" t="s">
        <v>32</v>
      </c>
      <c r="I8" s="8" t="s">
        <v>32</v>
      </c>
      <c r="J8" s="8" t="s">
        <v>34</v>
      </c>
      <c r="K8" s="8" t="s">
        <v>33</v>
      </c>
      <c r="L8" s="8" t="s">
        <v>32</v>
      </c>
      <c r="M8" s="8" t="s">
        <v>32</v>
      </c>
      <c r="N8" s="8" t="s">
        <v>34</v>
      </c>
      <c r="O8" s="8" t="s">
        <v>33</v>
      </c>
      <c r="P8" s="8" t="s">
        <v>32</v>
      </c>
      <c r="Q8" s="8" t="s">
        <v>32</v>
      </c>
      <c r="R8" s="8" t="s">
        <v>34</v>
      </c>
      <c r="S8" s="8" t="s">
        <v>33</v>
      </c>
      <c r="T8" s="8" t="s">
        <v>32</v>
      </c>
      <c r="U8" s="8" t="s">
        <v>32</v>
      </c>
      <c r="V8" s="8" t="s">
        <v>34</v>
      </c>
      <c r="W8" s="8" t="s">
        <v>33</v>
      </c>
      <c r="X8" s="8" t="s">
        <v>32</v>
      </c>
      <c r="Y8" s="8" t="s">
        <v>32</v>
      </c>
      <c r="Z8" s="8" t="s">
        <v>34</v>
      </c>
      <c r="AA8" s="8" t="s">
        <v>33</v>
      </c>
      <c r="AB8" s="8" t="s">
        <v>32</v>
      </c>
      <c r="AC8" s="8" t="s">
        <v>32</v>
      </c>
      <c r="AD8" s="8" t="s">
        <v>34</v>
      </c>
      <c r="AE8" s="8" t="s">
        <v>33</v>
      </c>
      <c r="AF8" s="8" t="s">
        <v>32</v>
      </c>
      <c r="AG8" s="8" t="s">
        <v>32</v>
      </c>
      <c r="AH8" s="8" t="s">
        <v>34</v>
      </c>
      <c r="AI8" s="8" t="s">
        <v>33</v>
      </c>
      <c r="AJ8" s="8" t="s">
        <v>32</v>
      </c>
      <c r="AK8" s="8" t="s">
        <v>32</v>
      </c>
      <c r="AL8" s="8" t="s">
        <v>34</v>
      </c>
      <c r="AM8" s="8" t="s">
        <v>33</v>
      </c>
      <c r="AN8" s="8" t="s">
        <v>32</v>
      </c>
      <c r="AO8" s="8" t="s">
        <v>32</v>
      </c>
      <c r="AP8" s="8" t="s">
        <v>34</v>
      </c>
      <c r="AQ8" s="8" t="s">
        <v>33</v>
      </c>
      <c r="AR8" s="8" t="s">
        <v>32</v>
      </c>
      <c r="AS8" s="8" t="s">
        <v>32</v>
      </c>
      <c r="AT8" s="8" t="s">
        <v>34</v>
      </c>
      <c r="AU8" s="8" t="s">
        <v>33</v>
      </c>
      <c r="AV8" s="8" t="s">
        <v>32</v>
      </c>
      <c r="AW8" s="8" t="s">
        <v>32</v>
      </c>
      <c r="AX8" s="8" t="s">
        <v>34</v>
      </c>
      <c r="AY8" s="8" t="s">
        <v>33</v>
      </c>
      <c r="AZ8" s="8" t="s">
        <v>32</v>
      </c>
      <c r="BA8" s="8" t="s">
        <v>32</v>
      </c>
      <c r="BB8" s="8" t="s">
        <v>34</v>
      </c>
      <c r="BC8" s="8" t="s">
        <v>33</v>
      </c>
      <c r="BD8" s="8" t="s">
        <v>32</v>
      </c>
      <c r="BE8" s="8" t="s">
        <v>32</v>
      </c>
      <c r="BF8" s="8" t="s">
        <v>34</v>
      </c>
      <c r="BG8" s="8" t="s">
        <v>33</v>
      </c>
      <c r="BH8" s="8" t="s">
        <v>32</v>
      </c>
      <c r="BI8" s="8" t="s">
        <v>32</v>
      </c>
      <c r="BJ8" s="8" t="s">
        <v>34</v>
      </c>
      <c r="BK8" s="8" t="s">
        <v>33</v>
      </c>
      <c r="BL8" s="8" t="s">
        <v>32</v>
      </c>
      <c r="BM8" s="8" t="s">
        <v>32</v>
      </c>
      <c r="BN8" s="8" t="s">
        <v>34</v>
      </c>
      <c r="BO8" s="8" t="s">
        <v>33</v>
      </c>
      <c r="BP8" s="8" t="s">
        <v>32</v>
      </c>
      <c r="BQ8" s="8" t="s">
        <v>32</v>
      </c>
      <c r="BR8" s="8" t="s">
        <v>34</v>
      </c>
      <c r="BS8" s="8" t="s">
        <v>33</v>
      </c>
      <c r="BT8" s="8" t="s">
        <v>32</v>
      </c>
      <c r="BU8" s="8" t="s">
        <v>32</v>
      </c>
      <c r="BV8" s="8" t="s">
        <v>34</v>
      </c>
      <c r="BW8" s="8" t="s">
        <v>33</v>
      </c>
      <c r="BX8" s="8" t="s">
        <v>32</v>
      </c>
      <c r="BY8" s="8" t="s">
        <v>32</v>
      </c>
      <c r="BZ8" s="8" t="s">
        <v>34</v>
      </c>
      <c r="CA8" s="8" t="s">
        <v>29</v>
      </c>
      <c r="CB8" s="8" t="s">
        <v>35</v>
      </c>
      <c r="CC8" s="8" t="s">
        <v>35</v>
      </c>
      <c r="CD8" s="8" t="s">
        <v>34</v>
      </c>
      <c r="CE8" s="8" t="s">
        <v>29</v>
      </c>
      <c r="CF8" s="8" t="s">
        <v>35</v>
      </c>
      <c r="CG8" s="8" t="s">
        <v>35</v>
      </c>
      <c r="CH8" s="8" t="s">
        <v>34</v>
      </c>
      <c r="CI8" s="8" t="s">
        <v>29</v>
      </c>
      <c r="CJ8" s="8" t="s">
        <v>35</v>
      </c>
      <c r="CK8" s="8" t="s">
        <v>35</v>
      </c>
      <c r="CL8" s="8" t="s">
        <v>34</v>
      </c>
      <c r="CM8" s="8" t="s">
        <v>29</v>
      </c>
      <c r="CN8" s="8" t="s">
        <v>35</v>
      </c>
      <c r="CO8" s="8" t="s">
        <v>35</v>
      </c>
      <c r="CP8" s="8" t="s">
        <v>34</v>
      </c>
    </row>
    <row r="9" spans="1:94" ht="12.75">
      <c r="A9" s="4"/>
      <c r="B9" s="4"/>
      <c r="C9" s="4"/>
      <c r="D9" s="4"/>
      <c r="E9" s="8" t="s">
        <v>36</v>
      </c>
      <c r="F9" s="4"/>
      <c r="G9" s="4"/>
      <c r="H9" s="4"/>
      <c r="I9" s="8" t="s">
        <v>36</v>
      </c>
      <c r="J9" s="4"/>
      <c r="K9" s="4"/>
      <c r="L9" s="4"/>
      <c r="M9" s="8" t="s">
        <v>36</v>
      </c>
      <c r="N9" s="4"/>
      <c r="O9" s="4"/>
      <c r="P9" s="4"/>
      <c r="Q9" s="8" t="s">
        <v>36</v>
      </c>
      <c r="R9" s="4"/>
      <c r="S9" s="4"/>
      <c r="T9" s="4"/>
      <c r="U9" s="8" t="s">
        <v>36</v>
      </c>
      <c r="V9" s="4"/>
      <c r="W9" s="4"/>
      <c r="X9" s="4"/>
      <c r="Y9" s="8" t="s">
        <v>36</v>
      </c>
      <c r="Z9" s="4"/>
      <c r="AA9" s="4"/>
      <c r="AB9" s="4"/>
      <c r="AC9" s="8" t="s">
        <v>36</v>
      </c>
      <c r="AD9" s="5" t="s">
        <v>37</v>
      </c>
      <c r="AE9" s="4"/>
      <c r="AF9" s="4"/>
      <c r="AG9" s="8" t="s">
        <v>36</v>
      </c>
      <c r="AH9" s="5" t="s">
        <v>37</v>
      </c>
      <c r="AI9" s="4"/>
      <c r="AJ9" s="4"/>
      <c r="AK9" s="8" t="s">
        <v>36</v>
      </c>
      <c r="AL9" s="4"/>
      <c r="AM9" s="4"/>
      <c r="AN9" s="4"/>
      <c r="AO9" s="8" t="s">
        <v>36</v>
      </c>
      <c r="AP9" s="4"/>
      <c r="AQ9" s="4"/>
      <c r="AR9" s="4"/>
      <c r="AS9" s="8" t="s">
        <v>36</v>
      </c>
      <c r="AT9" s="4"/>
      <c r="AU9" s="4"/>
      <c r="AV9" s="4"/>
      <c r="AW9" s="8" t="s">
        <v>36</v>
      </c>
      <c r="AX9" s="4"/>
      <c r="AY9" s="4"/>
      <c r="AZ9" s="4"/>
      <c r="BA9" s="8" t="s">
        <v>36</v>
      </c>
      <c r="BB9" s="4"/>
      <c r="BC9" s="4"/>
      <c r="BD9" s="4"/>
      <c r="BE9" s="8" t="s">
        <v>36</v>
      </c>
      <c r="BF9" s="4"/>
      <c r="BG9" s="4"/>
      <c r="BH9" s="4"/>
      <c r="BI9" s="8" t="s">
        <v>36</v>
      </c>
      <c r="BJ9" s="4"/>
      <c r="BK9" s="4"/>
      <c r="BL9" s="4"/>
      <c r="BM9" s="8" t="s">
        <v>36</v>
      </c>
      <c r="BN9" s="4"/>
      <c r="BO9" s="4"/>
      <c r="BP9" s="4"/>
      <c r="BQ9" s="8" t="s">
        <v>36</v>
      </c>
      <c r="BR9" s="4"/>
      <c r="BS9" s="4"/>
      <c r="BT9" s="4"/>
      <c r="BU9" s="8" t="s">
        <v>36</v>
      </c>
      <c r="BV9" s="4"/>
      <c r="BW9" s="4"/>
      <c r="BX9" s="4"/>
      <c r="BY9" s="8" t="s">
        <v>36</v>
      </c>
      <c r="BZ9" s="4"/>
      <c r="CA9" s="8" t="s">
        <v>33</v>
      </c>
      <c r="CB9" s="8" t="s">
        <v>31</v>
      </c>
      <c r="CC9" s="8" t="s">
        <v>31</v>
      </c>
      <c r="CD9" s="4"/>
      <c r="CE9" s="8" t="s">
        <v>33</v>
      </c>
      <c r="CF9" s="8" t="s">
        <v>31</v>
      </c>
      <c r="CG9" s="8" t="s">
        <v>31</v>
      </c>
      <c r="CH9" s="4"/>
      <c r="CI9" s="8" t="s">
        <v>33</v>
      </c>
      <c r="CJ9" s="8" t="s">
        <v>31</v>
      </c>
      <c r="CK9" s="8" t="s">
        <v>31</v>
      </c>
      <c r="CL9" s="4"/>
      <c r="CM9" s="8" t="s">
        <v>33</v>
      </c>
      <c r="CN9" s="8" t="s">
        <v>31</v>
      </c>
      <c r="CO9" s="8" t="s">
        <v>31</v>
      </c>
      <c r="CP9" s="4"/>
    </row>
    <row r="10" spans="1:94" ht="13.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8" t="s">
        <v>36</v>
      </c>
      <c r="CD10" s="4"/>
      <c r="CE10" s="4"/>
      <c r="CF10" s="4"/>
      <c r="CG10" s="8" t="s">
        <v>36</v>
      </c>
      <c r="CH10" s="4"/>
      <c r="CI10" s="4"/>
      <c r="CJ10" s="4"/>
      <c r="CK10" s="8" t="s">
        <v>36</v>
      </c>
      <c r="CL10" s="4"/>
      <c r="CM10" s="4"/>
      <c r="CN10" s="4"/>
      <c r="CO10" s="8" t="s">
        <v>36</v>
      </c>
      <c r="CP10" s="4"/>
    </row>
    <row r="11" spans="1:94" ht="13.5" thickTop="1">
      <c r="A11" s="10" t="s">
        <v>3</v>
      </c>
      <c r="B11" s="7"/>
      <c r="C11" s="31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</row>
    <row r="12" spans="1:94" ht="12.75">
      <c r="A12" s="26">
        <v>1</v>
      </c>
      <c r="B12" s="27" t="s">
        <v>38</v>
      </c>
      <c r="C12" s="4">
        <v>2.1944</v>
      </c>
      <c r="D12" s="16">
        <v>65.97</v>
      </c>
      <c r="E12" s="16">
        <f>D$34/C12</f>
        <v>65.96791833758658</v>
      </c>
      <c r="F12" s="4">
        <v>66.26</v>
      </c>
      <c r="G12" s="4">
        <v>2.1877</v>
      </c>
      <c r="H12" s="16">
        <v>66.19</v>
      </c>
      <c r="I12" s="16">
        <f>H$34/G12</f>
        <v>66.19280522923619</v>
      </c>
      <c r="J12" s="4">
        <v>66.27</v>
      </c>
      <c r="K12" s="4">
        <v>2.1899</v>
      </c>
      <c r="L12" s="16">
        <v>66.16</v>
      </c>
      <c r="M12" s="16">
        <f>L$34/K12</f>
        <v>66.1628384857756</v>
      </c>
      <c r="N12" s="4">
        <v>66.3</v>
      </c>
      <c r="O12" s="4">
        <v>2.1931</v>
      </c>
      <c r="P12" s="16">
        <v>66.05</v>
      </c>
      <c r="Q12" s="16">
        <f>P$34/O12</f>
        <v>66.05261957959054</v>
      </c>
      <c r="R12" s="4">
        <v>66.33</v>
      </c>
      <c r="S12" s="4">
        <v>2.2057</v>
      </c>
      <c r="T12" s="16">
        <v>65.81</v>
      </c>
      <c r="U12" s="16">
        <f>T$34/S12</f>
        <v>65.80677335993109</v>
      </c>
      <c r="V12" s="4">
        <v>66.3</v>
      </c>
      <c r="W12" s="12">
        <v>2.2072</v>
      </c>
      <c r="X12" s="16">
        <v>65.91</v>
      </c>
      <c r="Y12" s="16">
        <f>X$34/W12</f>
        <v>65.91609278724177</v>
      </c>
      <c r="Z12" s="4">
        <v>66.24</v>
      </c>
      <c r="AA12" s="4">
        <v>2.2052</v>
      </c>
      <c r="AB12" s="16">
        <v>66.01</v>
      </c>
      <c r="AC12" s="16">
        <f>AB$34/AA12</f>
        <v>66.01215309269</v>
      </c>
      <c r="AD12" s="4">
        <v>66.3</v>
      </c>
      <c r="AE12" s="4">
        <v>2.2195</v>
      </c>
      <c r="AF12" s="16">
        <v>65.75</v>
      </c>
      <c r="AG12" s="16">
        <f>AF$34/AE12</f>
        <v>65.74904257715701</v>
      </c>
      <c r="AH12" s="4">
        <v>66.06</v>
      </c>
      <c r="AI12" s="4">
        <v>2.237</v>
      </c>
      <c r="AJ12" s="16">
        <v>65.31</v>
      </c>
      <c r="AK12" s="16">
        <f>AJ$34/AI12</f>
        <v>65.31068395172105</v>
      </c>
      <c r="AL12" s="4">
        <v>65.9</v>
      </c>
      <c r="AM12" s="4">
        <v>2.2258</v>
      </c>
      <c r="AN12" s="16">
        <v>65.7</v>
      </c>
      <c r="AO12" s="16">
        <f>AN$34/AM12</f>
        <v>65.70221942672298</v>
      </c>
      <c r="AP12" s="4">
        <v>65.97</v>
      </c>
      <c r="AQ12" s="4">
        <v>2.2125</v>
      </c>
      <c r="AR12" s="16">
        <v>66.03</v>
      </c>
      <c r="AS12" s="16">
        <f>AR$34/AQ12</f>
        <v>66.03389830508475</v>
      </c>
      <c r="AT12" s="4">
        <v>66.1</v>
      </c>
      <c r="AU12" s="4">
        <v>2.15</v>
      </c>
      <c r="AV12" s="16">
        <v>65.9</v>
      </c>
      <c r="AW12" s="16">
        <f>AV$34/AU12</f>
        <v>67.88837209302326</v>
      </c>
      <c r="AX12" s="4">
        <v>66.16</v>
      </c>
      <c r="AY12" s="4">
        <v>2.2248</v>
      </c>
      <c r="AZ12" s="16">
        <v>65.78</v>
      </c>
      <c r="BA12" s="16">
        <f>AZ$34/AY12</f>
        <v>65.78119381517439</v>
      </c>
      <c r="BB12" s="4">
        <v>65.99</v>
      </c>
      <c r="BC12" s="4">
        <v>2.2299</v>
      </c>
      <c r="BD12" s="16">
        <v>65.57</v>
      </c>
      <c r="BE12" s="16">
        <f>BD$34/BC12</f>
        <v>65.57244719494147</v>
      </c>
      <c r="BF12" s="4">
        <v>65.91</v>
      </c>
      <c r="BG12" s="4">
        <v>2.2463</v>
      </c>
      <c r="BH12" s="16">
        <v>65.39</v>
      </c>
      <c r="BI12" s="16">
        <f>BH$34/BG12</f>
        <v>65.39197791924497</v>
      </c>
      <c r="BJ12" s="4">
        <v>65.86</v>
      </c>
      <c r="BK12" s="4">
        <v>2.2703</v>
      </c>
      <c r="BL12" s="16">
        <v>64.99</v>
      </c>
      <c r="BM12" s="16">
        <f>BL$34/BK12</f>
        <v>64.99141082676299</v>
      </c>
      <c r="BN12" s="4">
        <v>65.5</v>
      </c>
      <c r="BO12" s="4">
        <v>2.2785</v>
      </c>
      <c r="BP12" s="16">
        <v>65</v>
      </c>
      <c r="BQ12" s="16">
        <f>BP$34/BO12</f>
        <v>64.99451393460609</v>
      </c>
      <c r="BR12" s="4">
        <v>65.57</v>
      </c>
      <c r="BS12" s="4">
        <v>2.2785</v>
      </c>
      <c r="BT12" s="16">
        <v>65.05</v>
      </c>
      <c r="BU12" s="16">
        <f>BT$34/BS12</f>
        <v>65.05156901470265</v>
      </c>
      <c r="BV12" s="4">
        <v>65.55</v>
      </c>
      <c r="BW12" s="4">
        <v>2.275</v>
      </c>
      <c r="BX12" s="16">
        <v>65.14</v>
      </c>
      <c r="BY12" s="16">
        <f>BX$34/BW12</f>
        <v>65.14285714285714</v>
      </c>
      <c r="BZ12" s="4">
        <v>65.52</v>
      </c>
      <c r="CA12" s="4">
        <v>2.2843</v>
      </c>
      <c r="CB12" s="16">
        <v>65.03</v>
      </c>
      <c r="CC12" s="16">
        <f>CB$34/CA12</f>
        <v>65.03524055509347</v>
      </c>
      <c r="CD12" s="4">
        <v>65.41</v>
      </c>
      <c r="CE12" s="4">
        <v>2.2806</v>
      </c>
      <c r="CF12" s="16">
        <v>65.17</v>
      </c>
      <c r="CG12" s="16">
        <f>CF$34/CE12</f>
        <v>65.16706129965799</v>
      </c>
      <c r="CH12" s="4">
        <v>65.4</v>
      </c>
      <c r="CI12" s="4">
        <v>2.2994</v>
      </c>
      <c r="CJ12" s="16">
        <v>64.82</v>
      </c>
      <c r="CK12" s="16">
        <f>CJ$34/CI12</f>
        <v>64.81690875880665</v>
      </c>
      <c r="CL12" s="4">
        <v>65.2</v>
      </c>
      <c r="CM12" s="4">
        <f aca="true" t="shared" si="0" ref="CM12:CM34">(C12+G12+K12+O12+S12+W12+AA12+AE12+AI12+AM12+AQ12+AU12+AY12+BC12+BG12+BK12+BO12+BS12+BW12+CA12+CE12+CI12)/22</f>
        <v>2.2316181818181815</v>
      </c>
      <c r="CN12" s="4">
        <f aca="true" t="shared" si="1" ref="CN12:CP27">(D12+H12+L12+P12+T12+X12+AB12+AF12+AJ12+AN12+AR12+AV12+AZ12+BD12+BH12+BL12+BP12+BT12+BX12+CB12+CF12+CJ12)/22</f>
        <v>65.57863636363636</v>
      </c>
      <c r="CO12" s="4">
        <f t="shared" si="1"/>
        <v>65.67002716761857</v>
      </c>
      <c r="CP12" s="4">
        <f t="shared" si="1"/>
        <v>65.91363636363636</v>
      </c>
    </row>
    <row r="13" spans="1:94" ht="12.75">
      <c r="A13" s="26">
        <v>2</v>
      </c>
      <c r="B13" s="27" t="s">
        <v>39</v>
      </c>
      <c r="C13" s="4">
        <v>122.02</v>
      </c>
      <c r="D13" s="16">
        <v>118.63</v>
      </c>
      <c r="E13" s="16">
        <f>D$34/C13*100</f>
        <v>118.63628913292902</v>
      </c>
      <c r="F13" s="4"/>
      <c r="G13" s="4">
        <v>120.96</v>
      </c>
      <c r="H13" s="16">
        <v>119.72</v>
      </c>
      <c r="I13" s="16">
        <f>H$34/G13*100</f>
        <v>119.71726190476191</v>
      </c>
      <c r="J13" s="4"/>
      <c r="K13" s="4">
        <v>121.02</v>
      </c>
      <c r="L13" s="16">
        <v>119.72</v>
      </c>
      <c r="M13" s="16">
        <f>L$34/K13*100</f>
        <v>119.72401255990745</v>
      </c>
      <c r="N13" s="4"/>
      <c r="O13" s="4">
        <v>121.25</v>
      </c>
      <c r="P13" s="16">
        <v>119.47</v>
      </c>
      <c r="Q13" s="16">
        <f>P$34/O13*100</f>
        <v>119.47216494845362</v>
      </c>
      <c r="R13" s="4"/>
      <c r="S13" s="4">
        <v>121.61</v>
      </c>
      <c r="T13" s="16">
        <v>119.36</v>
      </c>
      <c r="U13" s="16">
        <f>T$34/S13*100</f>
        <v>119.35696077625195</v>
      </c>
      <c r="V13" s="4"/>
      <c r="W13" s="4">
        <v>122.22</v>
      </c>
      <c r="X13" s="16">
        <v>119.04</v>
      </c>
      <c r="Y13" s="16">
        <f>X$34/W13*100</f>
        <v>119.03943708067419</v>
      </c>
      <c r="Z13" s="4"/>
      <c r="AA13" s="4">
        <v>122.31</v>
      </c>
      <c r="AB13" s="16">
        <v>119.02</v>
      </c>
      <c r="AC13" s="16">
        <f>AB$34/AA13*100</f>
        <v>119.01725124683182</v>
      </c>
      <c r="AD13" s="4"/>
      <c r="AE13" s="4">
        <v>122.74</v>
      </c>
      <c r="AF13" s="16">
        <v>118.89</v>
      </c>
      <c r="AG13" s="16">
        <f>AF$34/AE13*100</f>
        <v>118.8935962196513</v>
      </c>
      <c r="AH13" s="4"/>
      <c r="AI13" s="4">
        <v>122.84</v>
      </c>
      <c r="AJ13" s="16">
        <v>118.93</v>
      </c>
      <c r="AK13" s="16">
        <f>AJ$34/AI13*100</f>
        <v>118.93520026050146</v>
      </c>
      <c r="AL13" s="4"/>
      <c r="AM13" s="4">
        <v>123.3</v>
      </c>
      <c r="AN13" s="16">
        <v>118.6</v>
      </c>
      <c r="AO13" s="16">
        <f>AN$34/AM13*100</f>
        <v>118.6050283860503</v>
      </c>
      <c r="AP13" s="4"/>
      <c r="AQ13" s="4">
        <v>123.8</v>
      </c>
      <c r="AR13" s="16">
        <v>118.01</v>
      </c>
      <c r="AS13" s="16">
        <f>AR$34/AQ13*100</f>
        <v>118.0129240710824</v>
      </c>
      <c r="AT13" s="4"/>
      <c r="AU13" s="4">
        <v>123.64</v>
      </c>
      <c r="AV13" s="16">
        <v>118.05</v>
      </c>
      <c r="AW13" s="16">
        <f>AV$34/AU13*100</f>
        <v>118.05241022322875</v>
      </c>
      <c r="AX13" s="4"/>
      <c r="AY13" s="4">
        <v>123.07</v>
      </c>
      <c r="AZ13" s="16">
        <v>118.92</v>
      </c>
      <c r="BA13" s="16">
        <f>AZ$34/AY13*100</f>
        <v>118.91606402860162</v>
      </c>
      <c r="BB13" s="4"/>
      <c r="BC13" s="4">
        <v>123.21</v>
      </c>
      <c r="BD13" s="16">
        <v>118.68</v>
      </c>
      <c r="BE13" s="16">
        <f>BD$34/BC13*100</f>
        <v>118.67543218894572</v>
      </c>
      <c r="BF13" s="4"/>
      <c r="BG13" s="4">
        <v>123.21</v>
      </c>
      <c r="BH13" s="16">
        <v>119.22</v>
      </c>
      <c r="BI13" s="16">
        <f>BH$34/BG13*100</f>
        <v>119.21921921921921</v>
      </c>
      <c r="BJ13" s="4"/>
      <c r="BK13" s="4">
        <v>121.04</v>
      </c>
      <c r="BL13" s="16">
        <v>121.9</v>
      </c>
      <c r="BM13" s="16">
        <f>BL$34/BK13*100</f>
        <v>121.9018506278916</v>
      </c>
      <c r="BN13" s="4"/>
      <c r="BO13" s="4">
        <v>19.67</v>
      </c>
      <c r="BP13" s="16">
        <v>123.75</v>
      </c>
      <c r="BQ13" s="16">
        <f>BP$34/BO13*100</f>
        <v>752.8723945094051</v>
      </c>
      <c r="BR13" s="4"/>
      <c r="BS13" s="4">
        <v>120.68</v>
      </c>
      <c r="BT13" s="16">
        <v>122.82</v>
      </c>
      <c r="BU13" s="16">
        <f>BT$34/BS13*100</f>
        <v>122.82068279748093</v>
      </c>
      <c r="BV13" s="4"/>
      <c r="BW13" s="4">
        <v>121.02</v>
      </c>
      <c r="BX13" s="16">
        <v>122.46</v>
      </c>
      <c r="BY13" s="16">
        <f>BX$34/BW13*100</f>
        <v>122.45909766980665</v>
      </c>
      <c r="BZ13" s="4"/>
      <c r="CA13" s="4">
        <v>120.12</v>
      </c>
      <c r="CB13" s="16">
        <v>123.67</v>
      </c>
      <c r="CC13" s="16">
        <f>CB$34/CA13*100</f>
        <v>123.67632367632366</v>
      </c>
      <c r="CD13" s="4"/>
      <c r="CE13" s="4">
        <v>120.12</v>
      </c>
      <c r="CF13" s="16">
        <v>123.72</v>
      </c>
      <c r="CG13" s="16">
        <f>CF$34/CE13*100</f>
        <v>123.72627372627372</v>
      </c>
      <c r="CH13" s="4"/>
      <c r="CI13" s="4">
        <v>119.59</v>
      </c>
      <c r="CJ13" s="16">
        <v>124.62</v>
      </c>
      <c r="CK13" s="16">
        <f>CJ$34/CI13*100</f>
        <v>124.62580483318003</v>
      </c>
      <c r="CL13" s="4"/>
      <c r="CM13" s="4">
        <f t="shared" si="0"/>
        <v>117.24727272727273</v>
      </c>
      <c r="CN13" s="4">
        <f t="shared" si="1"/>
        <v>120.32727272727271</v>
      </c>
      <c r="CO13" s="4">
        <f t="shared" si="1"/>
        <v>148.92525818579327</v>
      </c>
      <c r="CP13" s="4"/>
    </row>
    <row r="14" spans="1:94" ht="12.75">
      <c r="A14" s="26">
        <v>3</v>
      </c>
      <c r="B14" s="27" t="s">
        <v>40</v>
      </c>
      <c r="C14" s="4">
        <f>1/1.4327</f>
        <v>0.6979828296223912</v>
      </c>
      <c r="D14" s="16">
        <v>207.39</v>
      </c>
      <c r="E14" s="16">
        <f>D$34/C14</f>
        <v>207.397652</v>
      </c>
      <c r="F14" s="4"/>
      <c r="G14" s="4">
        <f>1/1.4364</f>
        <v>0.6961849067112226</v>
      </c>
      <c r="H14" s="16">
        <v>208</v>
      </c>
      <c r="I14" s="16">
        <f>H$34/G14</f>
        <v>208.00508399999998</v>
      </c>
      <c r="J14" s="4"/>
      <c r="K14" s="4">
        <f>1/1.434</f>
        <v>0.697350069735007</v>
      </c>
      <c r="L14" s="16">
        <v>207.77</v>
      </c>
      <c r="M14" s="16">
        <f>L$34/K14</f>
        <v>207.77225999999996</v>
      </c>
      <c r="N14" s="4"/>
      <c r="O14" s="4">
        <f>1/1.4367</f>
        <v>0.6960395350455906</v>
      </c>
      <c r="P14" s="16">
        <v>208.12</v>
      </c>
      <c r="Q14" s="16">
        <f>P$34/O14</f>
        <v>208.12036200000003</v>
      </c>
      <c r="R14" s="4"/>
      <c r="S14" s="4">
        <f>1/1.4324</f>
        <v>0.6981290142418319</v>
      </c>
      <c r="T14" s="16">
        <v>207.91</v>
      </c>
      <c r="U14" s="16">
        <f>T$34/S14</f>
        <v>207.91286</v>
      </c>
      <c r="V14" s="4"/>
      <c r="W14" s="4">
        <f>1/1.4221</f>
        <v>0.7031854299978905</v>
      </c>
      <c r="X14" s="16">
        <v>206.9</v>
      </c>
      <c r="Y14" s="16">
        <f>X$34/W14</f>
        <v>206.901329</v>
      </c>
      <c r="Z14" s="4"/>
      <c r="AA14" s="4">
        <f>1/1.4235</f>
        <v>0.7024938531787847</v>
      </c>
      <c r="AB14" s="16">
        <v>207.22</v>
      </c>
      <c r="AC14" s="16">
        <f>AB$34/AA14</f>
        <v>207.218895</v>
      </c>
      <c r="AD14" s="4"/>
      <c r="AE14" s="4">
        <f>1/1.4216</f>
        <v>0.7034327518289252</v>
      </c>
      <c r="AF14" s="16">
        <v>207.45</v>
      </c>
      <c r="AG14" s="16">
        <f>AF$34/AE14</f>
        <v>207.454088</v>
      </c>
      <c r="AH14" s="4"/>
      <c r="AI14" s="4">
        <f>1/1.4167</f>
        <v>0.7058657443354274</v>
      </c>
      <c r="AJ14" s="16">
        <v>206.97</v>
      </c>
      <c r="AK14" s="16">
        <f>AJ$34/AI14</f>
        <v>206.97987</v>
      </c>
      <c r="AL14" s="4"/>
      <c r="AM14" s="4">
        <f>1/1.4223</f>
        <v>0.7030865499542994</v>
      </c>
      <c r="AN14" s="16">
        <v>207.99</v>
      </c>
      <c r="AO14" s="16">
        <f>AN$34/AM14</f>
        <v>207.997152</v>
      </c>
      <c r="AP14" s="4"/>
      <c r="AQ14" s="4">
        <f>1/1.4256</f>
        <v>0.7014590347923682</v>
      </c>
      <c r="AR14" s="16">
        <v>208.28</v>
      </c>
      <c r="AS14" s="16">
        <f>AR$34/AQ14</f>
        <v>208.28016</v>
      </c>
      <c r="AT14" s="4"/>
      <c r="AU14" s="4">
        <f>1/1.4272</f>
        <v>0.7006726457399103</v>
      </c>
      <c r="AV14" s="16">
        <v>208.31</v>
      </c>
      <c r="AW14" s="16">
        <f>AV$34/AU14</f>
        <v>208.31411200000002</v>
      </c>
      <c r="AX14" s="4"/>
      <c r="AY14" s="4">
        <f>1/1.4296</f>
        <v>0.6994963626189143</v>
      </c>
      <c r="AZ14" s="16">
        <v>209.22</v>
      </c>
      <c r="BA14" s="16">
        <f>AZ$34/AY14</f>
        <v>209.22196</v>
      </c>
      <c r="BB14" s="4"/>
      <c r="BC14" s="4">
        <f>1/1.4374</f>
        <v>0.6957005704744678</v>
      </c>
      <c r="BD14" s="16">
        <v>210.68</v>
      </c>
      <c r="BE14" s="16">
        <f>BD$34/BC14</f>
        <v>210.176628</v>
      </c>
      <c r="BF14" s="4"/>
      <c r="BG14" s="4">
        <f>1/1.4357</f>
        <v>0.6965243435258063</v>
      </c>
      <c r="BH14" s="16">
        <v>210.9</v>
      </c>
      <c r="BI14" s="16">
        <f>BH$34/BG14</f>
        <v>210.88997299999997</v>
      </c>
      <c r="BJ14" s="4"/>
      <c r="BK14" s="4">
        <f>1/1.4233</f>
        <v>0.7025925665706457</v>
      </c>
      <c r="BL14" s="16">
        <v>210.01</v>
      </c>
      <c r="BM14" s="16">
        <f>BL$34/BK14</f>
        <v>210.007915</v>
      </c>
      <c r="BN14" s="4"/>
      <c r="BO14" s="4">
        <f>1/1.4157</f>
        <v>0.7063643427279791</v>
      </c>
      <c r="BP14" s="16">
        <v>209.66</v>
      </c>
      <c r="BQ14" s="16">
        <f>BP$34/BO14</f>
        <v>209.651013</v>
      </c>
      <c r="BR14" s="4"/>
      <c r="BS14" s="4">
        <f>1/1.4232</f>
        <v>0.7026419336706015</v>
      </c>
      <c r="BT14" s="16">
        <v>210.94</v>
      </c>
      <c r="BU14" s="16">
        <f>BT$34/BS14</f>
        <v>210.946704</v>
      </c>
      <c r="BV14" s="4"/>
      <c r="BW14" s="4">
        <f>1/1.4201</f>
        <v>0.7041757622702627</v>
      </c>
      <c r="BX14" s="16">
        <v>210.46</v>
      </c>
      <c r="BY14" s="16">
        <f>BX$34/BW14</f>
        <v>210.45881999999997</v>
      </c>
      <c r="BZ14" s="4"/>
      <c r="CA14" s="4">
        <f>1/1.4207</f>
        <v>0.7038783698176955</v>
      </c>
      <c r="CB14" s="16">
        <v>211.05</v>
      </c>
      <c r="CC14" s="16">
        <f>CB$34/CA14</f>
        <v>211.05919200000002</v>
      </c>
      <c r="CD14" s="4"/>
      <c r="CE14" s="4">
        <f>1/1.4232</f>
        <v>0.7026419336706015</v>
      </c>
      <c r="CF14" s="16">
        <v>211.51</v>
      </c>
      <c r="CG14" s="16">
        <f>CF$34/CE14</f>
        <v>211.515984</v>
      </c>
      <c r="CH14" s="4"/>
      <c r="CI14" s="4">
        <f>1/1.4215</f>
        <v>0.7034822370735139</v>
      </c>
      <c r="CJ14" s="16">
        <v>211.85</v>
      </c>
      <c r="CK14" s="16">
        <f>CJ$34/CI14</f>
        <v>211.86036</v>
      </c>
      <c r="CL14" s="4"/>
      <c r="CM14" s="4">
        <f t="shared" si="0"/>
        <v>0.7010627630729155</v>
      </c>
      <c r="CN14" s="4">
        <f t="shared" si="1"/>
        <v>209.0268181818182</v>
      </c>
      <c r="CO14" s="4">
        <f t="shared" si="1"/>
        <v>209.00647149999995</v>
      </c>
      <c r="CP14" s="4"/>
    </row>
    <row r="15" spans="1:94" ht="12.75">
      <c r="A15" s="26">
        <v>4</v>
      </c>
      <c r="B15" s="27" t="s">
        <v>41</v>
      </c>
      <c r="C15" s="4">
        <v>1.7308</v>
      </c>
      <c r="D15" s="16">
        <v>83.64</v>
      </c>
      <c r="E15" s="16">
        <f>D$34/C15</f>
        <v>83.63762422001386</v>
      </c>
      <c r="F15" s="4"/>
      <c r="G15" s="4">
        <v>1.7244</v>
      </c>
      <c r="H15" s="16">
        <v>83.98</v>
      </c>
      <c r="I15" s="16">
        <f>H$34/G15</f>
        <v>83.97703549060543</v>
      </c>
      <c r="J15" s="4"/>
      <c r="K15" s="4">
        <v>1.7267</v>
      </c>
      <c r="L15" s="16">
        <v>83.91</v>
      </c>
      <c r="M15" s="16">
        <f>L$34/K15</f>
        <v>83.91150749985522</v>
      </c>
      <c r="N15" s="4"/>
      <c r="O15" s="4">
        <v>1.7298</v>
      </c>
      <c r="P15" s="16">
        <v>83.74</v>
      </c>
      <c r="Q15" s="16">
        <f>P$34/O15</f>
        <v>83.74378540871778</v>
      </c>
      <c r="R15" s="4"/>
      <c r="S15" s="4">
        <v>1.738</v>
      </c>
      <c r="T15" s="16">
        <v>83.51</v>
      </c>
      <c r="U15" s="16">
        <f>T$34/S15</f>
        <v>83.51553509781358</v>
      </c>
      <c r="V15" s="4"/>
      <c r="W15" s="4">
        <v>1.7416</v>
      </c>
      <c r="X15" s="16">
        <v>83.54</v>
      </c>
      <c r="Y15" s="16">
        <f>X$34/W15</f>
        <v>83.538125861277</v>
      </c>
      <c r="Z15" s="4"/>
      <c r="AA15" s="4">
        <v>1.7356</v>
      </c>
      <c r="AB15" s="16">
        <v>83.87</v>
      </c>
      <c r="AC15" s="16">
        <f>AB$34/AA15</f>
        <v>83.87301221479603</v>
      </c>
      <c r="AD15" s="4"/>
      <c r="AE15" s="4">
        <v>1.7434</v>
      </c>
      <c r="AF15" s="16">
        <v>83.7</v>
      </c>
      <c r="AG15" s="16">
        <f>AF$34/AE15</f>
        <v>83.70425605139383</v>
      </c>
      <c r="AH15" s="4"/>
      <c r="AI15" s="4">
        <v>1.7531</v>
      </c>
      <c r="AJ15" s="16">
        <v>83.34</v>
      </c>
      <c r="AK15" s="16">
        <f>AJ$34/AI15</f>
        <v>83.33808681763732</v>
      </c>
      <c r="AL15" s="4"/>
      <c r="AM15" s="4">
        <v>1.7434</v>
      </c>
      <c r="AN15" s="16">
        <v>83.88</v>
      </c>
      <c r="AO15" s="16">
        <f>AN$34/AM15</f>
        <v>83.88206951933005</v>
      </c>
      <c r="AP15" s="4"/>
      <c r="AQ15" s="4">
        <v>1.7334</v>
      </c>
      <c r="AR15" s="16">
        <v>84.28</v>
      </c>
      <c r="AS15" s="16">
        <f>AR$34/AQ15</f>
        <v>84.28521979923849</v>
      </c>
      <c r="AT15" s="4"/>
      <c r="AU15" s="4">
        <v>1.734</v>
      </c>
      <c r="AV15" s="16">
        <v>84.17</v>
      </c>
      <c r="AW15" s="16">
        <f>AV$34/AU15</f>
        <v>84.1753171856978</v>
      </c>
      <c r="AX15" s="4"/>
      <c r="AY15" s="4">
        <v>1.7401</v>
      </c>
      <c r="AZ15" s="16">
        <v>84.11</v>
      </c>
      <c r="BA15" s="16">
        <f>AZ$34/AY15</f>
        <v>84.1043618182863</v>
      </c>
      <c r="BB15" s="4"/>
      <c r="BC15" s="4">
        <v>1.7475</v>
      </c>
      <c r="BD15" s="16">
        <v>83.68</v>
      </c>
      <c r="BE15" s="16">
        <f>BD$34/BC15</f>
        <v>83.67381974248927</v>
      </c>
      <c r="BF15" s="4"/>
      <c r="BG15" s="4">
        <v>1.7596</v>
      </c>
      <c r="BH15" s="16">
        <v>83.48</v>
      </c>
      <c r="BI15" s="16">
        <f>BH$34/BG15</f>
        <v>83.47919981814047</v>
      </c>
      <c r="BJ15" s="4"/>
      <c r="BK15" s="4">
        <v>1.7715</v>
      </c>
      <c r="BL15" s="16">
        <v>83.29</v>
      </c>
      <c r="BM15" s="16">
        <f>BL$34/BK15</f>
        <v>83.29099633079312</v>
      </c>
      <c r="BN15" s="4"/>
      <c r="BO15" s="4">
        <v>1.7754</v>
      </c>
      <c r="BP15" s="16">
        <v>83.41</v>
      </c>
      <c r="BQ15" s="16">
        <f>BP$34/BO15</f>
        <v>83.41218880252337</v>
      </c>
      <c r="BR15" s="4"/>
      <c r="BS15" s="4">
        <v>1.7766</v>
      </c>
      <c r="BT15" s="16">
        <v>83.43</v>
      </c>
      <c r="BU15" s="16">
        <f>BT$34/BS15</f>
        <v>83.42902172689406</v>
      </c>
      <c r="BV15" s="4"/>
      <c r="BW15" s="4">
        <v>1.7774</v>
      </c>
      <c r="BX15" s="16">
        <v>83.38</v>
      </c>
      <c r="BY15" s="16">
        <f>BX$34/BW15</f>
        <v>83.38021829638797</v>
      </c>
      <c r="BZ15" s="4"/>
      <c r="CA15" s="4">
        <v>1.7798</v>
      </c>
      <c r="CB15" s="16">
        <v>83.47</v>
      </c>
      <c r="CC15" s="16">
        <f>CB$34/CA15</f>
        <v>83.47005281492302</v>
      </c>
      <c r="CD15" s="4"/>
      <c r="CE15" s="4">
        <v>1.778</v>
      </c>
      <c r="CF15" s="16">
        <v>83.59</v>
      </c>
      <c r="CG15" s="16">
        <f>CF$34/CE15</f>
        <v>83.58830146231722</v>
      </c>
      <c r="CH15" s="4"/>
      <c r="CI15" s="4">
        <v>1.785</v>
      </c>
      <c r="CJ15" s="16">
        <v>83.5</v>
      </c>
      <c r="CK15" s="16">
        <f>CJ$34/CI15</f>
        <v>83.49579831932773</v>
      </c>
      <c r="CL15" s="4"/>
      <c r="CM15" s="4">
        <f t="shared" si="0"/>
        <v>1.7511409090909085</v>
      </c>
      <c r="CN15" s="4">
        <f t="shared" si="1"/>
        <v>83.67727272727274</v>
      </c>
      <c r="CO15" s="4">
        <f t="shared" si="1"/>
        <v>83.67752428629359</v>
      </c>
      <c r="CP15" s="4"/>
    </row>
    <row r="16" spans="1:94" ht="12.75">
      <c r="A16" s="26">
        <v>5</v>
      </c>
      <c r="B16" s="27" t="s">
        <v>42</v>
      </c>
      <c r="C16" s="4">
        <v>7.3596</v>
      </c>
      <c r="D16" s="16">
        <v>19.67</v>
      </c>
      <c r="E16" s="16">
        <f>D$34/C16</f>
        <v>19.66954725800315</v>
      </c>
      <c r="F16" s="4"/>
      <c r="G16" s="4">
        <v>7.3373</v>
      </c>
      <c r="H16" s="16">
        <v>19.74</v>
      </c>
      <c r="I16" s="16">
        <f>H$34/G16</f>
        <v>19.73614272279994</v>
      </c>
      <c r="J16" s="4"/>
      <c r="K16" s="4">
        <v>7.3447</v>
      </c>
      <c r="L16" s="16">
        <v>19.73</v>
      </c>
      <c r="M16" s="16">
        <f>L$34/K16</f>
        <v>19.727150189932875</v>
      </c>
      <c r="N16" s="4"/>
      <c r="O16" s="4">
        <v>7.3554</v>
      </c>
      <c r="P16" s="16">
        <v>19.69</v>
      </c>
      <c r="Q16" s="16">
        <f>P$34/O16</f>
        <v>19.6943742012671</v>
      </c>
      <c r="R16" s="4"/>
      <c r="S16" s="4">
        <v>7.3977</v>
      </c>
      <c r="T16" s="16">
        <v>19.62</v>
      </c>
      <c r="U16" s="16">
        <f>T$34/S16</f>
        <v>19.62096327236844</v>
      </c>
      <c r="V16" s="4"/>
      <c r="W16" s="4">
        <v>7.4027</v>
      </c>
      <c r="X16" s="16">
        <v>19.65</v>
      </c>
      <c r="Y16" s="16">
        <f>X$34/W16</f>
        <v>19.65363988814892</v>
      </c>
      <c r="Z16" s="4"/>
      <c r="AA16" s="4">
        <v>7.3961</v>
      </c>
      <c r="AB16" s="16">
        <v>19.68</v>
      </c>
      <c r="AC16" s="16">
        <f>AB$34/AA16</f>
        <v>19.681994564703018</v>
      </c>
      <c r="AD16" s="4"/>
      <c r="AE16" s="4">
        <v>7.4439</v>
      </c>
      <c r="AF16" s="16">
        <v>19.6</v>
      </c>
      <c r="AG16" s="16">
        <f>AF$34/AE16</f>
        <v>19.603971036687756</v>
      </c>
      <c r="AH16" s="4"/>
      <c r="AI16" s="4">
        <v>7.5027</v>
      </c>
      <c r="AJ16" s="16">
        <v>19.47</v>
      </c>
      <c r="AK16" s="16">
        <f>AJ$34/AI16</f>
        <v>19.472989723699467</v>
      </c>
      <c r="AL16" s="4"/>
      <c r="AM16" s="4">
        <v>7.4651</v>
      </c>
      <c r="AN16" s="16">
        <v>19.59</v>
      </c>
      <c r="AO16" s="16">
        <f>AN$34/AM16</f>
        <v>19.589824650707964</v>
      </c>
      <c r="AP16" s="4"/>
      <c r="AQ16" s="4">
        <v>7.4203</v>
      </c>
      <c r="AR16" s="16">
        <v>19.69</v>
      </c>
      <c r="AS16" s="16">
        <f>AR$34/AQ16</f>
        <v>19.689230893629638</v>
      </c>
      <c r="AT16" s="4"/>
      <c r="AU16" s="4">
        <v>7.4287</v>
      </c>
      <c r="AV16" s="16">
        <v>19.65</v>
      </c>
      <c r="AW16" s="16">
        <f>AV$34/AU16</f>
        <v>19.64812147482063</v>
      </c>
      <c r="AX16" s="4"/>
      <c r="AY16" s="4">
        <v>7.4617</v>
      </c>
      <c r="AZ16" s="16">
        <v>19.61</v>
      </c>
      <c r="BA16" s="16">
        <f>AZ$34/AY16</f>
        <v>19.613492903761877</v>
      </c>
      <c r="BB16" s="4"/>
      <c r="BC16" s="4">
        <v>7.4787</v>
      </c>
      <c r="BD16" s="16">
        <v>19.55</v>
      </c>
      <c r="BE16" s="16">
        <f>BD$34/BC16</f>
        <v>19.551526334790807</v>
      </c>
      <c r="BF16" s="4"/>
      <c r="BG16" s="4">
        <v>7.5337</v>
      </c>
      <c r="BH16" s="16">
        <v>19.5</v>
      </c>
      <c r="BI16" s="16">
        <f>BH$34/BG16</f>
        <v>19.497723562127508</v>
      </c>
      <c r="BJ16" s="4"/>
      <c r="BK16" s="4">
        <v>7.6141</v>
      </c>
      <c r="BL16" s="16">
        <v>19.38</v>
      </c>
      <c r="BM16" s="16">
        <f>BL$34/BK16</f>
        <v>19.378521427351888</v>
      </c>
      <c r="BN16" s="4"/>
      <c r="BO16" s="4">
        <v>7.6416</v>
      </c>
      <c r="BP16" s="16">
        <v>19.38</v>
      </c>
      <c r="BQ16" s="16">
        <f>BP$34/BO16</f>
        <v>19.37944932998325</v>
      </c>
      <c r="BR16" s="4"/>
      <c r="BS16" s="4">
        <v>7.6416</v>
      </c>
      <c r="BT16" s="16">
        <v>19.4</v>
      </c>
      <c r="BU16" s="16">
        <f>BT$34/BS16</f>
        <v>19.39646147403685</v>
      </c>
      <c r="BV16" s="4"/>
      <c r="BW16" s="4">
        <v>7.6301</v>
      </c>
      <c r="BX16" s="16">
        <v>19.42</v>
      </c>
      <c r="BY16" s="16">
        <f>BX$34/BW16</f>
        <v>19.423074402694592</v>
      </c>
      <c r="BZ16" s="4"/>
      <c r="CA16" s="4">
        <v>7.6613</v>
      </c>
      <c r="CB16" s="16">
        <v>19.39</v>
      </c>
      <c r="CC16" s="16">
        <f>CB$34/CA16</f>
        <v>19.39096497983371</v>
      </c>
      <c r="CD16" s="4"/>
      <c r="CE16" s="4">
        <v>7.6488</v>
      </c>
      <c r="CF16" s="16">
        <v>19.43</v>
      </c>
      <c r="CG16" s="16">
        <f>CF$34/CE16</f>
        <v>19.430498901788518</v>
      </c>
      <c r="CH16" s="4"/>
      <c r="CI16" s="4">
        <v>7.7117</v>
      </c>
      <c r="CJ16" s="16">
        <v>19.33</v>
      </c>
      <c r="CK16" s="16">
        <f>CJ$34/CI16</f>
        <v>19.32647794909034</v>
      </c>
      <c r="CL16" s="4"/>
      <c r="CM16" s="4">
        <f t="shared" si="0"/>
        <v>7.494431818181818</v>
      </c>
      <c r="CN16" s="4">
        <f t="shared" si="1"/>
        <v>19.553181818181816</v>
      </c>
      <c r="CO16" s="4">
        <f t="shared" si="1"/>
        <v>19.553460961010373</v>
      </c>
      <c r="CP16" s="4"/>
    </row>
    <row r="17" spans="1:94" ht="12.75">
      <c r="A17" s="26">
        <v>6</v>
      </c>
      <c r="B17" s="27" t="s">
        <v>43</v>
      </c>
      <c r="C17" s="4">
        <v>2.4725</v>
      </c>
      <c r="D17" s="16">
        <v>58.55</v>
      </c>
      <c r="E17" s="16">
        <f>D$34/C17</f>
        <v>58.548028311425675</v>
      </c>
      <c r="F17" s="4"/>
      <c r="G17" s="4">
        <v>2.465</v>
      </c>
      <c r="H17" s="16">
        <v>58.75</v>
      </c>
      <c r="I17" s="16">
        <f>H$34/G17</f>
        <v>58.74645030425964</v>
      </c>
      <c r="J17" s="4"/>
      <c r="K17" s="4">
        <v>2.4675</v>
      </c>
      <c r="L17" s="16">
        <v>58.72</v>
      </c>
      <c r="M17" s="16">
        <f>L$34/K17</f>
        <v>58.7193515704154</v>
      </c>
      <c r="N17" s="4"/>
      <c r="O17" s="4">
        <v>2.4711</v>
      </c>
      <c r="P17" s="16">
        <v>58.62</v>
      </c>
      <c r="Q17" s="16">
        <f>P$34/O17</f>
        <v>58.62166646432764</v>
      </c>
      <c r="R17" s="4"/>
      <c r="S17" s="4">
        <v>2.4853</v>
      </c>
      <c r="T17" s="16">
        <v>58.4</v>
      </c>
      <c r="U17" s="16">
        <f>T$34/S17</f>
        <v>58.40341206293003</v>
      </c>
      <c r="V17" s="4"/>
      <c r="W17" s="4">
        <v>2.487</v>
      </c>
      <c r="X17" s="16">
        <v>58.5</v>
      </c>
      <c r="Y17" s="16">
        <f>X$34/W17</f>
        <v>58.50020104543627</v>
      </c>
      <c r="Z17" s="4"/>
      <c r="AA17" s="4">
        <v>2.4847</v>
      </c>
      <c r="AB17" s="16">
        <v>58.59</v>
      </c>
      <c r="AC17" s="16">
        <f>AB$34/AA17</f>
        <v>58.58654968406648</v>
      </c>
      <c r="AD17" s="4"/>
      <c r="AE17" s="4">
        <v>2.5008</v>
      </c>
      <c r="AF17" s="16">
        <v>58.35</v>
      </c>
      <c r="AG17" s="16">
        <f>AF$34/AE17</f>
        <v>58.353326935380686</v>
      </c>
      <c r="AH17" s="4"/>
      <c r="AI17" s="4">
        <v>2.5205</v>
      </c>
      <c r="AJ17" s="16">
        <v>57.96</v>
      </c>
      <c r="AK17" s="16">
        <f>AJ$34/AI17</f>
        <v>57.96468954572505</v>
      </c>
      <c r="AL17" s="4"/>
      <c r="AM17" s="4">
        <v>2.5079</v>
      </c>
      <c r="AN17" s="16">
        <v>58.31</v>
      </c>
      <c r="AO17" s="16">
        <f>AN$34/AM17</f>
        <v>58.3117349176602</v>
      </c>
      <c r="AP17" s="4"/>
      <c r="AQ17" s="4">
        <v>2.4929</v>
      </c>
      <c r="AR17" s="16">
        <v>58.61</v>
      </c>
      <c r="AS17" s="16">
        <f>AR$34/AQ17</f>
        <v>58.60644229612098</v>
      </c>
      <c r="AT17" s="4"/>
      <c r="AU17" s="4">
        <v>2.4957</v>
      </c>
      <c r="AV17" s="16">
        <v>58.48</v>
      </c>
      <c r="AW17" s="16">
        <f>AV$34/AU17</f>
        <v>58.48459350082142</v>
      </c>
      <c r="AX17" s="4"/>
      <c r="AY17" s="4">
        <v>2.5068</v>
      </c>
      <c r="AZ17" s="16">
        <v>58.38</v>
      </c>
      <c r="BA17" s="16">
        <f>AZ$34/AY17</f>
        <v>58.381203127493215</v>
      </c>
      <c r="BB17" s="4"/>
      <c r="BC17" s="4">
        <v>2.5125</v>
      </c>
      <c r="BD17" s="16">
        <v>58.2</v>
      </c>
      <c r="BE17" s="16">
        <f>BD$34/BC17</f>
        <v>58.19701492537313</v>
      </c>
      <c r="BF17" s="4"/>
      <c r="BG17" s="4">
        <v>2.531</v>
      </c>
      <c r="BH17" s="16">
        <v>58.04</v>
      </c>
      <c r="BI17" s="16">
        <f>BH$34/BG17</f>
        <v>58.0363492690636</v>
      </c>
      <c r="BJ17" s="4"/>
      <c r="BK17" s="4">
        <v>2.558</v>
      </c>
      <c r="BL17" s="16">
        <v>57.68</v>
      </c>
      <c r="BM17" s="16">
        <f>BL$34/BK17</f>
        <v>57.68178264268961</v>
      </c>
      <c r="BN17" s="4"/>
      <c r="BO17" s="4">
        <v>2.5672</v>
      </c>
      <c r="BP17" s="16">
        <v>57.69</v>
      </c>
      <c r="BQ17" s="16">
        <f>BP$34/BO17</f>
        <v>57.68541601745092</v>
      </c>
      <c r="BR17" s="4"/>
      <c r="BS17" s="4">
        <v>2.5672</v>
      </c>
      <c r="BT17" s="16">
        <v>57.73</v>
      </c>
      <c r="BU17" s="16">
        <f>BT$34/BS17</f>
        <v>57.73605484574634</v>
      </c>
      <c r="BV17" s="4"/>
      <c r="BW17" s="4">
        <v>2.5633</v>
      </c>
      <c r="BX17" s="16">
        <v>57.82</v>
      </c>
      <c r="BY17" s="16">
        <f>BX$34/BW17</f>
        <v>57.81609643818515</v>
      </c>
      <c r="BZ17" s="4"/>
      <c r="CA17" s="4">
        <v>2.5738</v>
      </c>
      <c r="CB17" s="16">
        <v>57.72</v>
      </c>
      <c r="CC17" s="16">
        <f>CB$34/CA17</f>
        <v>57.72010257207243</v>
      </c>
      <c r="CD17" s="4"/>
      <c r="CE17" s="4">
        <v>2.5696</v>
      </c>
      <c r="CF17" s="16">
        <v>57.84</v>
      </c>
      <c r="CG17" s="16">
        <f>CF$34/CE17</f>
        <v>57.837795765877964</v>
      </c>
      <c r="CH17" s="4"/>
      <c r="CI17" s="4">
        <v>2.5908</v>
      </c>
      <c r="CJ17" s="16">
        <v>57.53</v>
      </c>
      <c r="CK17" s="16">
        <f>CJ$34/CI17</f>
        <v>57.526632700324214</v>
      </c>
      <c r="CL17" s="4"/>
      <c r="CM17" s="4">
        <f t="shared" si="0"/>
        <v>2.5177772727272725</v>
      </c>
      <c r="CN17" s="4">
        <f t="shared" si="1"/>
        <v>58.20318181818181</v>
      </c>
      <c r="CO17" s="4">
        <f t="shared" si="1"/>
        <v>58.202949770129365</v>
      </c>
      <c r="CP17" s="4"/>
    </row>
    <row r="18" spans="1:94" ht="12.75">
      <c r="A18" s="26">
        <v>7</v>
      </c>
      <c r="B18" s="27" t="s">
        <v>44</v>
      </c>
      <c r="C18" s="4">
        <v>2172.4111</v>
      </c>
      <c r="D18" s="16">
        <v>66.63</v>
      </c>
      <c r="E18" s="16">
        <f>D$34/C18*1000</f>
        <v>66.63563816259271</v>
      </c>
      <c r="F18" s="4">
        <v>66.65</v>
      </c>
      <c r="G18" s="4">
        <v>2165.8501</v>
      </c>
      <c r="H18" s="16">
        <v>66.86</v>
      </c>
      <c r="I18" s="16">
        <f>H$34/G18*1000</f>
        <v>66.86058282611525</v>
      </c>
      <c r="J18" s="4">
        <v>66.68</v>
      </c>
      <c r="K18" s="4">
        <v>2168.0327</v>
      </c>
      <c r="L18" s="16">
        <v>66.83</v>
      </c>
      <c r="M18" s="16">
        <f>L$34/K18*1000</f>
        <v>66.83017281058535</v>
      </c>
      <c r="N18" s="4">
        <v>66.71</v>
      </c>
      <c r="O18" s="4">
        <v>2171.1931</v>
      </c>
      <c r="P18" s="16">
        <v>66.72</v>
      </c>
      <c r="Q18" s="16">
        <f>P$34/O18*1000</f>
        <v>66.71907717466493</v>
      </c>
      <c r="R18" s="4">
        <v>66.75</v>
      </c>
      <c r="S18" s="4">
        <v>2183.6811</v>
      </c>
      <c r="T18" s="16">
        <v>66.47</v>
      </c>
      <c r="U18" s="16">
        <f>T$34/S18*1000</f>
        <v>66.47032847424471</v>
      </c>
      <c r="V18" s="4">
        <v>66.7</v>
      </c>
      <c r="W18" s="4">
        <v>2185.1597</v>
      </c>
      <c r="X18" s="16">
        <v>66.58</v>
      </c>
      <c r="Y18" s="16">
        <f>X$34/W18*1000</f>
        <v>66.58094600591436</v>
      </c>
      <c r="Z18" s="4">
        <v>66.64</v>
      </c>
      <c r="AA18" s="4">
        <v>2183.1886</v>
      </c>
      <c r="AB18" s="16">
        <v>66.68</v>
      </c>
      <c r="AC18" s="16">
        <f>AB$34/AA18*1000</f>
        <v>66.67770251273757</v>
      </c>
      <c r="AD18" s="4">
        <v>66.7</v>
      </c>
      <c r="AE18" s="4">
        <v>2197.3105</v>
      </c>
      <c r="AF18" s="16">
        <v>66.41</v>
      </c>
      <c r="AG18" s="16">
        <f>AF$34/AE18*1000</f>
        <v>66.41300808420111</v>
      </c>
      <c r="AH18" s="4">
        <v>66.4</v>
      </c>
      <c r="AI18" s="4">
        <v>2214.6517</v>
      </c>
      <c r="AJ18" s="16">
        <v>65.97</v>
      </c>
      <c r="AK18" s="16">
        <f>AJ$34/AI18*1000</f>
        <v>65.96974142706053</v>
      </c>
      <c r="AL18" s="4">
        <v>66.3</v>
      </c>
      <c r="AM18" s="4">
        <v>2203.5621</v>
      </c>
      <c r="AN18" s="16">
        <v>66.36</v>
      </c>
      <c r="AO18" s="16">
        <f>AN$34/AM18*1000</f>
        <v>66.36527284617938</v>
      </c>
      <c r="AP18" s="4">
        <v>66.49</v>
      </c>
      <c r="AQ18" s="4">
        <v>2190.3507</v>
      </c>
      <c r="AR18" s="16">
        <v>66.7</v>
      </c>
      <c r="AS18" s="16">
        <f>AR$34/AQ18*1000</f>
        <v>66.70164736633271</v>
      </c>
      <c r="AT18" s="4">
        <v>66.58</v>
      </c>
      <c r="AU18" s="4">
        <v>2192.8313</v>
      </c>
      <c r="AV18" s="16">
        <v>66.56</v>
      </c>
      <c r="AW18" s="16">
        <f>AV$34/AU18*1000</f>
        <v>66.56234795627006</v>
      </c>
      <c r="AX18" s="4">
        <v>66.64</v>
      </c>
      <c r="AY18" s="4">
        <v>2202.5594</v>
      </c>
      <c r="AZ18" s="16">
        <v>66.45</v>
      </c>
      <c r="BA18" s="16">
        <f>AZ$34/AY18*1000</f>
        <v>66.44542707906085</v>
      </c>
      <c r="BB18" s="4">
        <v>66.5</v>
      </c>
      <c r="BC18" s="4">
        <v>2207.5818</v>
      </c>
      <c r="BD18" s="16">
        <v>66.24</v>
      </c>
      <c r="BE18" s="16">
        <f>BD$34/BC18*1000</f>
        <v>66.23537121025367</v>
      </c>
      <c r="BF18" s="4">
        <v>66.41</v>
      </c>
      <c r="BG18" s="4">
        <v>2223.8084</v>
      </c>
      <c r="BH18" s="16">
        <v>66.06</v>
      </c>
      <c r="BI18" s="16">
        <f>BH$34/BG18*1000</f>
        <v>66.05335243809674</v>
      </c>
      <c r="BJ18" s="4">
        <v>66.4</v>
      </c>
      <c r="BK18" s="4">
        <v>2247.5566</v>
      </c>
      <c r="BL18" s="16">
        <v>65.65</v>
      </c>
      <c r="BM18" s="16">
        <f>BL$34/BK18*1000</f>
        <v>65.64906974978962</v>
      </c>
      <c r="BN18" s="4">
        <v>66.05</v>
      </c>
      <c r="BO18" s="4">
        <v>2255.6733</v>
      </c>
      <c r="BP18" s="16">
        <v>65.65</v>
      </c>
      <c r="BQ18" s="16">
        <f>BP$34/BO18*1000</f>
        <v>65.65223784845084</v>
      </c>
      <c r="BR18" s="4">
        <v>66.1</v>
      </c>
      <c r="BS18" s="4">
        <v>2255.6733</v>
      </c>
      <c r="BT18" s="16">
        <v>65.71</v>
      </c>
      <c r="BU18" s="16">
        <f>BT$34/BS18*1000</f>
        <v>65.70987030790319</v>
      </c>
      <c r="BV18" s="4">
        <v>66.05</v>
      </c>
      <c r="BW18" s="4">
        <v>2252.2624</v>
      </c>
      <c r="BX18" s="16">
        <v>65.8</v>
      </c>
      <c r="BY18" s="16">
        <f>BX$34/BW18*1000</f>
        <v>65.80050352925129</v>
      </c>
      <c r="BZ18" s="4">
        <v>66</v>
      </c>
      <c r="CA18" s="4">
        <v>2261.4693</v>
      </c>
      <c r="CB18" s="16">
        <v>65.69</v>
      </c>
      <c r="CC18" s="16">
        <f>CB$34/CA18*1000</f>
        <v>65.69180488101253</v>
      </c>
      <c r="CD18" s="4">
        <v>65.9</v>
      </c>
      <c r="CE18" s="4">
        <v>2257.7775</v>
      </c>
      <c r="CF18" s="16">
        <v>65.82</v>
      </c>
      <c r="CG18" s="16">
        <f>CF$34/CE18*1000</f>
        <v>65.8257955002209</v>
      </c>
      <c r="CH18" s="4">
        <v>65.9</v>
      </c>
      <c r="CI18" s="4">
        <v>2276.3579</v>
      </c>
      <c r="CJ18" s="16">
        <v>65.47</v>
      </c>
      <c r="CK18" s="16">
        <f>CJ$34/CI18*1000</f>
        <v>65.47300844036872</v>
      </c>
      <c r="CL18" s="4">
        <v>65.73</v>
      </c>
      <c r="CM18" s="4">
        <f t="shared" si="0"/>
        <v>2212.224663636364</v>
      </c>
      <c r="CN18" s="4">
        <f t="shared" si="1"/>
        <v>66.24136363636364</v>
      </c>
      <c r="CO18" s="4">
        <f t="shared" si="1"/>
        <v>66.24195030142305</v>
      </c>
      <c r="CP18" s="4">
        <f t="shared" si="1"/>
        <v>66.37636363636364</v>
      </c>
    </row>
    <row r="19" spans="1:94" ht="12.75">
      <c r="A19" s="26">
        <v>8</v>
      </c>
      <c r="B19" s="27" t="s">
        <v>45</v>
      </c>
      <c r="C19" s="4">
        <v>45.256</v>
      </c>
      <c r="D19" s="16">
        <v>3.2</v>
      </c>
      <c r="E19" s="16">
        <f>D$34/C19</f>
        <v>3.1986918861587412</v>
      </c>
      <c r="F19" s="4"/>
      <c r="G19" s="4">
        <v>45.1229</v>
      </c>
      <c r="H19" s="16">
        <v>3.21</v>
      </c>
      <c r="I19" s="16">
        <f>H$34/G19</f>
        <v>3.209235222026953</v>
      </c>
      <c r="J19" s="4"/>
      <c r="K19" s="4">
        <v>45.1684</v>
      </c>
      <c r="L19" s="16">
        <v>3.21</v>
      </c>
      <c r="M19" s="16">
        <f>L$34/K19</f>
        <v>3.207773576217001</v>
      </c>
      <c r="N19" s="4"/>
      <c r="O19" s="4">
        <v>45.2342</v>
      </c>
      <c r="P19" s="16">
        <v>3.2</v>
      </c>
      <c r="Q19" s="16">
        <f>P$34/O19</f>
        <v>3.202444168350496</v>
      </c>
      <c r="R19" s="4"/>
      <c r="S19" s="4">
        <v>45.4944</v>
      </c>
      <c r="T19" s="16">
        <v>3.19</v>
      </c>
      <c r="U19" s="16">
        <f>T$34/S19</f>
        <v>3.1905025673489487</v>
      </c>
      <c r="V19" s="4"/>
      <c r="W19" s="4">
        <v>45.5252</v>
      </c>
      <c r="X19" s="16">
        <v>3.2</v>
      </c>
      <c r="Y19" s="16">
        <f>X$34/W19</f>
        <v>3.1958124291601138</v>
      </c>
      <c r="Z19" s="4"/>
      <c r="AA19" s="4">
        <v>45.4842</v>
      </c>
      <c r="AB19" s="16">
        <v>3.2</v>
      </c>
      <c r="AC19" s="16">
        <f>AB$34/AA19</f>
        <v>3.200452025098825</v>
      </c>
      <c r="AD19" s="4"/>
      <c r="AE19" s="4">
        <v>45.7784</v>
      </c>
      <c r="AF19" s="16">
        <v>3.19</v>
      </c>
      <c r="AG19" s="16">
        <f>AF$34/AE19</f>
        <v>3.187747933523234</v>
      </c>
      <c r="AH19" s="4"/>
      <c r="AI19" s="4">
        <v>46.1397</v>
      </c>
      <c r="AJ19" s="16">
        <v>3.17</v>
      </c>
      <c r="AK19" s="16">
        <f>AJ$34/AI19</f>
        <v>3.1664705232153656</v>
      </c>
      <c r="AL19" s="4"/>
      <c r="AM19" s="4">
        <v>45.9086</v>
      </c>
      <c r="AN19" s="16">
        <v>3.19</v>
      </c>
      <c r="AO19" s="16">
        <f>AN$34/AM19</f>
        <v>3.185459804916726</v>
      </c>
      <c r="AP19" s="4"/>
      <c r="AQ19" s="4">
        <v>45.6334</v>
      </c>
      <c r="AR19" s="16">
        <v>3.2</v>
      </c>
      <c r="AS19" s="16">
        <f>AR$34/AQ19</f>
        <v>3.2016023351317235</v>
      </c>
      <c r="AT19" s="4"/>
      <c r="AU19" s="4">
        <v>45.6851</v>
      </c>
      <c r="AV19" s="16">
        <v>3.19</v>
      </c>
      <c r="AW19" s="16">
        <f>AV$34/AU19</f>
        <v>3.194914753387866</v>
      </c>
      <c r="AX19" s="4"/>
      <c r="AY19" s="4">
        <v>45.8877</v>
      </c>
      <c r="AZ19" s="16">
        <v>3.19</v>
      </c>
      <c r="BA19" s="16">
        <f>AZ$34/AY19</f>
        <v>3.189307810153919</v>
      </c>
      <c r="BB19" s="4"/>
      <c r="BC19" s="4">
        <v>45.9924</v>
      </c>
      <c r="BD19" s="16">
        <v>3.18</v>
      </c>
      <c r="BE19" s="16">
        <f>BD$34/BC19</f>
        <v>3.1792209147598296</v>
      </c>
      <c r="BF19" s="4"/>
      <c r="BG19" s="4">
        <v>46.3304</v>
      </c>
      <c r="BH19" s="16">
        <v>3.17</v>
      </c>
      <c r="BI19" s="16">
        <f>BH$34/BG19</f>
        <v>3.1704884913577263</v>
      </c>
      <c r="BJ19" s="4"/>
      <c r="BK19" s="4">
        <v>46.8252</v>
      </c>
      <c r="BL19" s="16">
        <v>3.15</v>
      </c>
      <c r="BM19" s="16">
        <f>BL$34/BK19</f>
        <v>3.151081041832176</v>
      </c>
      <c r="BN19" s="4"/>
      <c r="BO19" s="4">
        <v>46.9943</v>
      </c>
      <c r="BP19" s="16">
        <v>3.15</v>
      </c>
      <c r="BQ19" s="16">
        <f>BP$34/BO19</f>
        <v>3.151233234668885</v>
      </c>
      <c r="BR19" s="4"/>
      <c r="BS19" s="4">
        <v>46.9943</v>
      </c>
      <c r="BT19" s="16">
        <v>3.15</v>
      </c>
      <c r="BU19" s="16">
        <f>BT$34/BS19</f>
        <v>3.1539995276022834</v>
      </c>
      <c r="BV19" s="4"/>
      <c r="BW19" s="4">
        <v>46.9232</v>
      </c>
      <c r="BX19" s="16">
        <v>3.16</v>
      </c>
      <c r="BY19" s="16">
        <f>BX$34/BW19</f>
        <v>3.158352371534763</v>
      </c>
      <c r="BZ19" s="4"/>
      <c r="CA19" s="4">
        <v>47.115</v>
      </c>
      <c r="CB19" s="16">
        <v>3.15</v>
      </c>
      <c r="CC19" s="16">
        <f>CB$34/CA19</f>
        <v>3.1531359439668893</v>
      </c>
      <c r="CD19" s="4"/>
      <c r="CE19" s="4">
        <v>47.0381</v>
      </c>
      <c r="CF19" s="16">
        <v>3.16</v>
      </c>
      <c r="CG19" s="16">
        <f>CF$34/CE19</f>
        <v>3.1595663940507803</v>
      </c>
      <c r="CH19" s="4"/>
      <c r="CI19" s="4">
        <v>47.4252</v>
      </c>
      <c r="CJ19" s="16">
        <v>3.14</v>
      </c>
      <c r="CK19" s="16">
        <f>CJ$34/CI19</f>
        <v>3.142633030540725</v>
      </c>
      <c r="CL19" s="4"/>
      <c r="CM19" s="4">
        <f t="shared" si="0"/>
        <v>46.08892272727272</v>
      </c>
      <c r="CN19" s="4">
        <f t="shared" si="1"/>
        <v>3.1795454545454547</v>
      </c>
      <c r="CO19" s="4">
        <f t="shared" si="1"/>
        <v>3.179551181136544</v>
      </c>
      <c r="CP19" s="4"/>
    </row>
    <row r="20" spans="1:94" ht="12.75">
      <c r="A20" s="26">
        <v>9</v>
      </c>
      <c r="B20" s="27" t="s">
        <v>46</v>
      </c>
      <c r="C20" s="4">
        <f>1/0.8913</f>
        <v>1.1219566924716706</v>
      </c>
      <c r="D20" s="16">
        <v>129.02</v>
      </c>
      <c r="E20" s="16">
        <f>D$34/C20</f>
        <v>129.024588</v>
      </c>
      <c r="F20" s="4"/>
      <c r="G20" s="4">
        <f>1/0.894</f>
        <v>1.1185682326621924</v>
      </c>
      <c r="H20" s="16">
        <v>129.46</v>
      </c>
      <c r="I20" s="16">
        <f>H$34/G20</f>
        <v>129.46014</v>
      </c>
      <c r="J20" s="4"/>
      <c r="K20" s="4">
        <f>1/0.8931</f>
        <v>1.1196954428395476</v>
      </c>
      <c r="L20" s="16">
        <v>129.4</v>
      </c>
      <c r="M20" s="16">
        <f>L$34/K20</f>
        <v>129.40125899999998</v>
      </c>
      <c r="N20" s="4"/>
      <c r="O20" s="4">
        <f>1/0.8918</f>
        <v>1.1213276519398967</v>
      </c>
      <c r="P20" s="16">
        <v>129.18</v>
      </c>
      <c r="Q20" s="16">
        <f>P$34/O20</f>
        <v>129.18614800000003</v>
      </c>
      <c r="R20" s="4"/>
      <c r="S20" s="4">
        <f>1/0.8867</f>
        <v>1.127777151234916</v>
      </c>
      <c r="T20" s="16">
        <v>128.7</v>
      </c>
      <c r="U20" s="16">
        <f>T$34/S20</f>
        <v>128.704505</v>
      </c>
      <c r="V20" s="4"/>
      <c r="W20" s="4">
        <f>1/0.8861</f>
        <v>1.1285407967498025</v>
      </c>
      <c r="X20" s="16">
        <v>128.92</v>
      </c>
      <c r="Y20" s="16">
        <f>X$34/W20</f>
        <v>128.918689</v>
      </c>
      <c r="Z20" s="4"/>
      <c r="AA20" s="4">
        <f>1/0.8869</f>
        <v>1.1275228323373547</v>
      </c>
      <c r="AB20" s="16">
        <v>129.11</v>
      </c>
      <c r="AC20" s="16">
        <f>AB$34/AA20</f>
        <v>129.106033</v>
      </c>
      <c r="AD20" s="4"/>
      <c r="AE20" s="4">
        <f>1/0.8812</f>
        <v>1.1348161597821154</v>
      </c>
      <c r="AF20" s="16">
        <v>128.59</v>
      </c>
      <c r="AG20" s="16">
        <f>AF$34/AE20</f>
        <v>128.593516</v>
      </c>
      <c r="AH20" s="4"/>
      <c r="AI20" s="4">
        <f>1/0.8743</f>
        <v>1.1437721605856115</v>
      </c>
      <c r="AJ20" s="16">
        <v>127.73</v>
      </c>
      <c r="AK20" s="16">
        <f>AJ$34/AI20</f>
        <v>127.73522999999997</v>
      </c>
      <c r="AL20" s="4"/>
      <c r="AM20" s="4">
        <f>1/0.8787</f>
        <v>1.1380448389666553</v>
      </c>
      <c r="AN20" s="16">
        <v>128.5</v>
      </c>
      <c r="AO20" s="16">
        <f>AN$34/AM20</f>
        <v>128.501088</v>
      </c>
      <c r="AP20" s="4"/>
      <c r="AQ20" s="4">
        <f>1/0.884</f>
        <v>1.1312217194570136</v>
      </c>
      <c r="AR20" s="16">
        <v>129.15</v>
      </c>
      <c r="AS20" s="16">
        <f>AR$34/AQ20</f>
        <v>129.1524</v>
      </c>
      <c r="AT20" s="4"/>
      <c r="AU20" s="4">
        <f>1/0.883</f>
        <v>1.1325028312570782</v>
      </c>
      <c r="AV20" s="16">
        <v>128.88</v>
      </c>
      <c r="AW20" s="16">
        <f>AV$34/AU20</f>
        <v>128.88268</v>
      </c>
      <c r="AX20" s="4"/>
      <c r="AY20" s="25">
        <f>1/0.8791</f>
        <v>1.1375270162666364</v>
      </c>
      <c r="AZ20" s="16">
        <v>128.66</v>
      </c>
      <c r="BA20" s="16">
        <f>AZ$34/AY20</f>
        <v>128.656285</v>
      </c>
      <c r="BB20" s="4"/>
      <c r="BC20" s="25">
        <f>1/0.8771</f>
        <v>1.1401208528103979</v>
      </c>
      <c r="BD20" s="16">
        <v>128.25</v>
      </c>
      <c r="BE20" s="16">
        <f>BD$34/BC20</f>
        <v>128.249562</v>
      </c>
      <c r="BF20" s="4"/>
      <c r="BG20" s="4">
        <f>1/0.8707</f>
        <v>1.1485012059262663</v>
      </c>
      <c r="BH20" s="16">
        <v>127.9</v>
      </c>
      <c r="BI20" s="16">
        <f>BH$34/BG20</f>
        <v>127.89712299999998</v>
      </c>
      <c r="BJ20" s="4"/>
      <c r="BK20" s="4">
        <f>1/0.8615</f>
        <v>1.1607661056297156</v>
      </c>
      <c r="BL20" s="16">
        <v>127.12</v>
      </c>
      <c r="BM20" s="16">
        <f>BL$34/BK20</f>
        <v>127.11432500000001</v>
      </c>
      <c r="BN20" s="4"/>
      <c r="BO20" s="4">
        <f>1/0.8584</f>
        <v>1.1649580615097856</v>
      </c>
      <c r="BP20" s="16">
        <v>127.12</v>
      </c>
      <c r="BQ20" s="16">
        <f>BP$34/BO20</f>
        <v>127.120456</v>
      </c>
      <c r="BR20" s="4"/>
      <c r="BS20" s="4">
        <f>1/0.8584</f>
        <v>1.1649580615097856</v>
      </c>
      <c r="BT20" s="16">
        <v>127.23</v>
      </c>
      <c r="BU20" s="16">
        <f>BT$34/BS20</f>
        <v>127.232048</v>
      </c>
      <c r="BV20" s="4"/>
      <c r="BW20" s="4">
        <f>1/0.8597</f>
        <v>1.1631964638827497</v>
      </c>
      <c r="BX20" s="16">
        <v>127.41</v>
      </c>
      <c r="BY20" s="16">
        <f>BX$34/BW20</f>
        <v>127.40754000000001</v>
      </c>
      <c r="BZ20" s="4"/>
      <c r="CA20" s="4">
        <f>1/0.8562</f>
        <v>1.16795141322121</v>
      </c>
      <c r="CB20" s="16">
        <v>127.19</v>
      </c>
      <c r="CC20" s="16">
        <f>CB$34/CA20</f>
        <v>127.19707199999999</v>
      </c>
      <c r="CD20" s="4"/>
      <c r="CE20" s="4">
        <f>1/0.8576</f>
        <v>1.166044776119403</v>
      </c>
      <c r="CF20" s="16">
        <v>127.45</v>
      </c>
      <c r="CG20" s="16">
        <f>CF$34/CE20</f>
        <v>127.456512</v>
      </c>
      <c r="CH20" s="4"/>
      <c r="CI20" s="4">
        <f>1/0.8506</f>
        <v>1.175640724194686</v>
      </c>
      <c r="CJ20" s="16">
        <v>126.77</v>
      </c>
      <c r="CK20" s="16">
        <f>CJ$34/CI20</f>
        <v>126.773424</v>
      </c>
      <c r="CL20" s="4"/>
      <c r="CM20" s="4">
        <f t="shared" si="0"/>
        <v>1.142518690516113</v>
      </c>
      <c r="CN20" s="4">
        <f t="shared" si="1"/>
        <v>128.26090909090908</v>
      </c>
      <c r="CO20" s="4">
        <f t="shared" si="1"/>
        <v>128.26230104545456</v>
      </c>
      <c r="CP20" s="4"/>
    </row>
    <row r="21" spans="1:94" ht="12.75">
      <c r="A21" s="26">
        <v>10</v>
      </c>
      <c r="B21" s="27" t="s">
        <v>47</v>
      </c>
      <c r="C21" s="4">
        <v>263.9</v>
      </c>
      <c r="D21" s="16">
        <v>38201.58</v>
      </c>
      <c r="E21" s="16">
        <f>D$34*C21</f>
        <v>38202.164</v>
      </c>
      <c r="F21" s="4"/>
      <c r="G21" s="4">
        <v>266.8</v>
      </c>
      <c r="H21" s="16">
        <v>38634.83</v>
      </c>
      <c r="I21" s="16">
        <f>H$34*G21</f>
        <v>38635.308000000005</v>
      </c>
      <c r="J21" s="4"/>
      <c r="K21" s="4">
        <v>266.25</v>
      </c>
      <c r="L21" s="16">
        <v>38576.83</v>
      </c>
      <c r="M21" s="16">
        <f>L$34*K21</f>
        <v>38576.962499999994</v>
      </c>
      <c r="N21" s="4"/>
      <c r="O21" s="4">
        <v>265.8</v>
      </c>
      <c r="P21" s="16">
        <v>38503.09</v>
      </c>
      <c r="Q21" s="16">
        <f>P$34*O21</f>
        <v>38503.78800000001</v>
      </c>
      <c r="R21" s="4"/>
      <c r="S21" s="4">
        <v>265.35</v>
      </c>
      <c r="T21" s="16">
        <v>38515.23</v>
      </c>
      <c r="U21" s="16">
        <f>T$34*S21</f>
        <v>38515.552500000005</v>
      </c>
      <c r="V21" s="4"/>
      <c r="W21" s="4">
        <v>267.8</v>
      </c>
      <c r="X21" s="16">
        <v>38961.92</v>
      </c>
      <c r="Y21" s="16">
        <f>X$34*W21</f>
        <v>38962.222</v>
      </c>
      <c r="Z21" s="4"/>
      <c r="AA21" s="4">
        <v>268.8</v>
      </c>
      <c r="AB21" s="16">
        <v>39129.26</v>
      </c>
      <c r="AC21" s="16">
        <f>AB$34*AA21</f>
        <v>39129.216</v>
      </c>
      <c r="AD21" s="4"/>
      <c r="AE21" s="4">
        <v>269.15</v>
      </c>
      <c r="AF21" s="16">
        <v>39276</v>
      </c>
      <c r="AG21" s="16">
        <f>AF$34*AE21</f>
        <v>39277.059499999996</v>
      </c>
      <c r="AH21" s="4"/>
      <c r="AI21" s="4">
        <v>267.5</v>
      </c>
      <c r="AJ21" s="16">
        <v>39080.55</v>
      </c>
      <c r="AK21" s="16">
        <f>AJ$34*AI21</f>
        <v>39081.75</v>
      </c>
      <c r="AL21" s="4"/>
      <c r="AM21" s="4">
        <v>267.1</v>
      </c>
      <c r="AN21" s="16">
        <v>39060.27</v>
      </c>
      <c r="AO21" s="16">
        <f>AN$34*AM21</f>
        <v>39060.704000000005</v>
      </c>
      <c r="AP21" s="4"/>
      <c r="AQ21" s="4">
        <v>269.7</v>
      </c>
      <c r="AR21" s="16">
        <v>39402.65</v>
      </c>
      <c r="AS21" s="16">
        <f>AR$34*AQ21</f>
        <v>39403.17</v>
      </c>
      <c r="AT21" s="4"/>
      <c r="AU21" s="4">
        <v>269</v>
      </c>
      <c r="AV21" s="16">
        <v>39262.78</v>
      </c>
      <c r="AW21" s="16">
        <f>AV$34*AU21</f>
        <v>39263.240000000005</v>
      </c>
      <c r="AX21" s="4"/>
      <c r="AY21" s="4">
        <v>273</v>
      </c>
      <c r="AZ21" s="16">
        <v>39954.02</v>
      </c>
      <c r="BA21" s="16">
        <f>AZ$34*AY21</f>
        <v>39953.549999999996</v>
      </c>
      <c r="BB21" s="4"/>
      <c r="BC21" s="4">
        <v>289.75</v>
      </c>
      <c r="BD21" s="16">
        <v>42368.07</v>
      </c>
      <c r="BE21" s="16">
        <f>BD$34*BC21</f>
        <v>42367.245</v>
      </c>
      <c r="BF21" s="4"/>
      <c r="BG21" s="4">
        <v>282.5</v>
      </c>
      <c r="BH21" s="16">
        <v>41497.5</v>
      </c>
      <c r="BI21" s="16">
        <f>BH$34*BG21</f>
        <v>41496.424999999996</v>
      </c>
      <c r="BJ21" s="4"/>
      <c r="BK21" s="4">
        <v>283.5</v>
      </c>
      <c r="BL21" s="16">
        <v>41830.69</v>
      </c>
      <c r="BM21" s="16">
        <f>BL$34*BK21</f>
        <v>41830.425</v>
      </c>
      <c r="BN21" s="4"/>
      <c r="BO21" s="4">
        <v>283.5</v>
      </c>
      <c r="BP21" s="16">
        <v>41984.58</v>
      </c>
      <c r="BQ21" s="16">
        <f>BP$34*BO21</f>
        <v>41983.515</v>
      </c>
      <c r="BR21" s="4"/>
      <c r="BS21" s="4">
        <v>277.3</v>
      </c>
      <c r="BT21" s="16">
        <v>41100.89</v>
      </c>
      <c r="BU21" s="16">
        <f>BT$34*BS21</f>
        <v>41101.406</v>
      </c>
      <c r="BV21" s="4"/>
      <c r="BW21" s="4">
        <v>277.6</v>
      </c>
      <c r="BX21" s="16">
        <v>41140.79</v>
      </c>
      <c r="BY21" s="16">
        <f>BX$34*BW21</f>
        <v>41140.32</v>
      </c>
      <c r="BZ21" s="4"/>
      <c r="CA21" s="4">
        <v>274.6</v>
      </c>
      <c r="CB21" s="16">
        <v>40793.32</v>
      </c>
      <c r="CC21" s="16">
        <f>CB$34*CA21</f>
        <v>40794.576</v>
      </c>
      <c r="CD21" s="4"/>
      <c r="CE21" s="4">
        <v>272.8</v>
      </c>
      <c r="CF21" s="16">
        <v>40542.94</v>
      </c>
      <c r="CG21" s="16">
        <f>CF$34*CE21</f>
        <v>40543.536</v>
      </c>
      <c r="CH21" s="4"/>
      <c r="CI21" s="4">
        <v>266.85</v>
      </c>
      <c r="CJ21" s="16">
        <v>39771.01</v>
      </c>
      <c r="CK21" s="16">
        <f>CJ$34*CI21</f>
        <v>39771.324</v>
      </c>
      <c r="CL21" s="4"/>
      <c r="CM21" s="4">
        <f t="shared" si="0"/>
        <v>272.2068181818182</v>
      </c>
      <c r="CN21" s="4">
        <f t="shared" si="1"/>
        <v>39890.4</v>
      </c>
      <c r="CO21" s="4">
        <f t="shared" si="1"/>
        <v>39890.611750000004</v>
      </c>
      <c r="CP21" s="4"/>
    </row>
    <row r="22" spans="1:94" ht="12.75">
      <c r="A22" s="26">
        <v>11</v>
      </c>
      <c r="B22" s="28" t="s">
        <v>48</v>
      </c>
      <c r="C22" s="4">
        <v>4.38</v>
      </c>
      <c r="D22" s="16">
        <v>634.04</v>
      </c>
      <c r="E22" s="16">
        <f>D$34*C22</f>
        <v>634.0487999999999</v>
      </c>
      <c r="F22" s="4"/>
      <c r="G22" s="4">
        <v>4.38</v>
      </c>
      <c r="H22" s="16">
        <v>634.26</v>
      </c>
      <c r="I22" s="16">
        <f>H$34*G22</f>
        <v>634.2678</v>
      </c>
      <c r="J22" s="4"/>
      <c r="K22" s="4">
        <v>4.36</v>
      </c>
      <c r="L22" s="16">
        <v>631.72</v>
      </c>
      <c r="M22" s="16">
        <f>L$34*K22</f>
        <v>631.7204</v>
      </c>
      <c r="N22" s="4"/>
      <c r="O22" s="4">
        <v>4.34</v>
      </c>
      <c r="P22" s="16">
        <v>628.68</v>
      </c>
      <c r="Q22" s="16">
        <f>P$34*O22</f>
        <v>628.6924</v>
      </c>
      <c r="R22" s="4"/>
      <c r="S22" s="4">
        <v>4.32</v>
      </c>
      <c r="T22" s="16">
        <v>627.04</v>
      </c>
      <c r="U22" s="16">
        <f>T$34*S22</f>
        <v>627.0480000000001</v>
      </c>
      <c r="V22" s="4"/>
      <c r="W22" s="4">
        <v>4.36</v>
      </c>
      <c r="X22" s="16">
        <v>634.33</v>
      </c>
      <c r="Y22" s="16">
        <f>X$34*W22</f>
        <v>634.3364000000001</v>
      </c>
      <c r="Z22" s="4"/>
      <c r="AA22" s="4">
        <v>4.38</v>
      </c>
      <c r="AB22" s="16">
        <v>637.6</v>
      </c>
      <c r="AC22" s="16">
        <f>AB$34*AA22</f>
        <v>637.5966</v>
      </c>
      <c r="AD22" s="4"/>
      <c r="AE22" s="4">
        <v>4.34</v>
      </c>
      <c r="AF22" s="16">
        <v>633.32</v>
      </c>
      <c r="AG22" s="16">
        <f>AF$34*AE22</f>
        <v>633.3362</v>
      </c>
      <c r="AH22" s="4"/>
      <c r="AI22" s="4">
        <v>4.33</v>
      </c>
      <c r="AJ22" s="16">
        <v>632.59</v>
      </c>
      <c r="AK22" s="16">
        <f>AJ$34*AI22</f>
        <v>632.6129999999999</v>
      </c>
      <c r="AL22" s="4"/>
      <c r="AM22" s="4">
        <v>4.31</v>
      </c>
      <c r="AN22" s="16">
        <v>630.29</v>
      </c>
      <c r="AO22" s="16">
        <f>AN$34*AM22</f>
        <v>630.2944</v>
      </c>
      <c r="AP22" s="4"/>
      <c r="AQ22" s="4">
        <v>4.34</v>
      </c>
      <c r="AR22" s="16">
        <v>634.07</v>
      </c>
      <c r="AS22" s="16">
        <f>AR$34*AQ22</f>
        <v>634.074</v>
      </c>
      <c r="AT22" s="4"/>
      <c r="AU22" s="4">
        <v>4.33</v>
      </c>
      <c r="AV22" s="16">
        <v>632</v>
      </c>
      <c r="AW22" s="16">
        <f>AV$34*AU22</f>
        <v>632.0068</v>
      </c>
      <c r="AX22" s="4"/>
      <c r="AY22" s="4">
        <v>4.48</v>
      </c>
      <c r="AZ22" s="16">
        <v>655.66</v>
      </c>
      <c r="BA22" s="16">
        <f>AZ$34*AY22</f>
        <v>655.648</v>
      </c>
      <c r="BB22" s="4"/>
      <c r="BC22" s="4">
        <v>4.59</v>
      </c>
      <c r="BD22" s="16">
        <v>671.16</v>
      </c>
      <c r="BE22" s="16">
        <f>BD$34*BC22</f>
        <v>671.1498</v>
      </c>
      <c r="BF22" s="4"/>
      <c r="BG22" s="4">
        <v>4.51</v>
      </c>
      <c r="BH22" s="16">
        <v>662.49</v>
      </c>
      <c r="BI22" s="16">
        <f>BH$34*BG22</f>
        <v>662.4739</v>
      </c>
      <c r="BJ22" s="4"/>
      <c r="BK22" s="4">
        <v>4.53</v>
      </c>
      <c r="BL22" s="16">
        <v>668.41</v>
      </c>
      <c r="BM22" s="16">
        <f>BL$34*BK22</f>
        <v>668.4015</v>
      </c>
      <c r="BN22" s="4"/>
      <c r="BO22" s="4">
        <v>4.58</v>
      </c>
      <c r="BP22" s="16">
        <v>678.27</v>
      </c>
      <c r="BQ22" s="16">
        <f>BP$34*BO22</f>
        <v>678.2522</v>
      </c>
      <c r="BR22" s="4"/>
      <c r="BS22" s="4">
        <v>4.55</v>
      </c>
      <c r="BT22" s="16">
        <v>674.39</v>
      </c>
      <c r="BU22" s="16">
        <f>BT$34*BS22</f>
        <v>674.401</v>
      </c>
      <c r="BV22" s="4"/>
      <c r="BW22" s="4">
        <v>4.55</v>
      </c>
      <c r="BX22" s="16">
        <v>674.32</v>
      </c>
      <c r="BY22" s="16">
        <f>BX$34*BW22</f>
        <v>674.31</v>
      </c>
      <c r="BZ22" s="4"/>
      <c r="CA22" s="4">
        <v>4.52</v>
      </c>
      <c r="CB22" s="16">
        <v>671.47</v>
      </c>
      <c r="CC22" s="16">
        <f>CB$34*CA22</f>
        <v>671.4911999999999</v>
      </c>
      <c r="CD22" s="4"/>
      <c r="CE22" s="4">
        <v>4.5</v>
      </c>
      <c r="CF22" s="16">
        <v>668.78</v>
      </c>
      <c r="CG22" s="16">
        <f>CF$34*CE22</f>
        <v>668.79</v>
      </c>
      <c r="CH22" s="4"/>
      <c r="CI22" s="4">
        <v>4.45</v>
      </c>
      <c r="CJ22" s="16">
        <v>663.22</v>
      </c>
      <c r="CK22" s="16">
        <f>CJ$34*CI22</f>
        <v>663.228</v>
      </c>
      <c r="CL22" s="4"/>
      <c r="CM22" s="4">
        <f t="shared" si="0"/>
        <v>4.428636363636364</v>
      </c>
      <c r="CN22" s="4">
        <f t="shared" si="1"/>
        <v>649.005</v>
      </c>
      <c r="CO22" s="4">
        <f t="shared" si="1"/>
        <v>649.0081999999999</v>
      </c>
      <c r="CP22" s="4"/>
    </row>
    <row r="23" spans="1:94" ht="12.75">
      <c r="A23" s="26">
        <v>12</v>
      </c>
      <c r="B23" s="27" t="s">
        <v>49</v>
      </c>
      <c r="C23" s="4">
        <f>1/0.5192</f>
        <v>1.926040061633282</v>
      </c>
      <c r="D23" s="16">
        <v>75.16</v>
      </c>
      <c r="E23" s="16">
        <f>D$34/C23</f>
        <v>75.159392</v>
      </c>
      <c r="F23" s="4"/>
      <c r="G23" s="4">
        <f>1/0.5217</f>
        <v>1.9168104274487252</v>
      </c>
      <c r="H23" s="16">
        <v>75.55</v>
      </c>
      <c r="I23" s="16">
        <f>H$34/G23</f>
        <v>75.54737700000001</v>
      </c>
      <c r="J23" s="4"/>
      <c r="K23" s="4">
        <f>1/0.5206</f>
        <v>1.920860545524395</v>
      </c>
      <c r="L23" s="16">
        <v>75.43</v>
      </c>
      <c r="M23" s="16">
        <f>L$34/K23</f>
        <v>75.429734</v>
      </c>
      <c r="N23" s="4"/>
      <c r="O23" s="4">
        <f>1/0.5181</f>
        <v>1.9301293186643504</v>
      </c>
      <c r="P23" s="16">
        <v>75.05</v>
      </c>
      <c r="Q23" s="16">
        <f>P$34/O23</f>
        <v>75.05196600000001</v>
      </c>
      <c r="R23" s="4"/>
      <c r="S23" s="4">
        <f>1/0.5189</f>
        <v>1.927153594141453</v>
      </c>
      <c r="T23" s="16">
        <v>75.32</v>
      </c>
      <c r="U23" s="16">
        <f>T$34/S23</f>
        <v>75.318335</v>
      </c>
      <c r="V23" s="4"/>
      <c r="W23" s="4">
        <f>1/0.5223</f>
        <v>1.9146084625694046</v>
      </c>
      <c r="X23" s="16">
        <v>75.99</v>
      </c>
      <c r="Y23" s="16">
        <f>X$34/W23</f>
        <v>75.989427</v>
      </c>
      <c r="Z23" s="4"/>
      <c r="AA23" s="4">
        <f>1/0.5251</f>
        <v>1.9043991620643685</v>
      </c>
      <c r="AB23" s="16">
        <v>76.44</v>
      </c>
      <c r="AC23" s="16">
        <f>AB$34/AA23</f>
        <v>76.438807</v>
      </c>
      <c r="AD23" s="4"/>
      <c r="AE23" s="4">
        <f>1/0.5232</f>
        <v>1.9113149847094801</v>
      </c>
      <c r="AF23" s="16">
        <v>76.35</v>
      </c>
      <c r="AG23" s="16">
        <f>AF$34/AE23</f>
        <v>76.350576</v>
      </c>
      <c r="AH23" s="4"/>
      <c r="AI23" s="4">
        <f>1/0.5165</f>
        <v>1.9361084220716362</v>
      </c>
      <c r="AJ23" s="16">
        <v>75.46</v>
      </c>
      <c r="AK23" s="16">
        <f>AJ$34/AI23</f>
        <v>75.46064999999999</v>
      </c>
      <c r="AL23" s="4"/>
      <c r="AM23" s="4">
        <f>1/0.519</f>
        <v>1.9267822736030829</v>
      </c>
      <c r="AN23" s="16">
        <v>75.9</v>
      </c>
      <c r="AO23" s="16">
        <f>AN$34/AM23</f>
        <v>75.89856</v>
      </c>
      <c r="AP23" s="4"/>
      <c r="AQ23" s="4">
        <f>1/0.5227</f>
        <v>1.9131432944327529</v>
      </c>
      <c r="AR23" s="16">
        <v>76.37</v>
      </c>
      <c r="AS23" s="16">
        <f>AR$34/AQ23</f>
        <v>76.36647</v>
      </c>
      <c r="AT23" s="4"/>
      <c r="AU23" s="4">
        <f>1/0.5218</f>
        <v>1.9164430816404752</v>
      </c>
      <c r="AV23" s="16">
        <v>76.16</v>
      </c>
      <c r="AW23" s="16">
        <f>AV$34/AU23</f>
        <v>76.161928</v>
      </c>
      <c r="AX23" s="4"/>
      <c r="AY23" s="4">
        <f>1/0.5268</f>
        <v>1.8982536066818525</v>
      </c>
      <c r="AZ23" s="16">
        <v>77.09</v>
      </c>
      <c r="BA23" s="16">
        <f>AZ$34/AY23</f>
        <v>77.09718000000001</v>
      </c>
      <c r="BB23" s="4"/>
      <c r="BC23" s="4">
        <f>1/0.5285</f>
        <v>1.892147587511826</v>
      </c>
      <c r="BD23" s="16">
        <v>77.28</v>
      </c>
      <c r="BE23" s="16">
        <f>BD$34/BC23</f>
        <v>77.27726999999999</v>
      </c>
      <c r="BF23" s="4"/>
      <c r="BG23" s="4">
        <f>1/0.5254</f>
        <v>1.9033117624666922</v>
      </c>
      <c r="BH23" s="16">
        <v>77.18</v>
      </c>
      <c r="BI23" s="16">
        <f>BH$34/BG23</f>
        <v>77.17600599999999</v>
      </c>
      <c r="BJ23" s="4"/>
      <c r="BK23" s="4">
        <f>1/0.5187</f>
        <v>1.9278966647387699</v>
      </c>
      <c r="BL23" s="16">
        <v>76.53</v>
      </c>
      <c r="BM23" s="16">
        <f>BL$34/BK23</f>
        <v>76.53418500000001</v>
      </c>
      <c r="BN23" s="4"/>
      <c r="BO23" s="4">
        <f>1/0.5137</f>
        <v>1.9466614755693983</v>
      </c>
      <c r="BP23" s="16">
        <v>76.08</v>
      </c>
      <c r="BQ23" s="16">
        <f>BP$34/BO23</f>
        <v>76.07383300000001</v>
      </c>
      <c r="BR23" s="4"/>
      <c r="BS23" s="4">
        <f>1/0.5194</f>
        <v>1.9252984212552946</v>
      </c>
      <c r="BT23" s="16">
        <v>76.98</v>
      </c>
      <c r="BU23" s="16">
        <f>BT$34/BS23</f>
        <v>76.985468</v>
      </c>
      <c r="BV23" s="4"/>
      <c r="BW23" s="4">
        <f>1/0.5207</f>
        <v>1.9204916458613404</v>
      </c>
      <c r="BX23" s="16">
        <v>77.17</v>
      </c>
      <c r="BY23" s="16">
        <f>BX$34/BW23</f>
        <v>77.16774</v>
      </c>
      <c r="BZ23" s="4"/>
      <c r="CA23" s="4">
        <f>1/0.5165</f>
        <v>1.9361084220716362</v>
      </c>
      <c r="CB23" s="16">
        <v>76.73</v>
      </c>
      <c r="CC23" s="16">
        <f>CB$34/CA23</f>
        <v>76.73123999999999</v>
      </c>
      <c r="CD23" s="4"/>
      <c r="CE23" s="4">
        <f>1/0.5138</f>
        <v>1.9462826002335538</v>
      </c>
      <c r="CF23" s="16">
        <v>76.36</v>
      </c>
      <c r="CG23" s="16">
        <f>CF$34/CE23</f>
        <v>76.360956</v>
      </c>
      <c r="CH23" s="4"/>
      <c r="CI23" s="4">
        <f>1/0.5098</f>
        <v>1.9615535504119261</v>
      </c>
      <c r="CJ23" s="16">
        <v>75.97</v>
      </c>
      <c r="CK23" s="16">
        <f>CJ$34/CI23</f>
        <v>75.980592</v>
      </c>
      <c r="CL23" s="4"/>
      <c r="CM23" s="4">
        <f t="shared" si="0"/>
        <v>1.9228090620593499</v>
      </c>
      <c r="CN23" s="4">
        <f t="shared" si="1"/>
        <v>76.20681818181819</v>
      </c>
      <c r="CO23" s="4">
        <f t="shared" si="1"/>
        <v>76.20716781818182</v>
      </c>
      <c r="CP23" s="4"/>
    </row>
    <row r="24" spans="1:94" ht="12.75">
      <c r="A24" s="26">
        <v>13</v>
      </c>
      <c r="B24" s="27" t="s">
        <v>50</v>
      </c>
      <c r="C24" s="4">
        <v>1.5302</v>
      </c>
      <c r="D24" s="16">
        <v>94.6</v>
      </c>
      <c r="E24" s="16">
        <f>D$34/C24</f>
        <v>94.60201280878316</v>
      </c>
      <c r="F24" s="4"/>
      <c r="G24" s="4">
        <v>1.5316</v>
      </c>
      <c r="H24" s="16">
        <v>94.55</v>
      </c>
      <c r="I24" s="16">
        <f>H$34/G24</f>
        <v>94.54818490467484</v>
      </c>
      <c r="J24" s="4"/>
      <c r="K24" s="4">
        <v>1.5313</v>
      </c>
      <c r="L24" s="16">
        <v>94.62</v>
      </c>
      <c r="M24" s="16">
        <f>L$34/K24</f>
        <v>94.6189512179194</v>
      </c>
      <c r="N24" s="4"/>
      <c r="O24" s="4">
        <v>1.533</v>
      </c>
      <c r="P24" s="16">
        <v>94.49</v>
      </c>
      <c r="Q24" s="16">
        <f>P$34/O24</f>
        <v>94.49445531637313</v>
      </c>
      <c r="R24" s="4"/>
      <c r="S24" s="4">
        <v>1.5423</v>
      </c>
      <c r="T24" s="16">
        <v>94.11</v>
      </c>
      <c r="U24" s="16">
        <f>T$34/S24</f>
        <v>94.11268884134086</v>
      </c>
      <c r="V24" s="4"/>
      <c r="W24" s="4">
        <v>1.5395</v>
      </c>
      <c r="X24" s="16">
        <v>94.5</v>
      </c>
      <c r="Y24" s="16">
        <f>X$34/W24</f>
        <v>94.50470932120818</v>
      </c>
      <c r="Z24" s="4"/>
      <c r="AA24" s="4">
        <v>1.5398</v>
      </c>
      <c r="AB24" s="16">
        <v>94.54</v>
      </c>
      <c r="AC24" s="16">
        <f>AB$34/AA24</f>
        <v>94.53825172100272</v>
      </c>
      <c r="AD24" s="4"/>
      <c r="AE24" s="4">
        <v>1.5414</v>
      </c>
      <c r="AF24" s="16">
        <v>94.67</v>
      </c>
      <c r="AG24" s="16">
        <f>AF$34/AE24</f>
        <v>94.6736732840275</v>
      </c>
      <c r="AH24" s="4"/>
      <c r="AI24" s="4">
        <v>1.5497</v>
      </c>
      <c r="AJ24" s="16">
        <v>94.27</v>
      </c>
      <c r="AK24" s="16">
        <f>AJ$34/AI24</f>
        <v>94.27631154416983</v>
      </c>
      <c r="AL24" s="4"/>
      <c r="AM24" s="4">
        <v>1.5478</v>
      </c>
      <c r="AN24" s="16">
        <v>94.48</v>
      </c>
      <c r="AO24" s="16">
        <f>AN$34/AM24</f>
        <v>94.48249127794288</v>
      </c>
      <c r="AP24" s="4"/>
      <c r="AQ24" s="4">
        <v>1.5444</v>
      </c>
      <c r="AR24" s="16">
        <v>94.6</v>
      </c>
      <c r="AS24" s="16">
        <f>AR$34/AQ24</f>
        <v>94.5998445998446</v>
      </c>
      <c r="AT24" s="4"/>
      <c r="AU24" s="4">
        <v>1.5458</v>
      </c>
      <c r="AV24" s="16">
        <v>94.42</v>
      </c>
      <c r="AW24" s="16">
        <f>AV$34/AU24</f>
        <v>94.42359943071548</v>
      </c>
      <c r="AX24" s="4"/>
      <c r="AY24" s="4">
        <v>1.536</v>
      </c>
      <c r="AZ24" s="16">
        <v>95.28</v>
      </c>
      <c r="BA24" s="16">
        <f>AZ$34/AY24</f>
        <v>95.27994791666666</v>
      </c>
      <c r="BB24" s="4"/>
      <c r="BC24" s="4">
        <v>1.5314</v>
      </c>
      <c r="BD24" s="16">
        <v>95.48</v>
      </c>
      <c r="BE24" s="16">
        <f>BD$34/BC24</f>
        <v>95.48125897871228</v>
      </c>
      <c r="BF24" s="4"/>
      <c r="BG24" s="4">
        <v>1.5381</v>
      </c>
      <c r="BH24" s="16">
        <v>95.5</v>
      </c>
      <c r="BI24" s="16">
        <f>BH$34/BG24</f>
        <v>95.50094272153954</v>
      </c>
      <c r="BJ24" s="4"/>
      <c r="BK24" s="4">
        <v>1.5438</v>
      </c>
      <c r="BL24" s="16">
        <v>95.58</v>
      </c>
      <c r="BM24" s="16">
        <f>BL$34/BK24</f>
        <v>95.57585179427387</v>
      </c>
      <c r="BN24" s="4"/>
      <c r="BO24" s="4">
        <v>1.5501</v>
      </c>
      <c r="BP24" s="16">
        <v>95.54</v>
      </c>
      <c r="BQ24" s="16">
        <f>BP$34/BO24</f>
        <v>95.5357718856848</v>
      </c>
      <c r="BR24" s="4"/>
      <c r="BS24" s="4">
        <v>1.545</v>
      </c>
      <c r="BT24" s="16">
        <v>95.93</v>
      </c>
      <c r="BU24" s="16">
        <f>BT$34/BS24</f>
        <v>95.93527508090615</v>
      </c>
      <c r="BV24" s="4"/>
      <c r="BW24" s="4">
        <v>1.5447</v>
      </c>
      <c r="BX24" s="16">
        <v>95.94</v>
      </c>
      <c r="BY24" s="16">
        <f>BX$34/BW24</f>
        <v>95.94095940959409</v>
      </c>
      <c r="BZ24" s="4"/>
      <c r="CA24" s="4">
        <v>1.537</v>
      </c>
      <c r="CB24" s="16">
        <v>96.65</v>
      </c>
      <c r="CC24" s="16">
        <f>CB$34/CA24</f>
        <v>96.65582303188029</v>
      </c>
      <c r="CD24" s="4"/>
      <c r="CE24" s="4">
        <v>1.5396</v>
      </c>
      <c r="CF24" s="16">
        <v>96.53</v>
      </c>
      <c r="CG24" s="16">
        <f>CF$34/CE24</f>
        <v>96.5315666406859</v>
      </c>
      <c r="CH24" s="4"/>
      <c r="CI24" s="4">
        <v>1.5472</v>
      </c>
      <c r="CJ24" s="16">
        <v>96.33</v>
      </c>
      <c r="CK24" s="16">
        <f>CJ$34/CI24</f>
        <v>96.32885211995864</v>
      </c>
      <c r="CL24" s="4"/>
      <c r="CM24" s="4">
        <f t="shared" si="0"/>
        <v>1.540440909090909</v>
      </c>
      <c r="CN24" s="4">
        <f t="shared" si="1"/>
        <v>95.11863636363637</v>
      </c>
      <c r="CO24" s="4">
        <f t="shared" si="1"/>
        <v>95.12006472035932</v>
      </c>
      <c r="CP24" s="4"/>
    </row>
    <row r="25" spans="1:94" ht="12.75">
      <c r="A25" s="26">
        <v>14</v>
      </c>
      <c r="B25" s="27" t="s">
        <v>51</v>
      </c>
      <c r="C25" s="4">
        <v>15.4385</v>
      </c>
      <c r="D25" s="16">
        <v>9.38</v>
      </c>
      <c r="E25" s="16">
        <f>D$34/C25</f>
        <v>9.376558603491272</v>
      </c>
      <c r="F25" s="4"/>
      <c r="G25" s="4">
        <v>15.3918</v>
      </c>
      <c r="H25" s="16">
        <v>9.41</v>
      </c>
      <c r="I25" s="16">
        <f>H$34/G25</f>
        <v>9.408256344287219</v>
      </c>
      <c r="J25" s="4"/>
      <c r="K25" s="4">
        <v>15.4073</v>
      </c>
      <c r="L25" s="16">
        <v>9.4</v>
      </c>
      <c r="M25" s="16">
        <f>L$34/K25</f>
        <v>9.403983825848785</v>
      </c>
      <c r="N25" s="4"/>
      <c r="O25" s="4">
        <v>15.4298</v>
      </c>
      <c r="P25" s="16">
        <v>9.39</v>
      </c>
      <c r="Q25" s="16">
        <f>P$34/O25</f>
        <v>9.388326485113224</v>
      </c>
      <c r="R25" s="4"/>
      <c r="S25" s="4">
        <v>15.5186</v>
      </c>
      <c r="T25" s="16">
        <v>9.35</v>
      </c>
      <c r="U25" s="16">
        <f>T$34/S25</f>
        <v>9.353292178418156</v>
      </c>
      <c r="V25" s="4"/>
      <c r="W25" s="4">
        <v>15.5291</v>
      </c>
      <c r="X25" s="16">
        <v>9.37</v>
      </c>
      <c r="Y25" s="16">
        <f>X$34/W25</f>
        <v>9.36886232943313</v>
      </c>
      <c r="Z25" s="4"/>
      <c r="AA25" s="4">
        <v>15.5151</v>
      </c>
      <c r="AB25" s="16">
        <v>9.38</v>
      </c>
      <c r="AC25" s="16">
        <f>AB$34/AA25</f>
        <v>9.382472558990917</v>
      </c>
      <c r="AD25" s="4"/>
      <c r="AE25" s="4">
        <v>15.6154</v>
      </c>
      <c r="AF25" s="16">
        <v>9.35</v>
      </c>
      <c r="AG25" s="16">
        <f>AF$34/AE25</f>
        <v>9.345261728806179</v>
      </c>
      <c r="AH25" s="4"/>
      <c r="AI25" s="4">
        <v>15.7386</v>
      </c>
      <c r="AJ25" s="16">
        <v>9.28</v>
      </c>
      <c r="AK25" s="16">
        <f>AJ$34/AI25</f>
        <v>9.282909534520224</v>
      </c>
      <c r="AL25" s="4"/>
      <c r="AM25" s="4">
        <v>15.6598</v>
      </c>
      <c r="AN25" s="16">
        <v>9.34</v>
      </c>
      <c r="AO25" s="16">
        <f>AN$34/AM25</f>
        <v>9.33856115659204</v>
      </c>
      <c r="AP25" s="4"/>
      <c r="AQ25" s="4">
        <v>15.566</v>
      </c>
      <c r="AR25" s="16">
        <v>9.39</v>
      </c>
      <c r="AS25" s="16">
        <f>AR$34/AQ25</f>
        <v>9.385840935371963</v>
      </c>
      <c r="AT25" s="4"/>
      <c r="AU25" s="4">
        <v>15.5836</v>
      </c>
      <c r="AV25" s="16">
        <v>9.37</v>
      </c>
      <c r="AW25" s="16">
        <f>AV$34/AU25</f>
        <v>9.366256834107652</v>
      </c>
      <c r="AX25" s="4"/>
      <c r="AY25" s="4">
        <v>15.6527</v>
      </c>
      <c r="AZ25" s="16">
        <v>9.35</v>
      </c>
      <c r="BA25" s="16">
        <f>AZ$34/AY25</f>
        <v>9.34982463089435</v>
      </c>
      <c r="BB25" s="4"/>
      <c r="BC25" s="4">
        <v>15.6884</v>
      </c>
      <c r="BD25" s="16">
        <v>9.32</v>
      </c>
      <c r="BE25" s="16">
        <f>BD$34/BC25</f>
        <v>9.320262104484842</v>
      </c>
      <c r="BF25" s="4"/>
      <c r="BG25" s="4">
        <v>15.8037</v>
      </c>
      <c r="BH25" s="16">
        <v>9.29</v>
      </c>
      <c r="BI25" s="16">
        <f>BH$34/BG25</f>
        <v>9.294658845713345</v>
      </c>
      <c r="BJ25" s="4"/>
      <c r="BK25" s="4">
        <v>15.9725</v>
      </c>
      <c r="BL25" s="16">
        <v>9.24</v>
      </c>
      <c r="BM25" s="16">
        <f>BL$34/BK25</f>
        <v>9.23775238691501</v>
      </c>
      <c r="BN25" s="4"/>
      <c r="BO25" s="4">
        <v>16.0302</v>
      </c>
      <c r="BP25" s="16">
        <v>9.24</v>
      </c>
      <c r="BQ25" s="16">
        <f>BP$34/BO25</f>
        <v>9.238187920300433</v>
      </c>
      <c r="BR25" s="4"/>
      <c r="BS25" s="4">
        <v>16.0302</v>
      </c>
      <c r="BT25" s="16">
        <v>9.25</v>
      </c>
      <c r="BU25" s="16">
        <f>BT$34/BS25</f>
        <v>9.246297613254981</v>
      </c>
      <c r="BV25" s="4"/>
      <c r="BW25" s="4">
        <v>16.0059</v>
      </c>
      <c r="BX25" s="16">
        <v>9.26</v>
      </c>
      <c r="BY25" s="16">
        <f>BX$34/BW25</f>
        <v>9.259085712143646</v>
      </c>
      <c r="BZ25" s="4"/>
      <c r="CA25" s="4">
        <v>16.0714</v>
      </c>
      <c r="CB25" s="16">
        <v>9.24</v>
      </c>
      <c r="CC25" s="16">
        <f>CB$34/CA25</f>
        <v>9.243749766666252</v>
      </c>
      <c r="CD25" s="4"/>
      <c r="CE25" s="4">
        <v>16.0451</v>
      </c>
      <c r="CF25" s="16">
        <v>9.26</v>
      </c>
      <c r="CG25" s="16">
        <f>CF$34/CE25</f>
        <v>9.262640930876092</v>
      </c>
      <c r="CH25" s="4"/>
      <c r="CI25" s="4">
        <v>16.1772</v>
      </c>
      <c r="CJ25" s="16">
        <v>9.21</v>
      </c>
      <c r="CK25" s="16">
        <f>CJ$34/CI25</f>
        <v>9.212966397151547</v>
      </c>
      <c r="CL25" s="4"/>
      <c r="CM25" s="4">
        <f t="shared" si="0"/>
        <v>15.72140454545454</v>
      </c>
      <c r="CN25" s="4">
        <f t="shared" si="1"/>
        <v>9.321363636363635</v>
      </c>
      <c r="CO25" s="4">
        <f t="shared" si="1"/>
        <v>9.321182219244601</v>
      </c>
      <c r="CP25" s="4"/>
    </row>
    <row r="26" spans="1:94" ht="12.75">
      <c r="A26" s="26">
        <v>15</v>
      </c>
      <c r="B26" s="27" t="s">
        <v>52</v>
      </c>
      <c r="C26" s="4">
        <v>186.6779</v>
      </c>
      <c r="D26" s="16">
        <v>77.54</v>
      </c>
      <c r="E26" s="16">
        <f>D$34/C26*100</f>
        <v>77.54533343261308</v>
      </c>
      <c r="F26" s="4"/>
      <c r="G26" s="4">
        <v>186.1141</v>
      </c>
      <c r="H26" s="16">
        <v>77.81</v>
      </c>
      <c r="I26" s="16">
        <f>H$34/G26*100</f>
        <v>77.8071086500163</v>
      </c>
      <c r="J26" s="4"/>
      <c r="K26" s="4">
        <v>186.3016</v>
      </c>
      <c r="L26" s="16">
        <v>77.77</v>
      </c>
      <c r="M26" s="16">
        <f>L$34/K26*100</f>
        <v>77.7717421643185</v>
      </c>
      <c r="N26" s="4"/>
      <c r="O26" s="4">
        <v>186.5732</v>
      </c>
      <c r="P26" s="16">
        <v>77.64</v>
      </c>
      <c r="Q26" s="16">
        <f>P$34/O26*100</f>
        <v>77.6424481115187</v>
      </c>
      <c r="R26" s="4"/>
      <c r="S26" s="4">
        <v>187.6463</v>
      </c>
      <c r="T26" s="16">
        <v>77.35</v>
      </c>
      <c r="U26" s="16">
        <f>T$34/S26*100</f>
        <v>77.35297738351356</v>
      </c>
      <c r="V26" s="4"/>
      <c r="W26" s="4">
        <v>187.7734</v>
      </c>
      <c r="X26" s="16">
        <v>77.48</v>
      </c>
      <c r="Y26" s="16">
        <f>X$34/W26*100</f>
        <v>77.48168803462046</v>
      </c>
      <c r="Z26" s="4"/>
      <c r="AA26" s="4">
        <v>187.604</v>
      </c>
      <c r="AB26" s="16">
        <v>77.59</v>
      </c>
      <c r="AC26" s="16">
        <f>AB$34/AA26*100</f>
        <v>77.5942943647257</v>
      </c>
      <c r="AD26" s="4"/>
      <c r="AE26" s="4">
        <v>188.8175</v>
      </c>
      <c r="AF26" s="41">
        <v>77.28</v>
      </c>
      <c r="AG26" s="16">
        <f>AF$34/AE26*100</f>
        <v>77.28626848676633</v>
      </c>
      <c r="AH26" s="4"/>
      <c r="AI26" s="4">
        <v>190.3077</v>
      </c>
      <c r="AJ26" s="16">
        <v>76.77</v>
      </c>
      <c r="AK26" s="16">
        <f>AJ$34/AI26*100</f>
        <v>76.77040918470456</v>
      </c>
      <c r="AL26" s="4"/>
      <c r="AM26" s="4">
        <v>189.3547</v>
      </c>
      <c r="AN26" s="16">
        <v>77.23</v>
      </c>
      <c r="AO26" s="16">
        <f>AN$34/AM26*100</f>
        <v>77.2307209696934</v>
      </c>
      <c r="AP26" s="4"/>
      <c r="AQ26" s="4">
        <v>188.2195</v>
      </c>
      <c r="AR26" s="16">
        <v>77.62</v>
      </c>
      <c r="AS26" s="16">
        <f>AR$34/AQ26*100</f>
        <v>77.62213798251508</v>
      </c>
      <c r="AT26" s="4"/>
      <c r="AU26" s="4">
        <v>188.4326</v>
      </c>
      <c r="AV26" s="16">
        <v>77.46</v>
      </c>
      <c r="AW26" s="16">
        <f>AV$34/AU26*100</f>
        <v>77.46005733615097</v>
      </c>
      <c r="AX26" s="4"/>
      <c r="AY26" s="4">
        <v>189.2686</v>
      </c>
      <c r="AZ26" s="16">
        <v>77.32</v>
      </c>
      <c r="BA26" s="16">
        <f>AZ$34/AY26*100</f>
        <v>77.3239723863335</v>
      </c>
      <c r="BB26" s="4"/>
      <c r="BC26" s="4">
        <v>189.7001</v>
      </c>
      <c r="BD26" s="16">
        <v>77.08</v>
      </c>
      <c r="BE26" s="16">
        <f>BD$34/BC26*100</f>
        <v>77.0795587350771</v>
      </c>
      <c r="BF26" s="4"/>
      <c r="BG26" s="4">
        <v>191.0945</v>
      </c>
      <c r="BH26" s="16">
        <v>76.87</v>
      </c>
      <c r="BI26" s="16">
        <f>BH$34/BG26*100</f>
        <v>76.86772774726639</v>
      </c>
      <c r="BJ26" s="4"/>
      <c r="BK26" s="4">
        <v>193.1352</v>
      </c>
      <c r="BL26" s="16">
        <v>76.4</v>
      </c>
      <c r="BM26" s="16">
        <f>BL$34/BK26*100</f>
        <v>76.39725953632482</v>
      </c>
      <c r="BN26" s="4"/>
      <c r="BO26" s="4">
        <v>193.8327</v>
      </c>
      <c r="BP26" s="16">
        <v>76.4</v>
      </c>
      <c r="BQ26" s="16">
        <f>BP$34/BO26*100</f>
        <v>76.40093750951208</v>
      </c>
      <c r="BR26" s="4"/>
      <c r="BS26" s="4">
        <v>193.8327</v>
      </c>
      <c r="BT26" s="16">
        <v>76.47</v>
      </c>
      <c r="BU26" s="16">
        <f>BT$34/BS26*100</f>
        <v>76.46800565642434</v>
      </c>
      <c r="BV26" s="4"/>
      <c r="BW26" s="4">
        <v>193.5396</v>
      </c>
      <c r="BX26" s="16">
        <v>76.57</v>
      </c>
      <c r="BY26" s="16">
        <f>BX$34/BW26*100</f>
        <v>76.57347643583017</v>
      </c>
      <c r="BZ26" s="4"/>
      <c r="CA26" s="4">
        <v>194.3308</v>
      </c>
      <c r="CB26" s="16">
        <v>76.44</v>
      </c>
      <c r="CC26" s="16">
        <f>CB$34/CA26*100</f>
        <v>76.44696568943266</v>
      </c>
      <c r="CD26" s="4"/>
      <c r="CE26" s="4">
        <v>194.0135</v>
      </c>
      <c r="CF26" s="16">
        <v>76.6</v>
      </c>
      <c r="CG26" s="16">
        <f>CF$34/CE26*100</f>
        <v>76.60291680733557</v>
      </c>
      <c r="CH26" s="4"/>
      <c r="CI26" s="4">
        <v>195.6102</v>
      </c>
      <c r="CJ26" s="16">
        <v>76.19</v>
      </c>
      <c r="CK26" s="16">
        <f>CJ$34/CI26*100</f>
        <v>76.19234579791852</v>
      </c>
      <c r="CL26" s="4"/>
      <c r="CM26" s="4">
        <f t="shared" si="0"/>
        <v>190.09910909090914</v>
      </c>
      <c r="CN26" s="4">
        <f t="shared" si="1"/>
        <v>77.08545454545455</v>
      </c>
      <c r="CO26" s="4">
        <f t="shared" si="1"/>
        <v>77.08719783648233</v>
      </c>
      <c r="CP26" s="4"/>
    </row>
    <row r="27" spans="1:94" ht="12.75">
      <c r="A27" s="26">
        <v>16</v>
      </c>
      <c r="B27" s="27" t="s">
        <v>53</v>
      </c>
      <c r="C27" s="4">
        <v>10.2467</v>
      </c>
      <c r="D27" s="16">
        <v>14.13</v>
      </c>
      <c r="E27" s="16">
        <f>D$34/C27</f>
        <v>14.127475187133417</v>
      </c>
      <c r="F27" s="4"/>
      <c r="G27" s="4">
        <v>10.215</v>
      </c>
      <c r="H27" s="16">
        <v>14.18</v>
      </c>
      <c r="I27" s="16">
        <f>H$34/G27</f>
        <v>14.176211453744493</v>
      </c>
      <c r="J27" s="4"/>
      <c r="K27" s="4">
        <v>10.2339</v>
      </c>
      <c r="L27" s="16">
        <v>14.16</v>
      </c>
      <c r="M27" s="16">
        <f>L$34/K27</f>
        <v>14.1578479367592</v>
      </c>
      <c r="N27" s="4"/>
      <c r="O27" s="4">
        <v>10.2</v>
      </c>
      <c r="P27" s="16">
        <v>14.2</v>
      </c>
      <c r="Q27" s="16">
        <f>P$34/O27</f>
        <v>14.201960784313728</v>
      </c>
      <c r="R27" s="4"/>
      <c r="S27" s="4">
        <v>10.276</v>
      </c>
      <c r="T27" s="16">
        <v>14.13</v>
      </c>
      <c r="U27" s="16">
        <f>T$34/S27</f>
        <v>14.125145971195018</v>
      </c>
      <c r="V27" s="4"/>
      <c r="W27" s="4">
        <v>10.278</v>
      </c>
      <c r="X27" s="16">
        <v>14.16</v>
      </c>
      <c r="Y27" s="16">
        <f>X$34/W27</f>
        <v>14.155477719400661</v>
      </c>
      <c r="Z27" s="4"/>
      <c r="AA27" s="4">
        <v>10.23</v>
      </c>
      <c r="AB27" s="16">
        <v>14.23</v>
      </c>
      <c r="AC27" s="16">
        <f>AB$34/AA27</f>
        <v>14.2297165200391</v>
      </c>
      <c r="AD27" s="4"/>
      <c r="AE27" s="4">
        <v>10.25</v>
      </c>
      <c r="AF27" s="16">
        <v>14.24</v>
      </c>
      <c r="AG27" s="16">
        <f>AF$34/AE27</f>
        <v>14.237073170731708</v>
      </c>
      <c r="AH27" s="4"/>
      <c r="AI27" s="4">
        <v>10.2527</v>
      </c>
      <c r="AJ27" s="16">
        <v>14.25</v>
      </c>
      <c r="AK27" s="16">
        <f>AJ$34/AI27</f>
        <v>14.249904903098694</v>
      </c>
      <c r="AL27" s="4"/>
      <c r="AM27" s="4">
        <v>10.244</v>
      </c>
      <c r="AN27" s="16">
        <v>14.28</v>
      </c>
      <c r="AO27" s="16">
        <f>AN$34/AM27</f>
        <v>14.275673565013667</v>
      </c>
      <c r="AP27" s="4"/>
      <c r="AQ27" s="4">
        <v>10.288</v>
      </c>
      <c r="AR27" s="16">
        <v>14.2</v>
      </c>
      <c r="AS27" s="16">
        <f>AR$34/AQ27</f>
        <v>14.201010886469673</v>
      </c>
      <c r="AT27" s="4"/>
      <c r="AU27" s="4">
        <v>10.262</v>
      </c>
      <c r="AV27" s="16">
        <v>14.22</v>
      </c>
      <c r="AW27" s="16">
        <f>AV$34/AU27</f>
        <v>14.223348275190022</v>
      </c>
      <c r="AX27" s="4"/>
      <c r="AY27" s="4">
        <v>10.2536</v>
      </c>
      <c r="AZ27" s="16">
        <v>14.27</v>
      </c>
      <c r="BA27" s="16">
        <f>AZ$34/AY27</f>
        <v>14.273035811812436</v>
      </c>
      <c r="BB27" s="4"/>
      <c r="BC27" s="4">
        <v>10.2351</v>
      </c>
      <c r="BD27" s="16">
        <v>14.29</v>
      </c>
      <c r="BE27" s="16">
        <f>BD$34/BC27</f>
        <v>14.286133012867486</v>
      </c>
      <c r="BF27" s="4"/>
      <c r="BG27" s="4">
        <v>10.282</v>
      </c>
      <c r="BH27" s="16">
        <v>14.29</v>
      </c>
      <c r="BI27" s="16">
        <f>BH$34/BG27</f>
        <v>14.286131102898267</v>
      </c>
      <c r="BJ27" s="4"/>
      <c r="BK27" s="4">
        <v>10.426</v>
      </c>
      <c r="BL27" s="16">
        <v>14.15</v>
      </c>
      <c r="BM27" s="16">
        <f>BL$34/BK27</f>
        <v>14.15211970074813</v>
      </c>
      <c r="BN27" s="4"/>
      <c r="BO27" s="4">
        <v>10.508</v>
      </c>
      <c r="BP27" s="16">
        <v>14.09</v>
      </c>
      <c r="BQ27" s="16">
        <f>BP$34/BO27</f>
        <v>14.093071945184622</v>
      </c>
      <c r="BR27" s="4"/>
      <c r="BS27" s="4">
        <v>10.528</v>
      </c>
      <c r="BT27" s="16">
        <v>14.08</v>
      </c>
      <c r="BU27" s="16">
        <f>BT$34/BS27</f>
        <v>14.078647416413373</v>
      </c>
      <c r="BV27" s="4"/>
      <c r="BW27" s="4">
        <v>10.523</v>
      </c>
      <c r="BX27" s="16">
        <v>14.08</v>
      </c>
      <c r="BY27" s="16">
        <f>BX$34/BW27</f>
        <v>14.083436282428965</v>
      </c>
      <c r="BZ27" s="4"/>
      <c r="CA27" s="4">
        <v>10.5514</v>
      </c>
      <c r="CB27" s="16">
        <v>14.08</v>
      </c>
      <c r="CC27" s="16">
        <f>CB$34/CA27</f>
        <v>14.07964819834335</v>
      </c>
      <c r="CD27" s="4"/>
      <c r="CE27" s="4">
        <v>10.5849</v>
      </c>
      <c r="CF27" s="16">
        <v>14.04</v>
      </c>
      <c r="CG27" s="16">
        <f>CF$34/CE27</f>
        <v>14.040756171527367</v>
      </c>
      <c r="CH27" s="4"/>
      <c r="CI27" s="4">
        <v>10.699</v>
      </c>
      <c r="CJ27" s="16">
        <v>13.93</v>
      </c>
      <c r="CK27" s="16">
        <f>CJ$34/CI27</f>
        <v>13.930273857369848</v>
      </c>
      <c r="CL27" s="4"/>
      <c r="CM27" s="4">
        <f t="shared" si="0"/>
        <v>10.343968181818182</v>
      </c>
      <c r="CN27" s="4">
        <f t="shared" si="1"/>
        <v>14.167272727272728</v>
      </c>
      <c r="CO27" s="4">
        <f t="shared" si="1"/>
        <v>14.166549994212875</v>
      </c>
      <c r="CP27" s="4"/>
    </row>
    <row r="28" spans="1:94" ht="12.75">
      <c r="A28" s="26">
        <v>17</v>
      </c>
      <c r="B28" s="27" t="s">
        <v>54</v>
      </c>
      <c r="C28" s="4">
        <v>9.0733</v>
      </c>
      <c r="D28" s="16">
        <v>15.95</v>
      </c>
      <c r="E28" s="16">
        <f>D$34/C28</f>
        <v>15.954503874003946</v>
      </c>
      <c r="F28" s="4"/>
      <c r="G28" s="4">
        <v>9.0662</v>
      </c>
      <c r="H28" s="16">
        <v>15.97</v>
      </c>
      <c r="I28" s="16">
        <f>H$34/G28</f>
        <v>15.972513291125278</v>
      </c>
      <c r="J28" s="4"/>
      <c r="K28" s="4">
        <v>9.0576</v>
      </c>
      <c r="L28" s="16">
        <v>16</v>
      </c>
      <c r="M28" s="16">
        <f>L$34/K28</f>
        <v>15.99651121709945</v>
      </c>
      <c r="N28" s="4"/>
      <c r="O28" s="4">
        <v>9.0456</v>
      </c>
      <c r="P28" s="16">
        <v>16.01</v>
      </c>
      <c r="Q28" s="16">
        <f>P$34/O28</f>
        <v>16.01441584858937</v>
      </c>
      <c r="R28" s="4"/>
      <c r="S28" s="4">
        <v>9.0762</v>
      </c>
      <c r="T28" s="16">
        <v>15.99</v>
      </c>
      <c r="U28" s="16">
        <f>T$34/S28</f>
        <v>15.992375663824069</v>
      </c>
      <c r="V28" s="4"/>
      <c r="W28" s="4">
        <v>9.108</v>
      </c>
      <c r="X28" s="16">
        <v>15.97</v>
      </c>
      <c r="Y28" s="16">
        <f>X$34/W28</f>
        <v>15.97386912604304</v>
      </c>
      <c r="Z28" s="4"/>
      <c r="AA28" s="4">
        <v>9.089</v>
      </c>
      <c r="AB28" s="16">
        <v>16.02</v>
      </c>
      <c r="AC28" s="16">
        <f>AB$34/AA28</f>
        <v>16.016063373308395</v>
      </c>
      <c r="AD28" s="4"/>
      <c r="AE28" s="4">
        <v>9.1258</v>
      </c>
      <c r="AF28" s="16">
        <v>15.99</v>
      </c>
      <c r="AG28" s="16">
        <f>AF$34/AE28</f>
        <v>15.990926822853888</v>
      </c>
      <c r="AH28" s="4"/>
      <c r="AI28" s="4">
        <v>9.1512</v>
      </c>
      <c r="AJ28" s="16">
        <v>15.96</v>
      </c>
      <c r="AK28" s="16">
        <f>AJ$34/AI28</f>
        <v>15.96511932861264</v>
      </c>
      <c r="AL28" s="4"/>
      <c r="AM28" s="4">
        <v>9.1294</v>
      </c>
      <c r="AN28" s="16">
        <v>16.02</v>
      </c>
      <c r="AO28" s="16">
        <f>AN$34/AM28</f>
        <v>16.018577343527504</v>
      </c>
      <c r="AP28" s="4"/>
      <c r="AQ28" s="4">
        <v>9.0791</v>
      </c>
      <c r="AR28" s="16">
        <v>16.09</v>
      </c>
      <c r="AS28" s="16">
        <f>AR$34/AQ28</f>
        <v>16.091903382493857</v>
      </c>
      <c r="AT28" s="4"/>
      <c r="AU28" s="4">
        <v>9.0865</v>
      </c>
      <c r="AV28" s="16">
        <v>16.06</v>
      </c>
      <c r="AW28" s="16">
        <f>AV$34/AU28</f>
        <v>16.06339074451109</v>
      </c>
      <c r="AX28" s="4"/>
      <c r="AY28" s="4">
        <v>9.08</v>
      </c>
      <c r="AZ28" s="16">
        <v>16.12</v>
      </c>
      <c r="BA28" s="16">
        <f>AZ$34/AY28</f>
        <v>16.11784140969163</v>
      </c>
      <c r="BB28" s="4"/>
      <c r="BC28" s="4">
        <v>9.048</v>
      </c>
      <c r="BD28" s="16">
        <v>16.16</v>
      </c>
      <c r="BE28" s="16">
        <f>BD$34/BC28</f>
        <v>16.160477453580903</v>
      </c>
      <c r="BF28" s="4"/>
      <c r="BG28" s="4">
        <v>9.0944</v>
      </c>
      <c r="BH28" s="16">
        <v>16.15</v>
      </c>
      <c r="BI28" s="16">
        <f>BH$34/BG28</f>
        <v>16.15169774806474</v>
      </c>
      <c r="BJ28" s="4"/>
      <c r="BK28" s="4">
        <v>9.213</v>
      </c>
      <c r="BL28" s="16">
        <v>16.02</v>
      </c>
      <c r="BM28" s="16">
        <f>BL$34/BK28</f>
        <v>16.015413003364813</v>
      </c>
      <c r="BN28" s="4"/>
      <c r="BO28" s="4">
        <v>9.2534</v>
      </c>
      <c r="BP28" s="16">
        <v>16</v>
      </c>
      <c r="BQ28" s="16">
        <f>BP$34/BO28</f>
        <v>16.003847234530014</v>
      </c>
      <c r="BR28" s="4"/>
      <c r="BS28" s="4">
        <v>9.1872</v>
      </c>
      <c r="BT28" s="16">
        <v>16.13</v>
      </c>
      <c r="BU28" s="16">
        <f>BT$34/BS28</f>
        <v>16.133315917798676</v>
      </c>
      <c r="BV28" s="4"/>
      <c r="BW28" s="4">
        <v>9.1992</v>
      </c>
      <c r="BX28" s="16">
        <v>16.11</v>
      </c>
      <c r="BY28" s="16">
        <f>BX$34/BW28</f>
        <v>16.110096530133056</v>
      </c>
      <c r="BZ28" s="4"/>
      <c r="CA28" s="4">
        <v>9.2286</v>
      </c>
      <c r="CB28" s="16">
        <v>16.1</v>
      </c>
      <c r="CC28" s="16">
        <f>CB$34/CA28</f>
        <v>16.097782979000065</v>
      </c>
      <c r="CD28" s="4"/>
      <c r="CE28" s="4">
        <v>9.2211</v>
      </c>
      <c r="CF28" s="16">
        <v>16.12</v>
      </c>
      <c r="CG28" s="16">
        <f>CF$34/CE28</f>
        <v>16.117382958649184</v>
      </c>
      <c r="CH28" s="4"/>
      <c r="CI28" s="4">
        <v>9.3243</v>
      </c>
      <c r="CJ28" s="16">
        <v>15.98</v>
      </c>
      <c r="CK28" s="16">
        <f>CJ$34/CI28</f>
        <v>15.98404169750008</v>
      </c>
      <c r="CL28" s="4"/>
      <c r="CM28" s="4">
        <f t="shared" si="0"/>
        <v>9.133504545454544</v>
      </c>
      <c r="CN28" s="4">
        <f aca="true" t="shared" si="2" ref="CN28:CO34">(D28+H28+L28+P28+T28+X28+AB28+AF28+AJ28+AN28+AR28+AV28+AZ28+BD28+BH28+BL28+BP28+BT28+BX28+CB28+CF28+CJ28)/22</f>
        <v>16.041818181818186</v>
      </c>
      <c r="CO28" s="4">
        <f t="shared" si="2"/>
        <v>16.04282122492298</v>
      </c>
      <c r="CP28" s="4"/>
    </row>
    <row r="29" spans="1:94" ht="12.75">
      <c r="A29" s="26">
        <v>18</v>
      </c>
      <c r="B29" s="27" t="s">
        <v>55</v>
      </c>
      <c r="C29" s="4">
        <v>8.3718</v>
      </c>
      <c r="D29" s="16">
        <v>17.29</v>
      </c>
      <c r="E29" s="16">
        <f>D$34/C29</f>
        <v>17.291382976181943</v>
      </c>
      <c r="F29" s="4"/>
      <c r="G29" s="4">
        <v>8.3454</v>
      </c>
      <c r="H29" s="16">
        <v>17.35</v>
      </c>
      <c r="I29" s="16">
        <f>H$34/G29</f>
        <v>17.352074196563375</v>
      </c>
      <c r="J29" s="4"/>
      <c r="K29" s="4">
        <v>8.355</v>
      </c>
      <c r="L29" s="16">
        <v>17.34</v>
      </c>
      <c r="M29" s="16">
        <f>L$34/K29</f>
        <v>17.341711549970075</v>
      </c>
      <c r="N29" s="4"/>
      <c r="O29" s="4">
        <v>8.3686</v>
      </c>
      <c r="P29" s="16">
        <v>17.31</v>
      </c>
      <c r="Q29" s="16">
        <f>P$34/O29</f>
        <v>17.309944315656143</v>
      </c>
      <c r="R29" s="4"/>
      <c r="S29" s="4">
        <v>8.4139</v>
      </c>
      <c r="T29" s="16">
        <v>17.25</v>
      </c>
      <c r="U29" s="16">
        <f>T$34/S29</f>
        <v>17.25121525095378</v>
      </c>
      <c r="V29" s="4"/>
      <c r="W29" s="4">
        <v>8.4385</v>
      </c>
      <c r="X29" s="16">
        <v>17.24</v>
      </c>
      <c r="Y29" s="16">
        <f>X$34/W29</f>
        <v>17.241215855898563</v>
      </c>
      <c r="Z29" s="4"/>
      <c r="AA29" s="4">
        <v>8.4131</v>
      </c>
      <c r="AB29" s="16">
        <v>17.3</v>
      </c>
      <c r="AC29" s="16">
        <f>AB$34/AA29</f>
        <v>17.302777810795067</v>
      </c>
      <c r="AD29" s="4"/>
      <c r="AE29" s="4">
        <v>8.4701</v>
      </c>
      <c r="AF29" s="16">
        <v>17.23</v>
      </c>
      <c r="AG29" s="16">
        <f>AF$34/AE29</f>
        <v>17.22884027343243</v>
      </c>
      <c r="AH29" s="4"/>
      <c r="AI29" s="4">
        <v>8.531</v>
      </c>
      <c r="AJ29" s="16">
        <v>17.13</v>
      </c>
      <c r="AK29" s="16">
        <f>AJ$34/AI29</f>
        <v>17.125776579533465</v>
      </c>
      <c r="AL29" s="4"/>
      <c r="AM29" s="4">
        <v>8.4859</v>
      </c>
      <c r="AN29" s="16">
        <v>17.23</v>
      </c>
      <c r="AO29" s="16">
        <f>AN$34/AM29</f>
        <v>17.23329287406168</v>
      </c>
      <c r="AP29" s="4"/>
      <c r="AQ29" s="4">
        <v>8.4371</v>
      </c>
      <c r="AR29" s="16">
        <v>17.32</v>
      </c>
      <c r="AS29" s="16">
        <f>AR$34/AQ29</f>
        <v>17.31637648007017</v>
      </c>
      <c r="AT29" s="4"/>
      <c r="AU29" s="4">
        <v>8.447</v>
      </c>
      <c r="AV29" s="16">
        <v>17.28</v>
      </c>
      <c r="AW29" s="16">
        <f>AV$34/AU29</f>
        <v>17.279507517461823</v>
      </c>
      <c r="AX29" s="4"/>
      <c r="AY29" s="4">
        <v>8.4872</v>
      </c>
      <c r="AZ29" s="16">
        <v>17.24</v>
      </c>
      <c r="BA29" s="16">
        <f>AZ$34/AY29</f>
        <v>17.24361391271562</v>
      </c>
      <c r="BB29" s="4"/>
      <c r="BC29" s="4">
        <v>8.5067</v>
      </c>
      <c r="BD29" s="16">
        <v>17.19</v>
      </c>
      <c r="BE29" s="16">
        <f>BD$34/BC29</f>
        <v>17.188804119106116</v>
      </c>
      <c r="BF29" s="4"/>
      <c r="BG29" s="4">
        <v>8.5629</v>
      </c>
      <c r="BH29" s="16">
        <v>17.15</v>
      </c>
      <c r="BI29" s="16">
        <f>BH$34/BG29</f>
        <v>17.154235130621633</v>
      </c>
      <c r="BJ29" s="4"/>
      <c r="BK29" s="4">
        <v>8.6538</v>
      </c>
      <c r="BL29" s="16">
        <v>17.05</v>
      </c>
      <c r="BM29" s="16">
        <f>BL$34/BK29</f>
        <v>17.050313157225727</v>
      </c>
      <c r="BN29" s="4"/>
      <c r="BO29" s="4">
        <v>8.6819</v>
      </c>
      <c r="BP29" s="16">
        <v>17.06</v>
      </c>
      <c r="BQ29" s="16">
        <f>BP$34/BO29</f>
        <v>17.057326161324134</v>
      </c>
      <c r="BR29" s="4"/>
      <c r="BS29" s="4">
        <v>8.6864</v>
      </c>
      <c r="BT29" s="16">
        <v>17.06</v>
      </c>
      <c r="BU29" s="16">
        <f>BT$34/BS29</f>
        <v>17.063455516669734</v>
      </c>
      <c r="BV29" s="4"/>
      <c r="BW29" s="4">
        <v>8.671</v>
      </c>
      <c r="BX29" s="16">
        <v>17.09</v>
      </c>
      <c r="BY29" s="16">
        <f>BX$34/BW29</f>
        <v>17.09145427286357</v>
      </c>
      <c r="BZ29" s="4"/>
      <c r="CA29" s="4">
        <v>8.7067</v>
      </c>
      <c r="CB29" s="16">
        <v>17.06</v>
      </c>
      <c r="CC29" s="16">
        <f>CB$34/CA29</f>
        <v>17.062721811937934</v>
      </c>
      <c r="CD29" s="4"/>
      <c r="CE29" s="4">
        <v>8.6915</v>
      </c>
      <c r="CF29" s="16">
        <v>17.1</v>
      </c>
      <c r="CG29" s="16">
        <f>CF$34/CE29</f>
        <v>17.09946499453489</v>
      </c>
      <c r="CH29" s="4"/>
      <c r="CI29" s="4">
        <v>8.7645</v>
      </c>
      <c r="CJ29" s="16">
        <v>17</v>
      </c>
      <c r="CK29" s="16">
        <f>CJ$34/CI29</f>
        <v>17.004963203833647</v>
      </c>
      <c r="CL29" s="4"/>
      <c r="CM29" s="4">
        <f t="shared" si="0"/>
        <v>8.522272727272727</v>
      </c>
      <c r="CN29" s="4">
        <f t="shared" si="2"/>
        <v>17.194090909090907</v>
      </c>
      <c r="CO29" s="4">
        <f t="shared" si="2"/>
        <v>17.195021270973253</v>
      </c>
      <c r="CP29" s="4"/>
    </row>
    <row r="30" spans="1:94" ht="12.75">
      <c r="A30" s="26">
        <v>19</v>
      </c>
      <c r="B30" s="27" t="s">
        <v>56</v>
      </c>
      <c r="C30" s="4">
        <v>6.6709</v>
      </c>
      <c r="D30" s="16">
        <v>21.7</v>
      </c>
      <c r="E30" s="16">
        <f>D$34/C30</f>
        <v>21.700220360071356</v>
      </c>
      <c r="F30" s="4"/>
      <c r="G30" s="4">
        <v>6.6507</v>
      </c>
      <c r="H30" s="16">
        <v>21.77</v>
      </c>
      <c r="I30" s="16">
        <f>H$34/G30</f>
        <v>21.77364788668862</v>
      </c>
      <c r="J30" s="4"/>
      <c r="K30" s="4">
        <v>6.6574</v>
      </c>
      <c r="L30" s="16">
        <v>21.76</v>
      </c>
      <c r="M30" s="16">
        <f>L$34/K30</f>
        <v>21.763751614744493</v>
      </c>
      <c r="N30" s="4"/>
      <c r="O30" s="4">
        <v>6.6671</v>
      </c>
      <c r="P30" s="16">
        <v>21.73</v>
      </c>
      <c r="Q30" s="16">
        <f>P$34/O30</f>
        <v>21.72758770679906</v>
      </c>
      <c r="R30" s="4"/>
      <c r="S30" s="4">
        <v>6.7055</v>
      </c>
      <c r="T30" s="16">
        <v>21.65</v>
      </c>
      <c r="U30" s="16">
        <f>T$34/S30</f>
        <v>21.646409663708898</v>
      </c>
      <c r="V30" s="4"/>
      <c r="W30" s="4">
        <v>6.71</v>
      </c>
      <c r="X30" s="16">
        <v>21.68</v>
      </c>
      <c r="Y30" s="16">
        <f>X$34/W30</f>
        <v>21.682563338301044</v>
      </c>
      <c r="Z30" s="4"/>
      <c r="AA30" s="4">
        <v>6.7039</v>
      </c>
      <c r="AB30" s="16">
        <v>21.71</v>
      </c>
      <c r="AC30" s="16">
        <f>AB$34/AA30</f>
        <v>21.714226047524573</v>
      </c>
      <c r="AD30" s="4"/>
      <c r="AE30" s="4">
        <v>6.7473</v>
      </c>
      <c r="AF30" s="16">
        <v>21.63</v>
      </c>
      <c r="AG30" s="16">
        <f>AF$34/AE30</f>
        <v>21.62791042342863</v>
      </c>
      <c r="AH30" s="4"/>
      <c r="AI30" s="4">
        <v>6.8006</v>
      </c>
      <c r="AJ30" s="16">
        <v>21.48</v>
      </c>
      <c r="AK30" s="16">
        <f>AJ$34/AI30</f>
        <v>21.483398523659677</v>
      </c>
      <c r="AL30" s="4"/>
      <c r="AM30" s="4">
        <v>6.7665</v>
      </c>
      <c r="AN30" s="16">
        <v>21.61</v>
      </c>
      <c r="AO30" s="16">
        <f>AN$34/AM30</f>
        <v>21.612354984112912</v>
      </c>
      <c r="AP30" s="4"/>
      <c r="AQ30" s="4">
        <v>6.7259</v>
      </c>
      <c r="AR30" s="16">
        <v>21.72</v>
      </c>
      <c r="AS30" s="16">
        <f>AR$34/AQ30</f>
        <v>21.722000029735796</v>
      </c>
      <c r="AT30" s="4"/>
      <c r="AU30" s="4">
        <v>6.7336</v>
      </c>
      <c r="AV30" s="16">
        <v>21.68</v>
      </c>
      <c r="AW30" s="16">
        <f>AV$34/AU30</f>
        <v>21.676369252702866</v>
      </c>
      <c r="AX30" s="4"/>
      <c r="AY30" s="4">
        <v>6.7634</v>
      </c>
      <c r="AZ30" s="16">
        <v>21.64</v>
      </c>
      <c r="BA30" s="16">
        <f>AZ$34/AY30</f>
        <v>21.63852500221782</v>
      </c>
      <c r="BB30" s="4"/>
      <c r="BC30" s="4">
        <v>6.7789</v>
      </c>
      <c r="BD30" s="16">
        <v>21.57</v>
      </c>
      <c r="BE30" s="16">
        <f>BD$34/BC30</f>
        <v>21.569871218044224</v>
      </c>
      <c r="BF30" s="4"/>
      <c r="BG30" s="4">
        <v>6.8287</v>
      </c>
      <c r="BH30" s="16">
        <v>21.51</v>
      </c>
      <c r="BI30" s="16">
        <f>BH$34/BG30</f>
        <v>21.510682853251712</v>
      </c>
      <c r="BJ30" s="4"/>
      <c r="BK30" s="4">
        <v>6.9016</v>
      </c>
      <c r="BL30" s="16">
        <v>21.38</v>
      </c>
      <c r="BM30" s="16">
        <f>BL$34/BK30</f>
        <v>21.379100498435147</v>
      </c>
      <c r="BN30" s="4"/>
      <c r="BO30" s="4">
        <v>6.9265</v>
      </c>
      <c r="BP30" s="16">
        <v>21.38</v>
      </c>
      <c r="BQ30" s="16">
        <f>BP$34/BO30</f>
        <v>21.380206453475783</v>
      </c>
      <c r="BR30" s="4"/>
      <c r="BS30" s="4">
        <v>6.9265</v>
      </c>
      <c r="BT30" s="16">
        <v>21.4</v>
      </c>
      <c r="BU30" s="16">
        <f>BT$34/BS30</f>
        <v>21.39897495127409</v>
      </c>
      <c r="BV30" s="4"/>
      <c r="BW30" s="4">
        <v>6.9161</v>
      </c>
      <c r="BX30" s="16">
        <v>21.43</v>
      </c>
      <c r="BY30" s="16">
        <f>BX$34/BW30</f>
        <v>21.428261592516012</v>
      </c>
      <c r="BZ30" s="4"/>
      <c r="CA30" s="4">
        <v>6.9443</v>
      </c>
      <c r="CB30" s="16">
        <v>21.39</v>
      </c>
      <c r="CC30" s="16">
        <f>CB$34/CA30</f>
        <v>21.393084976167504</v>
      </c>
      <c r="CD30" s="4"/>
      <c r="CE30" s="4">
        <v>6.933</v>
      </c>
      <c r="CF30" s="16">
        <v>21.44</v>
      </c>
      <c r="CG30" s="16">
        <f>CF$34/CE30</f>
        <v>21.436607529208136</v>
      </c>
      <c r="CH30" s="4"/>
      <c r="CI30" s="4">
        <v>6.99</v>
      </c>
      <c r="CJ30" s="16">
        <v>21.32</v>
      </c>
      <c r="CK30" s="16">
        <f>CJ$34/CI30</f>
        <v>21.321888412017167</v>
      </c>
      <c r="CL30" s="4"/>
      <c r="CM30" s="4">
        <f t="shared" si="0"/>
        <v>6.79310909090909</v>
      </c>
      <c r="CN30" s="4">
        <f t="shared" si="2"/>
        <v>21.571818181818177</v>
      </c>
      <c r="CO30" s="4">
        <f t="shared" si="2"/>
        <v>21.572165605367527</v>
      </c>
      <c r="CP30" s="4"/>
    </row>
    <row r="31" spans="1:94" ht="12.75">
      <c r="A31" s="26">
        <v>20</v>
      </c>
      <c r="B31" s="27" t="s">
        <v>57</v>
      </c>
      <c r="C31" s="4">
        <v>224.9321</v>
      </c>
      <c r="D31" s="16">
        <v>64.36</v>
      </c>
      <c r="E31" s="16">
        <f>D$34/C31*100</f>
        <v>64.35719935038173</v>
      </c>
      <c r="F31" s="4"/>
      <c r="G31" s="4">
        <v>224.2528</v>
      </c>
      <c r="H31" s="16">
        <v>64.57</v>
      </c>
      <c r="I31" s="16">
        <f>H$34/G31*100</f>
        <v>64.5744445554303</v>
      </c>
      <c r="J31" s="4"/>
      <c r="K31" s="4">
        <v>224.4788</v>
      </c>
      <c r="L31" s="16">
        <v>64.54</v>
      </c>
      <c r="M31" s="16">
        <f>L$34/K31*100</f>
        <v>64.54507062582302</v>
      </c>
      <c r="N31" s="4"/>
      <c r="O31" s="4">
        <v>224.806</v>
      </c>
      <c r="P31" s="16">
        <v>64.44</v>
      </c>
      <c r="Q31" s="16">
        <f>P$34/O31*100</f>
        <v>64.4377819097355</v>
      </c>
      <c r="R31" s="4"/>
      <c r="S31" s="4">
        <v>226.099</v>
      </c>
      <c r="T31" s="16">
        <v>64.2</v>
      </c>
      <c r="U31" s="16">
        <f>T$34/S31*100</f>
        <v>64.19754178479339</v>
      </c>
      <c r="V31" s="4"/>
      <c r="W31" s="4">
        <v>226.2521</v>
      </c>
      <c r="X31" s="16">
        <v>64.3</v>
      </c>
      <c r="Y31" s="16">
        <f>X$34/W31*100</f>
        <v>64.30437551739851</v>
      </c>
      <c r="Z31" s="4"/>
      <c r="AA31" s="4">
        <v>226.048</v>
      </c>
      <c r="AB31" s="16">
        <v>64.4</v>
      </c>
      <c r="AC31" s="16">
        <f>AB$34/AA31*100</f>
        <v>64.39782701019251</v>
      </c>
      <c r="AD31" s="4"/>
      <c r="AE31" s="4">
        <v>227.5102</v>
      </c>
      <c r="AF31" s="16">
        <v>64.14</v>
      </c>
      <c r="AG31" s="16">
        <f>AF$34/AE31*100</f>
        <v>64.14217911988122</v>
      </c>
      <c r="AH31" s="4"/>
      <c r="AI31" s="4">
        <v>229.3057</v>
      </c>
      <c r="AJ31" s="16">
        <v>63.71</v>
      </c>
      <c r="AK31" s="16">
        <f>AJ$34/AI31*100</f>
        <v>63.71407252414571</v>
      </c>
      <c r="AL31" s="4"/>
      <c r="AM31" s="4">
        <v>228.1575</v>
      </c>
      <c r="AN31" s="16">
        <v>64.1</v>
      </c>
      <c r="AO31" s="16">
        <f>AN$34/AM31*100</f>
        <v>64.09607398398038</v>
      </c>
      <c r="AP31" s="4"/>
      <c r="AQ31" s="4">
        <v>226.7896</v>
      </c>
      <c r="AR31" s="16">
        <v>64.42</v>
      </c>
      <c r="AS31" s="16">
        <f>AR$34/AQ31*100</f>
        <v>64.4209434647797</v>
      </c>
      <c r="AT31" s="4"/>
      <c r="AU31" s="4">
        <v>227.0464</v>
      </c>
      <c r="AV31" s="16">
        <v>64.29</v>
      </c>
      <c r="AW31" s="16">
        <f>AV$34/AU31*100</f>
        <v>64.2864189874845</v>
      </c>
      <c r="AX31" s="4"/>
      <c r="AY31" s="4">
        <v>228.0537</v>
      </c>
      <c r="AZ31" s="16">
        <v>64.17</v>
      </c>
      <c r="BA31" s="16">
        <f>AZ$34/AY31*100</f>
        <v>64.17348194745361</v>
      </c>
      <c r="BB31" s="4"/>
      <c r="BC31" s="4">
        <v>228.5737</v>
      </c>
      <c r="BD31" s="16">
        <v>63.97</v>
      </c>
      <c r="BE31" s="16">
        <f>BD$34/BC31*100</f>
        <v>63.970614292020464</v>
      </c>
      <c r="BF31" s="4"/>
      <c r="BG31" s="4">
        <v>230.2538</v>
      </c>
      <c r="BH31" s="16">
        <v>63.8</v>
      </c>
      <c r="BI31" s="16">
        <f>BH$34/BG31*100</f>
        <v>63.79482119296185</v>
      </c>
      <c r="BJ31" s="4"/>
      <c r="BK31" s="4">
        <v>232.7127</v>
      </c>
      <c r="BL31" s="16">
        <v>63.4</v>
      </c>
      <c r="BM31" s="16">
        <f>BL$34/BK31*100</f>
        <v>63.404360827750274</v>
      </c>
      <c r="BN31" s="4"/>
      <c r="BO31" s="4">
        <v>233.5531</v>
      </c>
      <c r="BP31" s="16">
        <v>63.41</v>
      </c>
      <c r="BQ31" s="16">
        <f>BP$34/BO31*100</f>
        <v>63.407422123705494</v>
      </c>
      <c r="BR31" s="4"/>
      <c r="BS31" s="4">
        <v>233.5531</v>
      </c>
      <c r="BT31" s="16">
        <v>63.46</v>
      </c>
      <c r="BU31" s="16">
        <f>BT$34/BS31*100</f>
        <v>63.46308398389916</v>
      </c>
      <c r="BV31" s="4"/>
      <c r="BW31" s="4">
        <v>233.2</v>
      </c>
      <c r="BX31" s="16">
        <v>63.55</v>
      </c>
      <c r="BY31" s="16">
        <f>BX$34/BW31*100</f>
        <v>63.550600343053176</v>
      </c>
      <c r="BZ31" s="4"/>
      <c r="CA31" s="4">
        <v>234.1532</v>
      </c>
      <c r="CB31" s="16">
        <v>63.44</v>
      </c>
      <c r="CC31" s="16">
        <f>CB$34/CA31*100</f>
        <v>63.445641571415635</v>
      </c>
      <c r="CD31" s="4"/>
      <c r="CE31" s="4">
        <v>233.771</v>
      </c>
      <c r="CF31" s="16">
        <v>63.57</v>
      </c>
      <c r="CG31" s="16">
        <f>CF$34/CE31*100</f>
        <v>63.57503710896562</v>
      </c>
      <c r="CH31" s="4"/>
      <c r="CI31" s="4">
        <v>235.6948</v>
      </c>
      <c r="CJ31" s="16">
        <v>63.23</v>
      </c>
      <c r="CK31" s="16">
        <f>CJ$34/CI31*100</f>
        <v>63.234318279402004</v>
      </c>
      <c r="CL31" s="4"/>
      <c r="CM31" s="4">
        <f t="shared" si="0"/>
        <v>229.05442272727268</v>
      </c>
      <c r="CN31" s="4">
        <f t="shared" si="2"/>
        <v>63.97590909090909</v>
      </c>
      <c r="CO31" s="4">
        <f t="shared" si="2"/>
        <v>63.97696865930247</v>
      </c>
      <c r="CP31" s="4"/>
    </row>
    <row r="32" spans="1:94" ht="12.75">
      <c r="A32" s="26">
        <v>21</v>
      </c>
      <c r="B32" s="27" t="s">
        <v>58</v>
      </c>
      <c r="C32" s="4">
        <f>1/1.26909</f>
        <v>0.7879661804915332</v>
      </c>
      <c r="D32" s="16">
        <v>183.71</v>
      </c>
      <c r="E32" s="16">
        <f>D$34*C32</f>
        <v>114.06598428795434</v>
      </c>
      <c r="F32" s="4"/>
      <c r="G32" s="4">
        <f>1/1.26924</f>
        <v>0.7878730578929123</v>
      </c>
      <c r="H32" s="16">
        <v>183.8</v>
      </c>
      <c r="I32" s="16">
        <f>H$34*G32</f>
        <v>114.09189751347263</v>
      </c>
      <c r="J32" s="4"/>
      <c r="K32" s="4">
        <f>1/1.27091</f>
        <v>0.7868377776553808</v>
      </c>
      <c r="L32" s="16">
        <v>184.14</v>
      </c>
      <c r="M32" s="16">
        <f>L$34*K32</f>
        <v>114.00492560448811</v>
      </c>
      <c r="N32" s="4"/>
      <c r="O32" s="4">
        <f>1/1.27091</f>
        <v>0.7868377776553808</v>
      </c>
      <c r="P32" s="16">
        <v>184.1</v>
      </c>
      <c r="Q32" s="16">
        <f>P$34*O32</f>
        <v>113.98132047115847</v>
      </c>
      <c r="R32" s="4"/>
      <c r="S32" s="4">
        <f>1/1.2683</f>
        <v>0.7884569896712135</v>
      </c>
      <c r="T32" s="16">
        <v>184.09</v>
      </c>
      <c r="U32" s="16">
        <f>T$34*S32</f>
        <v>114.44453205077664</v>
      </c>
      <c r="V32" s="4"/>
      <c r="W32" s="4">
        <f>1/1.26532</f>
        <v>0.790313912686119</v>
      </c>
      <c r="X32" s="16">
        <v>184.09</v>
      </c>
      <c r="Y32" s="16">
        <f>X$34*W32</f>
        <v>114.98277115670345</v>
      </c>
      <c r="Z32" s="4"/>
      <c r="AA32" s="4">
        <f>1/1.26668</f>
        <v>0.7894653740486942</v>
      </c>
      <c r="AB32" s="16">
        <v>184.39</v>
      </c>
      <c r="AC32" s="16">
        <f>AB$34*AA32</f>
        <v>114.92247450026841</v>
      </c>
      <c r="AD32" s="4"/>
      <c r="AE32" s="4">
        <f>1/1.26141</f>
        <v>0.7927636533720203</v>
      </c>
      <c r="AF32" s="16">
        <v>184.07</v>
      </c>
      <c r="AG32" s="16">
        <f>AF$34*AE32</f>
        <v>115.68799993657892</v>
      </c>
      <c r="AH32" s="4"/>
      <c r="AI32" s="4">
        <f>1/1.26141</f>
        <v>0.7927636533720203</v>
      </c>
      <c r="AJ32" s="16">
        <v>184.29</v>
      </c>
      <c r="AK32" s="16">
        <f>AJ$34*AI32</f>
        <v>115.82276975765215</v>
      </c>
      <c r="AL32" s="4"/>
      <c r="AM32" s="4">
        <f>1/1.26031</f>
        <v>0.7934555783894438</v>
      </c>
      <c r="AN32" s="16">
        <v>184.31</v>
      </c>
      <c r="AO32" s="16">
        <f>AN$34*AM32</f>
        <v>116.03494378367228</v>
      </c>
      <c r="AP32" s="4"/>
      <c r="AQ32" s="4">
        <f>1/1.26334</f>
        <v>0.7915525511738725</v>
      </c>
      <c r="AR32" s="16">
        <v>184.57</v>
      </c>
      <c r="AS32" s="16">
        <f>AR$34*AQ32</f>
        <v>115.64582772650276</v>
      </c>
      <c r="AT32" s="4"/>
      <c r="AU32" s="4">
        <f>1/1.26438</f>
        <v>0.7909014694949302</v>
      </c>
      <c r="AV32" s="16">
        <v>184.55</v>
      </c>
      <c r="AW32" s="16">
        <f>AV$34*AU32</f>
        <v>115.43997848748002</v>
      </c>
      <c r="AX32" s="4"/>
      <c r="AY32" s="4">
        <f>1/1.26151</f>
        <v>0.7927008109329297</v>
      </c>
      <c r="AZ32" s="16">
        <v>184.62</v>
      </c>
      <c r="BA32" s="16">
        <f>AZ$34*AY32</f>
        <v>116.01176368003425</v>
      </c>
      <c r="BB32" s="4"/>
      <c r="BC32" s="4">
        <f>1/1.26126</f>
        <v>0.7928579357150786</v>
      </c>
      <c r="BD32" s="16">
        <v>184.43</v>
      </c>
      <c r="BE32" s="16">
        <f>BD$34*BC32</f>
        <v>115.93168736025879</v>
      </c>
      <c r="BF32" s="4"/>
      <c r="BG32" s="4">
        <f>1/1.25953</f>
        <v>0.7939469484649035</v>
      </c>
      <c r="BH32" s="16">
        <v>185.02</v>
      </c>
      <c r="BI32" s="16">
        <f>BH$34*BG32</f>
        <v>116.62286726000967</v>
      </c>
      <c r="BJ32" s="4"/>
      <c r="BK32" s="4">
        <f>1/1.25614</f>
        <v>0.7960896078462592</v>
      </c>
      <c r="BL32" s="16">
        <v>185.34</v>
      </c>
      <c r="BM32" s="16">
        <f>BL$34*BK32</f>
        <v>117.46302163771554</v>
      </c>
      <c r="BN32" s="4"/>
      <c r="BO32" s="4">
        <f>1/1.25801</f>
        <v>0.7949062408088965</v>
      </c>
      <c r="BP32" s="16">
        <v>186.3</v>
      </c>
      <c r="BQ32" s="16">
        <f>BP$34*BO32</f>
        <v>117.71766520138948</v>
      </c>
      <c r="BR32" s="4"/>
      <c r="BS32" s="4">
        <f>1/1.25801</f>
        <v>0.7949062408088965</v>
      </c>
      <c r="BT32" s="16">
        <v>186.46</v>
      </c>
      <c r="BU32" s="16">
        <f>BT$34*BS32</f>
        <v>117.82100301269463</v>
      </c>
      <c r="BV32" s="4"/>
      <c r="BW32" s="4">
        <f>1/1.2559</f>
        <v>0.7962417389919579</v>
      </c>
      <c r="BX32" s="16">
        <v>186.13</v>
      </c>
      <c r="BY32" s="16">
        <f>BX$34*BW32</f>
        <v>118.00302571860816</v>
      </c>
      <c r="BZ32" s="4"/>
      <c r="CA32" s="4">
        <f>1/1.25568</f>
        <v>0.7963812436289501</v>
      </c>
      <c r="CB32" s="16">
        <v>186.54</v>
      </c>
      <c r="CC32" s="16">
        <f>CB$34*CA32</f>
        <v>118.31039755351684</v>
      </c>
      <c r="CD32" s="4"/>
      <c r="CE32" s="4">
        <f>1/1.25583</f>
        <v>0.7962861215291879</v>
      </c>
      <c r="CF32" s="16">
        <v>186.62</v>
      </c>
      <c r="CG32" s="16">
        <f>CF$34*CE32</f>
        <v>118.3440433816679</v>
      </c>
      <c r="CH32" s="4"/>
      <c r="CI32" s="4">
        <f>1/1.25423</f>
        <v>0.7973019302679732</v>
      </c>
      <c r="CJ32" s="16">
        <v>186.93</v>
      </c>
      <c r="CK32" s="16">
        <f>CJ$34*CI32</f>
        <v>118.82987968713873</v>
      </c>
      <c r="CL32" s="4"/>
      <c r="CM32" s="4">
        <f t="shared" si="0"/>
        <v>0.792309399768116</v>
      </c>
      <c r="CN32" s="4">
        <f t="shared" si="2"/>
        <v>184.9318181818182</v>
      </c>
      <c r="CO32" s="4">
        <f t="shared" si="2"/>
        <v>116.09912635317009</v>
      </c>
      <c r="CP32" s="4"/>
    </row>
    <row r="33" spans="1:94" ht="12.75">
      <c r="A33" s="26">
        <v>22</v>
      </c>
      <c r="B33" s="27" t="s">
        <v>59</v>
      </c>
      <c r="C33" s="4">
        <v>382.3067</v>
      </c>
      <c r="D33" s="16">
        <v>37.86</v>
      </c>
      <c r="E33" s="16">
        <f>D$34/C33*100</f>
        <v>37.86488701348943</v>
      </c>
      <c r="F33" s="4">
        <v>37.85</v>
      </c>
      <c r="G33" s="4">
        <v>381.1521</v>
      </c>
      <c r="H33" s="16">
        <v>37.99</v>
      </c>
      <c r="I33" s="16">
        <f>H$34/G33*100</f>
        <v>37.99270684852583</v>
      </c>
      <c r="J33" s="4">
        <v>37.9</v>
      </c>
      <c r="K33" s="4">
        <v>381.5362</v>
      </c>
      <c r="L33" s="16">
        <v>37.98</v>
      </c>
      <c r="M33" s="16">
        <f>L$34/K33*100</f>
        <v>37.97542670918251</v>
      </c>
      <c r="N33" s="4">
        <v>37.89</v>
      </c>
      <c r="O33" s="4">
        <v>382.0924</v>
      </c>
      <c r="P33" s="16">
        <v>37.91</v>
      </c>
      <c r="Q33" s="16">
        <f>P$34/O33*100</f>
        <v>37.91229555992216</v>
      </c>
      <c r="R33" s="4">
        <v>37.9</v>
      </c>
      <c r="S33" s="4">
        <v>384.2901</v>
      </c>
      <c r="T33" s="16">
        <v>37.77</v>
      </c>
      <c r="U33" s="16">
        <f>T$34/S33*100</f>
        <v>37.7709443985156</v>
      </c>
      <c r="V33" s="4">
        <v>37.9</v>
      </c>
      <c r="W33" s="4">
        <v>384.5503</v>
      </c>
      <c r="X33" s="16">
        <v>37.83</v>
      </c>
      <c r="Y33" s="16">
        <f>X$34/W33*100</f>
        <v>37.83380223601438</v>
      </c>
      <c r="Z33" s="4">
        <v>37.85</v>
      </c>
      <c r="AA33" s="4">
        <v>384.2034</v>
      </c>
      <c r="AB33" s="16">
        <v>37.89</v>
      </c>
      <c r="AC33" s="16">
        <f>AB$34/AA33*100</f>
        <v>37.888784950887995</v>
      </c>
      <c r="AD33" s="4">
        <v>37.9</v>
      </c>
      <c r="AE33" s="4">
        <v>386.6886</v>
      </c>
      <c r="AF33" s="16">
        <v>37.74</v>
      </c>
      <c r="AG33" s="16">
        <f>AF$34/AE33*100</f>
        <v>37.73837656450178</v>
      </c>
      <c r="AH33" s="4">
        <v>37.8</v>
      </c>
      <c r="AI33" s="4">
        <v>389.7404</v>
      </c>
      <c r="AJ33" s="16">
        <v>37.49</v>
      </c>
      <c r="AK33" s="16">
        <f>AJ$34/AI33*100</f>
        <v>37.486491007860614</v>
      </c>
      <c r="AL33" s="4">
        <v>37.65</v>
      </c>
      <c r="AM33" s="4">
        <v>387.7888</v>
      </c>
      <c r="AN33" s="16">
        <v>37.71</v>
      </c>
      <c r="AO33" s="16">
        <f>AN$34/AM33*100</f>
        <v>37.71124900977027</v>
      </c>
      <c r="AP33" s="4">
        <v>37.78</v>
      </c>
      <c r="AQ33" s="4">
        <v>385.4638</v>
      </c>
      <c r="AR33" s="16">
        <v>37.9</v>
      </c>
      <c r="AS33" s="16">
        <f>AR$34/AQ33*100</f>
        <v>37.90239187181779</v>
      </c>
      <c r="AT33" s="4">
        <v>37.84</v>
      </c>
      <c r="AU33" s="23">
        <v>385.9003</v>
      </c>
      <c r="AV33" s="16">
        <v>37.82</v>
      </c>
      <c r="AW33" s="16">
        <f>AV$34/AU33*100</f>
        <v>37.82324087335511</v>
      </c>
      <c r="AX33" s="4">
        <v>37.85</v>
      </c>
      <c r="AY33" s="4">
        <v>387.6123</v>
      </c>
      <c r="AZ33" s="16">
        <v>37.76</v>
      </c>
      <c r="BA33" s="16">
        <f>AZ$34/AY33*100</f>
        <v>37.75679977131789</v>
      </c>
      <c r="BB33" s="4">
        <v>37.77</v>
      </c>
      <c r="BC33" s="4">
        <v>388.4962</v>
      </c>
      <c r="BD33" s="16">
        <v>37.64</v>
      </c>
      <c r="BE33" s="16">
        <f>BD$34/BC33*100</f>
        <v>37.63743377670104</v>
      </c>
      <c r="BF33" s="4">
        <v>37.71</v>
      </c>
      <c r="BG33" s="4">
        <v>391.3518</v>
      </c>
      <c r="BH33" s="16">
        <v>37.53</v>
      </c>
      <c r="BI33" s="16">
        <f>BH$34/BG33*100</f>
        <v>37.53400393201206</v>
      </c>
      <c r="BJ33" s="4">
        <v>37.7</v>
      </c>
      <c r="BK33" s="4">
        <v>395.5311</v>
      </c>
      <c r="BL33" s="16">
        <v>37.3</v>
      </c>
      <c r="BM33" s="16">
        <f>BL$34/BK33*100</f>
        <v>37.304272660228236</v>
      </c>
      <c r="BN33" s="4">
        <v>37.5</v>
      </c>
      <c r="BO33" s="4">
        <v>396.9595</v>
      </c>
      <c r="BP33" s="16">
        <v>37.31</v>
      </c>
      <c r="BQ33" s="16">
        <f>BP$34/BO33*100</f>
        <v>37.30607278576278</v>
      </c>
      <c r="BR33" s="4">
        <v>37.6</v>
      </c>
      <c r="BS33" s="4">
        <v>396.9595</v>
      </c>
      <c r="BT33" s="16">
        <v>37.34</v>
      </c>
      <c r="BU33" s="16">
        <f>BT$34/BS33*100</f>
        <v>37.33882171858842</v>
      </c>
      <c r="BV33" s="4">
        <v>37.55</v>
      </c>
      <c r="BW33" s="4">
        <v>396.3592</v>
      </c>
      <c r="BX33" s="16">
        <v>37.39</v>
      </c>
      <c r="BY33" s="16">
        <f>BX$34/BW33*100</f>
        <v>37.39032675411596</v>
      </c>
      <c r="BZ33" s="4">
        <v>37.5</v>
      </c>
      <c r="CA33" s="4">
        <v>397.9794</v>
      </c>
      <c r="CB33" s="16">
        <v>37.33</v>
      </c>
      <c r="CC33" s="16">
        <f>CB$34/CA33*100</f>
        <v>37.32856524734697</v>
      </c>
      <c r="CD33" s="4">
        <v>37.45</v>
      </c>
      <c r="CE33" s="4">
        <v>397.3298</v>
      </c>
      <c r="CF33" s="16">
        <v>37.4</v>
      </c>
      <c r="CG33" s="16">
        <f>CF$34/CE33*100</f>
        <v>37.40469504175121</v>
      </c>
      <c r="CH33" s="4">
        <v>37.4</v>
      </c>
      <c r="CI33" s="4">
        <v>400.5996</v>
      </c>
      <c r="CJ33" s="16">
        <v>37.2</v>
      </c>
      <c r="CK33" s="16">
        <f>CJ$34/CI33*100</f>
        <v>37.20423085794394</v>
      </c>
      <c r="CL33" s="4">
        <v>37.37</v>
      </c>
      <c r="CM33" s="4">
        <f t="shared" si="0"/>
        <v>389.31325</v>
      </c>
      <c r="CN33" s="4">
        <f t="shared" si="2"/>
        <v>37.64045454545454</v>
      </c>
      <c r="CO33" s="4">
        <f t="shared" si="2"/>
        <v>37.64117361770963</v>
      </c>
      <c r="CP33" s="4">
        <f>(F33+J33+N33+R33+V33+Z33+AD33+AH33+AL33+AP33+AT33+AX33+BB33+BF33+BJ33+BN33+BR33+BV33+BZ33+CD33+CH33+CL33)/22</f>
        <v>37.71181818181819</v>
      </c>
    </row>
    <row r="34" spans="1:94" ht="13.5" thickBot="1">
      <c r="A34" s="29">
        <v>23</v>
      </c>
      <c r="B34" s="30" t="s">
        <v>60</v>
      </c>
      <c r="C34" s="13">
        <v>1</v>
      </c>
      <c r="D34" s="39">
        <v>144.76</v>
      </c>
      <c r="E34" s="40">
        <f>D$34/C34</f>
        <v>144.76</v>
      </c>
      <c r="F34" s="13">
        <v>145.14</v>
      </c>
      <c r="G34" s="13">
        <v>1</v>
      </c>
      <c r="H34" s="39">
        <v>144.81</v>
      </c>
      <c r="I34" s="40">
        <f>H$34/G34</f>
        <v>144.81</v>
      </c>
      <c r="J34" s="13">
        <v>144.94</v>
      </c>
      <c r="K34" s="13">
        <v>1</v>
      </c>
      <c r="L34" s="39">
        <v>144.89</v>
      </c>
      <c r="M34" s="40">
        <f>L$34/K34</f>
        <v>144.89</v>
      </c>
      <c r="N34" s="13">
        <v>145.14</v>
      </c>
      <c r="O34" s="13">
        <v>1</v>
      </c>
      <c r="P34" s="39">
        <v>144.86</v>
      </c>
      <c r="Q34" s="40">
        <f>P$34/O34</f>
        <v>144.86</v>
      </c>
      <c r="R34" s="13">
        <v>145.14</v>
      </c>
      <c r="S34" s="13">
        <v>1</v>
      </c>
      <c r="T34" s="39">
        <v>145.15</v>
      </c>
      <c r="U34" s="40">
        <f>T$34/S34</f>
        <v>145.15</v>
      </c>
      <c r="V34" s="13">
        <v>145.48</v>
      </c>
      <c r="W34" s="13">
        <v>1</v>
      </c>
      <c r="X34" s="39">
        <v>145.49</v>
      </c>
      <c r="Y34" s="40">
        <f>X$34/W34</f>
        <v>145.49</v>
      </c>
      <c r="Z34" s="13">
        <v>145.96</v>
      </c>
      <c r="AA34" s="13">
        <v>1</v>
      </c>
      <c r="AB34" s="39">
        <v>145.57</v>
      </c>
      <c r="AC34" s="40">
        <f>AB$34/AA34</f>
        <v>145.57</v>
      </c>
      <c r="AD34" s="13">
        <v>145.8</v>
      </c>
      <c r="AE34" s="13">
        <v>1</v>
      </c>
      <c r="AF34" s="39">
        <v>145.93</v>
      </c>
      <c r="AG34" s="40">
        <f>AF$34/AE34</f>
        <v>145.93</v>
      </c>
      <c r="AH34" s="13">
        <v>146.1</v>
      </c>
      <c r="AI34" s="13">
        <v>1</v>
      </c>
      <c r="AJ34" s="39">
        <v>146.1</v>
      </c>
      <c r="AK34" s="40">
        <f>AJ$34/AI34</f>
        <v>146.1</v>
      </c>
      <c r="AL34" s="13">
        <v>146.56</v>
      </c>
      <c r="AM34" s="13">
        <v>1</v>
      </c>
      <c r="AN34" s="39">
        <v>146.24</v>
      </c>
      <c r="AO34" s="40">
        <f>AN$34/AM34</f>
        <v>146.24</v>
      </c>
      <c r="AP34" s="13">
        <v>146.59</v>
      </c>
      <c r="AQ34" s="13">
        <v>1</v>
      </c>
      <c r="AR34" s="39">
        <v>146.1</v>
      </c>
      <c r="AS34" s="40">
        <f>AR$34/AQ34</f>
        <v>146.1</v>
      </c>
      <c r="AT34" s="13">
        <v>146.32</v>
      </c>
      <c r="AU34" s="13">
        <v>1</v>
      </c>
      <c r="AV34" s="39">
        <v>145.96</v>
      </c>
      <c r="AW34" s="40">
        <f>AV$34/AU34</f>
        <v>145.96</v>
      </c>
      <c r="AX34" s="13">
        <v>146.22</v>
      </c>
      <c r="AY34" s="13">
        <v>1</v>
      </c>
      <c r="AZ34" s="39">
        <v>146.35</v>
      </c>
      <c r="BA34" s="40">
        <f>AZ$34/AY34</f>
        <v>146.35</v>
      </c>
      <c r="BB34" s="13">
        <v>146.47</v>
      </c>
      <c r="BC34" s="13">
        <v>1</v>
      </c>
      <c r="BD34" s="39">
        <v>146.22</v>
      </c>
      <c r="BE34" s="40">
        <f>BD$34/BC34</f>
        <v>146.22</v>
      </c>
      <c r="BF34" s="13">
        <v>146.6</v>
      </c>
      <c r="BG34" s="13">
        <v>1</v>
      </c>
      <c r="BH34" s="39">
        <v>146.89</v>
      </c>
      <c r="BI34" s="40">
        <f>BH$34/BG34</f>
        <v>146.89</v>
      </c>
      <c r="BJ34" s="13">
        <v>146.94</v>
      </c>
      <c r="BK34" s="13">
        <v>1</v>
      </c>
      <c r="BL34" s="39">
        <v>147.55</v>
      </c>
      <c r="BM34" s="40">
        <f>BL$34/BK34</f>
        <v>147.55</v>
      </c>
      <c r="BN34" s="13">
        <v>147.84</v>
      </c>
      <c r="BO34" s="13">
        <v>1</v>
      </c>
      <c r="BP34" s="39">
        <v>148.09</v>
      </c>
      <c r="BQ34" s="40">
        <f>BP$34/BO34</f>
        <v>148.09</v>
      </c>
      <c r="BR34" s="13">
        <v>148.46</v>
      </c>
      <c r="BS34" s="13">
        <v>1</v>
      </c>
      <c r="BT34" s="39">
        <v>148.22</v>
      </c>
      <c r="BU34" s="40">
        <f>BT$34/BS34</f>
        <v>148.22</v>
      </c>
      <c r="BV34" s="13">
        <v>148.34</v>
      </c>
      <c r="BW34" s="13">
        <v>1</v>
      </c>
      <c r="BX34" s="39">
        <v>148.2</v>
      </c>
      <c r="BY34" s="40">
        <f>BX$34/BW34</f>
        <v>148.2</v>
      </c>
      <c r="BZ34" s="13">
        <v>148.5</v>
      </c>
      <c r="CA34" s="13">
        <v>1</v>
      </c>
      <c r="CB34" s="39">
        <v>148.56</v>
      </c>
      <c r="CC34" s="40">
        <f>CB$34/CA34</f>
        <v>148.56</v>
      </c>
      <c r="CD34" s="13">
        <v>148.84</v>
      </c>
      <c r="CE34" s="13">
        <v>1</v>
      </c>
      <c r="CF34" s="39">
        <v>148.62</v>
      </c>
      <c r="CG34" s="40">
        <f>CF$34/CE34</f>
        <v>148.62</v>
      </c>
      <c r="CH34" s="13">
        <v>148.98</v>
      </c>
      <c r="CI34" s="13">
        <v>1</v>
      </c>
      <c r="CJ34" s="39">
        <v>149.04</v>
      </c>
      <c r="CK34" s="40">
        <f>CJ$34/CI34</f>
        <v>149.04</v>
      </c>
      <c r="CL34" s="13">
        <v>149.52</v>
      </c>
      <c r="CM34" s="24">
        <f t="shared" si="0"/>
        <v>1</v>
      </c>
      <c r="CN34" s="24">
        <f t="shared" si="2"/>
        <v>146.5272727272727</v>
      </c>
      <c r="CO34" s="24">
        <f t="shared" si="2"/>
        <v>146.5272727272727</v>
      </c>
      <c r="CP34" s="24">
        <f>(F34+J34+N34+R34+V34+Z34+AD34+AH34+AL34+AP34+AT34+AX34+BB34+BF34+BJ34+BN34+BR34+BV34+BZ34+CD34+CH34+CL34)/22</f>
        <v>146.81272727272727</v>
      </c>
    </row>
    <row r="35" spans="1:94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4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34"/>
      <c r="CA35" s="1"/>
      <c r="CB35" s="1"/>
      <c r="CC35" s="1"/>
      <c r="CD35" s="34"/>
      <c r="CE35" s="1"/>
      <c r="CF35" s="1"/>
      <c r="CG35" s="1"/>
      <c r="CH35" s="34"/>
      <c r="CI35" s="1"/>
      <c r="CJ35" s="1"/>
      <c r="CK35" s="1"/>
      <c r="CL35" s="34"/>
      <c r="CM35" s="1"/>
      <c r="CN35" s="1"/>
      <c r="CO35" s="1"/>
      <c r="CP35" s="34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15" r:id="rId1"/>
  <headerFooter alignWithMargins="0">
    <oddHeader>&amp;L&amp;"Times New Roman,Bold"&amp;11Sektori i Informacionit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35"/>
  <sheetViews>
    <sheetView zoomScale="75" zoomScaleNormal="75" zoomScalePageLayoutView="0" workbookViewId="0" topLeftCell="A1">
      <pane xSplit="2" ySplit="10" topLeftCell="CA19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K32" sqref="CK32"/>
    </sheetView>
  </sheetViews>
  <sheetFormatPr defaultColWidth="9.140625" defaultRowHeight="12.75"/>
  <cols>
    <col min="1" max="1" width="4.421875" style="0" customWidth="1"/>
    <col min="2" max="2" width="33.7109375" style="0" bestFit="1" customWidth="1"/>
    <col min="88" max="88" width="9.7109375" style="0" customWidth="1"/>
    <col min="89" max="89" width="10.7109375" style="0" customWidth="1"/>
  </cols>
  <sheetData>
    <row r="1" spans="1:82" ht="15.75">
      <c r="A1" s="2"/>
      <c r="B1" s="3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5" t="s">
        <v>1</v>
      </c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15"/>
      <c r="CB1" s="15"/>
      <c r="CC1" s="17"/>
      <c r="CD1" s="15"/>
    </row>
    <row r="2" spans="1:82" ht="15.75">
      <c r="A2" s="4"/>
      <c r="B2" s="33" t="s">
        <v>160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23"/>
      <c r="CB2" s="2"/>
      <c r="CC2" s="23"/>
      <c r="CD2" s="23"/>
    </row>
    <row r="3" spans="1:95" ht="12.75">
      <c r="A3" s="5" t="s">
        <v>3</v>
      </c>
      <c r="B3" s="4"/>
      <c r="C3" s="3"/>
      <c r="D3" s="2" t="s">
        <v>63</v>
      </c>
      <c r="E3" s="3"/>
      <c r="F3" s="3"/>
      <c r="G3" s="3"/>
      <c r="H3" s="2" t="s">
        <v>161</v>
      </c>
      <c r="I3" s="3"/>
      <c r="J3" s="3"/>
      <c r="K3" s="3"/>
      <c r="L3" s="2" t="s">
        <v>162</v>
      </c>
      <c r="M3" s="3"/>
      <c r="N3" s="3"/>
      <c r="O3" s="3"/>
      <c r="P3" s="2" t="s">
        <v>163</v>
      </c>
      <c r="Q3" s="3"/>
      <c r="R3" s="3"/>
      <c r="S3" s="3"/>
      <c r="T3" s="2" t="s">
        <v>164</v>
      </c>
      <c r="U3" s="3"/>
      <c r="V3" s="3"/>
      <c r="W3" s="3"/>
      <c r="X3" s="2" t="s">
        <v>165</v>
      </c>
      <c r="Y3" s="3"/>
      <c r="Z3" s="3"/>
      <c r="AA3" s="3"/>
      <c r="AB3" s="2" t="s">
        <v>166</v>
      </c>
      <c r="AC3" s="3"/>
      <c r="AD3" s="3"/>
      <c r="AE3" s="3"/>
      <c r="AF3" s="2" t="s">
        <v>167</v>
      </c>
      <c r="AG3" s="3"/>
      <c r="AH3" s="3"/>
      <c r="AI3" s="3"/>
      <c r="AJ3" s="2" t="s">
        <v>168</v>
      </c>
      <c r="AK3" s="3"/>
      <c r="AL3" s="3"/>
      <c r="AM3" s="3"/>
      <c r="AN3" s="2" t="s">
        <v>169</v>
      </c>
      <c r="AO3" s="3"/>
      <c r="AP3" s="3"/>
      <c r="AQ3" s="3"/>
      <c r="AR3" s="2" t="s">
        <v>170</v>
      </c>
      <c r="AS3" s="3"/>
      <c r="AT3" s="3"/>
      <c r="AU3" s="3"/>
      <c r="AV3" s="2" t="s">
        <v>171</v>
      </c>
      <c r="AW3" s="3"/>
      <c r="AX3" s="3"/>
      <c r="AY3" s="3"/>
      <c r="AZ3" s="2" t="s">
        <v>172</v>
      </c>
      <c r="BA3" s="3"/>
      <c r="BB3" s="3"/>
      <c r="BC3" s="3"/>
      <c r="BD3" s="2" t="s">
        <v>173</v>
      </c>
      <c r="BE3" s="3"/>
      <c r="BF3" s="3"/>
      <c r="BG3" s="3"/>
      <c r="BH3" s="2" t="s">
        <v>174</v>
      </c>
      <c r="BI3" s="3"/>
      <c r="BJ3" s="3"/>
      <c r="BK3" s="3"/>
      <c r="BL3" s="2" t="s">
        <v>175</v>
      </c>
      <c r="BM3" s="3"/>
      <c r="BN3" s="3"/>
      <c r="BO3" s="3"/>
      <c r="BP3" s="2" t="s">
        <v>176</v>
      </c>
      <c r="BQ3" s="3"/>
      <c r="BR3" s="3"/>
      <c r="BS3" s="3"/>
      <c r="BT3" s="2" t="s">
        <v>177</v>
      </c>
      <c r="BU3" s="3"/>
      <c r="BV3" s="3"/>
      <c r="BW3" s="3"/>
      <c r="BX3" s="2" t="s">
        <v>178</v>
      </c>
      <c r="BY3" s="3"/>
      <c r="BZ3" s="3"/>
      <c r="CA3" s="6"/>
      <c r="CB3" s="2" t="s">
        <v>179</v>
      </c>
      <c r="CC3" s="3"/>
      <c r="CD3" s="6"/>
      <c r="CE3" s="6"/>
      <c r="CF3" s="2" t="s">
        <v>180</v>
      </c>
      <c r="CG3" s="3"/>
      <c r="CH3" s="6"/>
      <c r="CI3" s="6"/>
      <c r="CJ3" s="2" t="s">
        <v>25</v>
      </c>
      <c r="CK3" s="3"/>
      <c r="CL3" s="6"/>
      <c r="CM3" s="20"/>
      <c r="CN3" s="18"/>
      <c r="CO3" s="19"/>
      <c r="CP3" s="20"/>
      <c r="CQ3" s="21"/>
    </row>
    <row r="4" spans="1:95" ht="13.5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20"/>
      <c r="CN4" s="20"/>
      <c r="CO4" s="20"/>
      <c r="CP4" s="20"/>
      <c r="CQ4" s="21"/>
    </row>
    <row r="5" spans="1:95" ht="13.5" thickTop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23"/>
      <c r="CN5" s="23"/>
      <c r="CO5" s="23"/>
      <c r="CP5" s="23"/>
      <c r="CQ5" s="21"/>
    </row>
    <row r="6" spans="1:95" ht="12.75">
      <c r="A6" s="3"/>
      <c r="B6" s="4"/>
      <c r="C6" s="8" t="s">
        <v>26</v>
      </c>
      <c r="D6" s="8" t="s">
        <v>26</v>
      </c>
      <c r="E6" s="8" t="s">
        <v>26</v>
      </c>
      <c r="F6" s="8" t="s">
        <v>26</v>
      </c>
      <c r="G6" s="8" t="s">
        <v>26</v>
      </c>
      <c r="H6" s="8" t="s">
        <v>26</v>
      </c>
      <c r="I6" s="8" t="s">
        <v>26</v>
      </c>
      <c r="J6" s="8" t="s">
        <v>26</v>
      </c>
      <c r="K6" s="8" t="s">
        <v>26</v>
      </c>
      <c r="L6" s="8" t="s">
        <v>26</v>
      </c>
      <c r="M6" s="8" t="s">
        <v>26</v>
      </c>
      <c r="N6" s="8" t="s">
        <v>26</v>
      </c>
      <c r="O6" s="8" t="s">
        <v>26</v>
      </c>
      <c r="P6" s="8" t="s">
        <v>26</v>
      </c>
      <c r="Q6" s="8" t="s">
        <v>26</v>
      </c>
      <c r="R6" s="8" t="s">
        <v>26</v>
      </c>
      <c r="S6" s="8" t="s">
        <v>26</v>
      </c>
      <c r="T6" s="8" t="s">
        <v>26</v>
      </c>
      <c r="U6" s="8" t="s">
        <v>26</v>
      </c>
      <c r="V6" s="8" t="s">
        <v>26</v>
      </c>
      <c r="W6" s="8" t="s">
        <v>26</v>
      </c>
      <c r="X6" s="8" t="s">
        <v>26</v>
      </c>
      <c r="Y6" s="8" t="s">
        <v>26</v>
      </c>
      <c r="Z6" s="8" t="s">
        <v>26</v>
      </c>
      <c r="AA6" s="8" t="s">
        <v>26</v>
      </c>
      <c r="AB6" s="8" t="s">
        <v>26</v>
      </c>
      <c r="AC6" s="8" t="s">
        <v>26</v>
      </c>
      <c r="AD6" s="8" t="s">
        <v>26</v>
      </c>
      <c r="AE6" s="8" t="s">
        <v>26</v>
      </c>
      <c r="AF6" s="8" t="s">
        <v>26</v>
      </c>
      <c r="AG6" s="8" t="s">
        <v>26</v>
      </c>
      <c r="AH6" s="8" t="s">
        <v>26</v>
      </c>
      <c r="AI6" s="8" t="s">
        <v>26</v>
      </c>
      <c r="AJ6" s="8" t="s">
        <v>26</v>
      </c>
      <c r="AK6" s="8" t="s">
        <v>26</v>
      </c>
      <c r="AL6" s="8" t="s">
        <v>26</v>
      </c>
      <c r="AM6" s="8" t="s">
        <v>26</v>
      </c>
      <c r="AN6" s="8" t="s">
        <v>26</v>
      </c>
      <c r="AO6" s="8" t="s">
        <v>26</v>
      </c>
      <c r="AP6" s="8" t="s">
        <v>26</v>
      </c>
      <c r="AQ6" s="8" t="s">
        <v>26</v>
      </c>
      <c r="AR6" s="8" t="s">
        <v>26</v>
      </c>
      <c r="AS6" s="8" t="s">
        <v>26</v>
      </c>
      <c r="AT6" s="8" t="s">
        <v>26</v>
      </c>
      <c r="AU6" s="8" t="s">
        <v>26</v>
      </c>
      <c r="AV6" s="8" t="s">
        <v>26</v>
      </c>
      <c r="AW6" s="8" t="s">
        <v>26</v>
      </c>
      <c r="AX6" s="8" t="s">
        <v>26</v>
      </c>
      <c r="AY6" s="8" t="s">
        <v>26</v>
      </c>
      <c r="AZ6" s="8" t="s">
        <v>26</v>
      </c>
      <c r="BA6" s="8" t="s">
        <v>26</v>
      </c>
      <c r="BB6" s="8" t="s">
        <v>26</v>
      </c>
      <c r="BC6" s="8" t="s">
        <v>26</v>
      </c>
      <c r="BD6" s="8" t="s">
        <v>26</v>
      </c>
      <c r="BE6" s="8" t="s">
        <v>26</v>
      </c>
      <c r="BF6" s="8" t="s">
        <v>26</v>
      </c>
      <c r="BG6" s="8" t="s">
        <v>26</v>
      </c>
      <c r="BH6" s="8" t="s">
        <v>26</v>
      </c>
      <c r="BI6" s="8" t="s">
        <v>26</v>
      </c>
      <c r="BJ6" s="8" t="s">
        <v>26</v>
      </c>
      <c r="BK6" s="8" t="s">
        <v>26</v>
      </c>
      <c r="BL6" s="8" t="s">
        <v>26</v>
      </c>
      <c r="BM6" s="8" t="s">
        <v>26</v>
      </c>
      <c r="BN6" s="8" t="s">
        <v>26</v>
      </c>
      <c r="BO6" s="8" t="s">
        <v>26</v>
      </c>
      <c r="BP6" s="8" t="s">
        <v>26</v>
      </c>
      <c r="BQ6" s="8" t="s">
        <v>26</v>
      </c>
      <c r="BR6" s="8" t="s">
        <v>26</v>
      </c>
      <c r="BS6" s="8" t="s">
        <v>26</v>
      </c>
      <c r="BT6" s="8" t="s">
        <v>26</v>
      </c>
      <c r="BU6" s="8" t="s">
        <v>26</v>
      </c>
      <c r="BV6" s="8" t="s">
        <v>26</v>
      </c>
      <c r="BW6" s="8" t="s">
        <v>26</v>
      </c>
      <c r="BX6" s="8" t="s">
        <v>26</v>
      </c>
      <c r="BY6" s="8" t="s">
        <v>26</v>
      </c>
      <c r="BZ6" s="8" t="s">
        <v>26</v>
      </c>
      <c r="CA6" s="8" t="s">
        <v>27</v>
      </c>
      <c r="CB6" s="8" t="s">
        <v>27</v>
      </c>
      <c r="CC6" s="8" t="s">
        <v>26</v>
      </c>
      <c r="CD6" s="8" t="s">
        <v>26</v>
      </c>
      <c r="CE6" s="8" t="s">
        <v>27</v>
      </c>
      <c r="CF6" s="8" t="s">
        <v>27</v>
      </c>
      <c r="CG6" s="8" t="s">
        <v>26</v>
      </c>
      <c r="CH6" s="8" t="s">
        <v>26</v>
      </c>
      <c r="CI6" s="8" t="s">
        <v>27</v>
      </c>
      <c r="CJ6" s="8" t="s">
        <v>27</v>
      </c>
      <c r="CK6" s="8" t="s">
        <v>26</v>
      </c>
      <c r="CL6" s="8" t="s">
        <v>26</v>
      </c>
      <c r="CM6" s="22"/>
      <c r="CN6" s="22"/>
      <c r="CO6" s="22"/>
      <c r="CP6" s="22"/>
      <c r="CQ6" s="21"/>
    </row>
    <row r="7" spans="1:95" ht="12.75">
      <c r="A7" s="4"/>
      <c r="B7" s="9" t="s">
        <v>28</v>
      </c>
      <c r="C7" s="8" t="s">
        <v>29</v>
      </c>
      <c r="D7" s="8" t="s">
        <v>29</v>
      </c>
      <c r="E7" s="8" t="s">
        <v>29</v>
      </c>
      <c r="F7" s="8" t="s">
        <v>30</v>
      </c>
      <c r="G7" s="8" t="s">
        <v>29</v>
      </c>
      <c r="H7" s="8" t="s">
        <v>29</v>
      </c>
      <c r="I7" s="8" t="s">
        <v>29</v>
      </c>
      <c r="J7" s="8" t="s">
        <v>30</v>
      </c>
      <c r="K7" s="8" t="s">
        <v>29</v>
      </c>
      <c r="L7" s="8" t="s">
        <v>29</v>
      </c>
      <c r="M7" s="8" t="s">
        <v>29</v>
      </c>
      <c r="N7" s="8" t="s">
        <v>30</v>
      </c>
      <c r="O7" s="8" t="s">
        <v>29</v>
      </c>
      <c r="P7" s="8" t="s">
        <v>29</v>
      </c>
      <c r="Q7" s="8" t="s">
        <v>29</v>
      </c>
      <c r="R7" s="8" t="s">
        <v>30</v>
      </c>
      <c r="S7" s="8" t="s">
        <v>29</v>
      </c>
      <c r="T7" s="8" t="s">
        <v>29</v>
      </c>
      <c r="U7" s="8" t="s">
        <v>29</v>
      </c>
      <c r="V7" s="8" t="s">
        <v>30</v>
      </c>
      <c r="W7" s="8" t="s">
        <v>29</v>
      </c>
      <c r="X7" s="8" t="s">
        <v>29</v>
      </c>
      <c r="Y7" s="8" t="s">
        <v>29</v>
      </c>
      <c r="Z7" s="8" t="s">
        <v>30</v>
      </c>
      <c r="AA7" s="8" t="s">
        <v>29</v>
      </c>
      <c r="AB7" s="8" t="s">
        <v>29</v>
      </c>
      <c r="AC7" s="8" t="s">
        <v>29</v>
      </c>
      <c r="AD7" s="8" t="s">
        <v>30</v>
      </c>
      <c r="AE7" s="8" t="s">
        <v>29</v>
      </c>
      <c r="AF7" s="8" t="s">
        <v>29</v>
      </c>
      <c r="AG7" s="8" t="s">
        <v>29</v>
      </c>
      <c r="AH7" s="8" t="s">
        <v>30</v>
      </c>
      <c r="AI7" s="8" t="s">
        <v>29</v>
      </c>
      <c r="AJ7" s="8" t="s">
        <v>29</v>
      </c>
      <c r="AK7" s="8" t="s">
        <v>29</v>
      </c>
      <c r="AL7" s="8" t="s">
        <v>30</v>
      </c>
      <c r="AM7" s="8" t="s">
        <v>29</v>
      </c>
      <c r="AN7" s="8" t="s">
        <v>29</v>
      </c>
      <c r="AO7" s="8" t="s">
        <v>29</v>
      </c>
      <c r="AP7" s="8" t="s">
        <v>30</v>
      </c>
      <c r="AQ7" s="8" t="s">
        <v>29</v>
      </c>
      <c r="AR7" s="8" t="s">
        <v>29</v>
      </c>
      <c r="AS7" s="8" t="s">
        <v>29</v>
      </c>
      <c r="AT7" s="8" t="s">
        <v>30</v>
      </c>
      <c r="AU7" s="8" t="s">
        <v>29</v>
      </c>
      <c r="AV7" s="8" t="s">
        <v>29</v>
      </c>
      <c r="AW7" s="8" t="s">
        <v>29</v>
      </c>
      <c r="AX7" s="8" t="s">
        <v>30</v>
      </c>
      <c r="AY7" s="8" t="s">
        <v>29</v>
      </c>
      <c r="AZ7" s="8" t="s">
        <v>29</v>
      </c>
      <c r="BA7" s="8" t="s">
        <v>29</v>
      </c>
      <c r="BB7" s="8" t="s">
        <v>30</v>
      </c>
      <c r="BC7" s="8" t="s">
        <v>29</v>
      </c>
      <c r="BD7" s="8" t="s">
        <v>29</v>
      </c>
      <c r="BE7" s="8" t="s">
        <v>29</v>
      </c>
      <c r="BF7" s="8" t="s">
        <v>30</v>
      </c>
      <c r="BG7" s="8" t="s">
        <v>29</v>
      </c>
      <c r="BH7" s="8" t="s">
        <v>29</v>
      </c>
      <c r="BI7" s="8" t="s">
        <v>29</v>
      </c>
      <c r="BJ7" s="8" t="s">
        <v>30</v>
      </c>
      <c r="BK7" s="8" t="s">
        <v>29</v>
      </c>
      <c r="BL7" s="8" t="s">
        <v>29</v>
      </c>
      <c r="BM7" s="8" t="s">
        <v>29</v>
      </c>
      <c r="BN7" s="8" t="s">
        <v>30</v>
      </c>
      <c r="BO7" s="8" t="s">
        <v>29</v>
      </c>
      <c r="BP7" s="8" t="s">
        <v>29</v>
      </c>
      <c r="BQ7" s="8" t="s">
        <v>29</v>
      </c>
      <c r="BR7" s="8" t="s">
        <v>30</v>
      </c>
      <c r="BS7" s="8" t="s">
        <v>29</v>
      </c>
      <c r="BT7" s="8" t="s">
        <v>29</v>
      </c>
      <c r="BU7" s="8" t="s">
        <v>29</v>
      </c>
      <c r="BV7" s="8" t="s">
        <v>30</v>
      </c>
      <c r="BW7" s="8" t="s">
        <v>29</v>
      </c>
      <c r="BX7" s="8" t="s">
        <v>29</v>
      </c>
      <c r="BY7" s="8" t="s">
        <v>29</v>
      </c>
      <c r="BZ7" s="8" t="s">
        <v>30</v>
      </c>
      <c r="CA7" s="8" t="s">
        <v>31</v>
      </c>
      <c r="CB7" s="8" t="s">
        <v>32</v>
      </c>
      <c r="CC7" s="8" t="s">
        <v>32</v>
      </c>
      <c r="CD7" s="8" t="s">
        <v>30</v>
      </c>
      <c r="CE7" s="8" t="s">
        <v>31</v>
      </c>
      <c r="CF7" s="8" t="s">
        <v>32</v>
      </c>
      <c r="CG7" s="8" t="s">
        <v>32</v>
      </c>
      <c r="CH7" s="8" t="s">
        <v>30</v>
      </c>
      <c r="CI7" s="8" t="s">
        <v>31</v>
      </c>
      <c r="CJ7" s="8" t="s">
        <v>32</v>
      </c>
      <c r="CK7" s="8" t="s">
        <v>32</v>
      </c>
      <c r="CL7" s="8" t="s">
        <v>30</v>
      </c>
      <c r="CM7" s="22"/>
      <c r="CN7" s="22"/>
      <c r="CO7" s="22"/>
      <c r="CP7" s="22"/>
      <c r="CQ7" s="21"/>
    </row>
    <row r="8" spans="1:95" ht="12.75">
      <c r="A8" s="4"/>
      <c r="B8" s="4"/>
      <c r="C8" s="8" t="s">
        <v>33</v>
      </c>
      <c r="D8" s="8" t="s">
        <v>32</v>
      </c>
      <c r="E8" s="8" t="s">
        <v>32</v>
      </c>
      <c r="F8" s="8" t="s">
        <v>34</v>
      </c>
      <c r="G8" s="8" t="s">
        <v>33</v>
      </c>
      <c r="H8" s="8" t="s">
        <v>32</v>
      </c>
      <c r="I8" s="8" t="s">
        <v>32</v>
      </c>
      <c r="J8" s="8" t="s">
        <v>34</v>
      </c>
      <c r="K8" s="8" t="s">
        <v>33</v>
      </c>
      <c r="L8" s="8" t="s">
        <v>32</v>
      </c>
      <c r="M8" s="8" t="s">
        <v>32</v>
      </c>
      <c r="N8" s="8" t="s">
        <v>34</v>
      </c>
      <c r="O8" s="8" t="s">
        <v>33</v>
      </c>
      <c r="P8" s="8" t="s">
        <v>32</v>
      </c>
      <c r="Q8" s="8" t="s">
        <v>32</v>
      </c>
      <c r="R8" s="8" t="s">
        <v>34</v>
      </c>
      <c r="S8" s="8" t="s">
        <v>33</v>
      </c>
      <c r="T8" s="8" t="s">
        <v>32</v>
      </c>
      <c r="U8" s="8" t="s">
        <v>32</v>
      </c>
      <c r="V8" s="8" t="s">
        <v>34</v>
      </c>
      <c r="W8" s="8" t="s">
        <v>33</v>
      </c>
      <c r="X8" s="8" t="s">
        <v>32</v>
      </c>
      <c r="Y8" s="8" t="s">
        <v>32</v>
      </c>
      <c r="Z8" s="8" t="s">
        <v>34</v>
      </c>
      <c r="AA8" s="8" t="s">
        <v>33</v>
      </c>
      <c r="AB8" s="8" t="s">
        <v>32</v>
      </c>
      <c r="AC8" s="8" t="s">
        <v>32</v>
      </c>
      <c r="AD8" s="8" t="s">
        <v>34</v>
      </c>
      <c r="AE8" s="8" t="s">
        <v>33</v>
      </c>
      <c r="AF8" s="8" t="s">
        <v>32</v>
      </c>
      <c r="AG8" s="8" t="s">
        <v>32</v>
      </c>
      <c r="AH8" s="8" t="s">
        <v>34</v>
      </c>
      <c r="AI8" s="8" t="s">
        <v>33</v>
      </c>
      <c r="AJ8" s="8" t="s">
        <v>32</v>
      </c>
      <c r="AK8" s="8" t="s">
        <v>32</v>
      </c>
      <c r="AL8" s="8" t="s">
        <v>34</v>
      </c>
      <c r="AM8" s="8" t="s">
        <v>33</v>
      </c>
      <c r="AN8" s="8" t="s">
        <v>32</v>
      </c>
      <c r="AO8" s="8" t="s">
        <v>32</v>
      </c>
      <c r="AP8" s="8" t="s">
        <v>34</v>
      </c>
      <c r="AQ8" s="8" t="s">
        <v>33</v>
      </c>
      <c r="AR8" s="8" t="s">
        <v>32</v>
      </c>
      <c r="AS8" s="8" t="s">
        <v>32</v>
      </c>
      <c r="AT8" s="8" t="s">
        <v>34</v>
      </c>
      <c r="AU8" s="8" t="s">
        <v>33</v>
      </c>
      <c r="AV8" s="8" t="s">
        <v>32</v>
      </c>
      <c r="AW8" s="8" t="s">
        <v>32</v>
      </c>
      <c r="AX8" s="8" t="s">
        <v>34</v>
      </c>
      <c r="AY8" s="8" t="s">
        <v>33</v>
      </c>
      <c r="AZ8" s="8" t="s">
        <v>32</v>
      </c>
      <c r="BA8" s="8" t="s">
        <v>32</v>
      </c>
      <c r="BB8" s="8" t="s">
        <v>34</v>
      </c>
      <c r="BC8" s="8" t="s">
        <v>33</v>
      </c>
      <c r="BD8" s="8" t="s">
        <v>32</v>
      </c>
      <c r="BE8" s="8" t="s">
        <v>32</v>
      </c>
      <c r="BF8" s="8" t="s">
        <v>34</v>
      </c>
      <c r="BG8" s="8" t="s">
        <v>33</v>
      </c>
      <c r="BH8" s="8" t="s">
        <v>32</v>
      </c>
      <c r="BI8" s="8" t="s">
        <v>32</v>
      </c>
      <c r="BJ8" s="8" t="s">
        <v>34</v>
      </c>
      <c r="BK8" s="8" t="s">
        <v>33</v>
      </c>
      <c r="BL8" s="8" t="s">
        <v>32</v>
      </c>
      <c r="BM8" s="8" t="s">
        <v>32</v>
      </c>
      <c r="BN8" s="8" t="s">
        <v>34</v>
      </c>
      <c r="BO8" s="8" t="s">
        <v>33</v>
      </c>
      <c r="BP8" s="8" t="s">
        <v>32</v>
      </c>
      <c r="BQ8" s="8" t="s">
        <v>32</v>
      </c>
      <c r="BR8" s="8" t="s">
        <v>34</v>
      </c>
      <c r="BS8" s="8" t="s">
        <v>33</v>
      </c>
      <c r="BT8" s="8" t="s">
        <v>32</v>
      </c>
      <c r="BU8" s="8" t="s">
        <v>32</v>
      </c>
      <c r="BV8" s="8" t="s">
        <v>34</v>
      </c>
      <c r="BW8" s="8" t="s">
        <v>33</v>
      </c>
      <c r="BX8" s="8" t="s">
        <v>32</v>
      </c>
      <c r="BY8" s="8" t="s">
        <v>32</v>
      </c>
      <c r="BZ8" s="8" t="s">
        <v>34</v>
      </c>
      <c r="CA8" s="8" t="s">
        <v>29</v>
      </c>
      <c r="CB8" s="8" t="s">
        <v>35</v>
      </c>
      <c r="CC8" s="8" t="s">
        <v>35</v>
      </c>
      <c r="CD8" s="8" t="s">
        <v>34</v>
      </c>
      <c r="CE8" s="8" t="s">
        <v>29</v>
      </c>
      <c r="CF8" s="8" t="s">
        <v>35</v>
      </c>
      <c r="CG8" s="8" t="s">
        <v>35</v>
      </c>
      <c r="CH8" s="8" t="s">
        <v>34</v>
      </c>
      <c r="CI8" s="8" t="s">
        <v>29</v>
      </c>
      <c r="CJ8" s="8" t="s">
        <v>35</v>
      </c>
      <c r="CK8" s="8" t="s">
        <v>35</v>
      </c>
      <c r="CL8" s="8" t="s">
        <v>34</v>
      </c>
      <c r="CM8" s="22"/>
      <c r="CN8" s="22"/>
      <c r="CO8" s="22"/>
      <c r="CP8" s="22"/>
      <c r="CQ8" s="21"/>
    </row>
    <row r="9" spans="1:95" ht="12.75">
      <c r="A9" s="4"/>
      <c r="B9" s="4"/>
      <c r="C9" s="4"/>
      <c r="D9" s="4"/>
      <c r="E9" s="8" t="s">
        <v>36</v>
      </c>
      <c r="F9" s="4"/>
      <c r="G9" s="4"/>
      <c r="H9" s="4"/>
      <c r="I9" s="8" t="s">
        <v>36</v>
      </c>
      <c r="J9" s="4"/>
      <c r="K9" s="4"/>
      <c r="L9" s="4"/>
      <c r="M9" s="8" t="s">
        <v>36</v>
      </c>
      <c r="N9" s="4"/>
      <c r="O9" s="4"/>
      <c r="P9" s="4"/>
      <c r="Q9" s="8" t="s">
        <v>36</v>
      </c>
      <c r="R9" s="4"/>
      <c r="S9" s="4"/>
      <c r="T9" s="4"/>
      <c r="U9" s="8" t="s">
        <v>36</v>
      </c>
      <c r="V9" s="4"/>
      <c r="W9" s="4"/>
      <c r="X9" s="4"/>
      <c r="Y9" s="8" t="s">
        <v>36</v>
      </c>
      <c r="Z9" s="4"/>
      <c r="AA9" s="4"/>
      <c r="AB9" s="4"/>
      <c r="AC9" s="8" t="s">
        <v>36</v>
      </c>
      <c r="AD9" s="5" t="s">
        <v>37</v>
      </c>
      <c r="AE9" s="4"/>
      <c r="AF9" s="4"/>
      <c r="AG9" s="8" t="s">
        <v>36</v>
      </c>
      <c r="AH9" s="5" t="s">
        <v>37</v>
      </c>
      <c r="AI9" s="4"/>
      <c r="AJ9" s="4"/>
      <c r="AK9" s="8" t="s">
        <v>36</v>
      </c>
      <c r="AL9" s="4"/>
      <c r="AM9" s="4"/>
      <c r="AN9" s="4"/>
      <c r="AO9" s="8" t="s">
        <v>36</v>
      </c>
      <c r="AP9" s="4"/>
      <c r="AQ9" s="4"/>
      <c r="AR9" s="4"/>
      <c r="AS9" s="8" t="s">
        <v>36</v>
      </c>
      <c r="AT9" s="4"/>
      <c r="AU9" s="4"/>
      <c r="AV9" s="4"/>
      <c r="AW9" s="8" t="s">
        <v>36</v>
      </c>
      <c r="AX9" s="4"/>
      <c r="AY9" s="4"/>
      <c r="AZ9" s="4"/>
      <c r="BA9" s="8" t="s">
        <v>36</v>
      </c>
      <c r="BB9" s="4"/>
      <c r="BC9" s="4"/>
      <c r="BD9" s="4"/>
      <c r="BE9" s="8" t="s">
        <v>36</v>
      </c>
      <c r="BF9" s="4"/>
      <c r="BG9" s="4"/>
      <c r="BH9" s="4"/>
      <c r="BI9" s="8" t="s">
        <v>36</v>
      </c>
      <c r="BJ9" s="4"/>
      <c r="BK9" s="4"/>
      <c r="BL9" s="4"/>
      <c r="BM9" s="8" t="s">
        <v>36</v>
      </c>
      <c r="BN9" s="4"/>
      <c r="BO9" s="4"/>
      <c r="BP9" s="4"/>
      <c r="BQ9" s="8" t="s">
        <v>36</v>
      </c>
      <c r="BR9" s="4"/>
      <c r="BS9" s="4"/>
      <c r="BT9" s="4"/>
      <c r="BU9" s="8" t="s">
        <v>36</v>
      </c>
      <c r="BV9" s="4"/>
      <c r="BW9" s="4"/>
      <c r="BX9" s="4"/>
      <c r="BY9" s="8" t="s">
        <v>36</v>
      </c>
      <c r="BZ9" s="4"/>
      <c r="CA9" s="8" t="s">
        <v>33</v>
      </c>
      <c r="CB9" s="8" t="s">
        <v>31</v>
      </c>
      <c r="CC9" s="8" t="s">
        <v>31</v>
      </c>
      <c r="CD9" s="4"/>
      <c r="CE9" s="8" t="s">
        <v>33</v>
      </c>
      <c r="CF9" s="8" t="s">
        <v>31</v>
      </c>
      <c r="CG9" s="8" t="s">
        <v>31</v>
      </c>
      <c r="CH9" s="4"/>
      <c r="CI9" s="8" t="s">
        <v>33</v>
      </c>
      <c r="CJ9" s="8" t="s">
        <v>31</v>
      </c>
      <c r="CK9" s="8" t="s">
        <v>31</v>
      </c>
      <c r="CL9" s="4"/>
      <c r="CM9" s="22"/>
      <c r="CN9" s="22"/>
      <c r="CO9" s="22"/>
      <c r="CP9" s="23"/>
      <c r="CQ9" s="21"/>
    </row>
    <row r="10" spans="1:95" ht="13.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8" t="s">
        <v>36</v>
      </c>
      <c r="CD10" s="4"/>
      <c r="CE10" s="4"/>
      <c r="CF10" s="4"/>
      <c r="CG10" s="8" t="s">
        <v>36</v>
      </c>
      <c r="CH10" s="4"/>
      <c r="CI10" s="4"/>
      <c r="CJ10" s="4"/>
      <c r="CK10" s="8" t="s">
        <v>36</v>
      </c>
      <c r="CL10" s="4"/>
      <c r="CM10" s="23"/>
      <c r="CN10" s="23"/>
      <c r="CO10" s="22"/>
      <c r="CP10" s="23"/>
      <c r="CQ10" s="21"/>
    </row>
    <row r="11" spans="1:95" ht="13.5" thickTop="1">
      <c r="A11" s="10" t="s">
        <v>3</v>
      </c>
      <c r="B11" s="7"/>
      <c r="C11" s="31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23"/>
      <c r="CN11" s="23"/>
      <c r="CO11" s="23"/>
      <c r="CP11" s="23"/>
      <c r="CQ11" s="21"/>
    </row>
    <row r="12" spans="1:95" ht="15.75">
      <c r="A12" s="26">
        <v>1</v>
      </c>
      <c r="B12" s="64" t="s">
        <v>38</v>
      </c>
      <c r="C12" s="4">
        <v>2.3045</v>
      </c>
      <c r="D12" s="16">
        <v>64.84</v>
      </c>
      <c r="E12" s="16">
        <f>D$34/C12</f>
        <v>64.83835973096116</v>
      </c>
      <c r="F12" s="4">
        <v>65.15</v>
      </c>
      <c r="G12" s="4">
        <v>2.2942</v>
      </c>
      <c r="H12" s="16">
        <v>64.99</v>
      </c>
      <c r="I12" s="16">
        <f>H$34/G12</f>
        <v>64.98561590096766</v>
      </c>
      <c r="J12" s="4">
        <v>65.22</v>
      </c>
      <c r="K12" s="4">
        <v>2.3099</v>
      </c>
      <c r="L12" s="16">
        <v>64.67</v>
      </c>
      <c r="M12" s="16">
        <f>L$34/K12</f>
        <v>64.66946621065847</v>
      </c>
      <c r="N12" s="4">
        <v>64.94</v>
      </c>
      <c r="O12" s="4">
        <v>2.2915</v>
      </c>
      <c r="P12" s="16">
        <v>64.98</v>
      </c>
      <c r="Q12" s="16">
        <f>P$34/O12</f>
        <v>64.98363517346716</v>
      </c>
      <c r="R12" s="4">
        <v>65.08</v>
      </c>
      <c r="S12" s="4">
        <v>2.3037</v>
      </c>
      <c r="T12" s="16">
        <v>64.68</v>
      </c>
      <c r="U12" s="16">
        <f>T$34/S12</f>
        <v>64.67856057646395</v>
      </c>
      <c r="V12" s="4">
        <v>65</v>
      </c>
      <c r="W12" s="12">
        <v>2.3004</v>
      </c>
      <c r="X12" s="16">
        <v>64.92</v>
      </c>
      <c r="Y12" s="16">
        <f>X$34/W12</f>
        <v>64.92349156668406</v>
      </c>
      <c r="Z12" s="4">
        <v>65.02</v>
      </c>
      <c r="AA12" s="4">
        <v>2.304</v>
      </c>
      <c r="AB12" s="16">
        <v>64.59</v>
      </c>
      <c r="AC12" s="16">
        <f>AB$34/AA12</f>
        <v>64.58333333333334</v>
      </c>
      <c r="AD12" s="4">
        <v>65.03</v>
      </c>
      <c r="AE12" s="4">
        <v>2.3037</v>
      </c>
      <c r="AF12" s="16">
        <v>64.75</v>
      </c>
      <c r="AG12" s="16">
        <f>AF$34/AE12</f>
        <v>64.74801406433129</v>
      </c>
      <c r="AH12" s="4">
        <v>64.89</v>
      </c>
      <c r="AI12" s="4">
        <v>2.2894</v>
      </c>
      <c r="AJ12" s="16">
        <v>64.94</v>
      </c>
      <c r="AK12" s="16">
        <f>AJ$34/AI12</f>
        <v>64.93841181095483</v>
      </c>
      <c r="AL12" s="4">
        <v>65.06</v>
      </c>
      <c r="AM12" s="4">
        <v>2.2942</v>
      </c>
      <c r="AN12" s="16">
        <v>64.78</v>
      </c>
      <c r="AO12" s="16">
        <f>AN$34/AM12</f>
        <v>64.78511027809257</v>
      </c>
      <c r="AP12" s="4">
        <v>64.96</v>
      </c>
      <c r="AQ12" s="4">
        <v>2.2705</v>
      </c>
      <c r="AR12" s="16">
        <v>65.15</v>
      </c>
      <c r="AS12" s="16">
        <f>AR$34/AQ12</f>
        <v>65.15304998898921</v>
      </c>
      <c r="AT12" s="4">
        <v>65.22</v>
      </c>
      <c r="AU12" s="4">
        <v>2.2726</v>
      </c>
      <c r="AV12" s="16">
        <v>65.13</v>
      </c>
      <c r="AW12" s="16">
        <f>AV$34/AU12</f>
        <v>65.12804717064155</v>
      </c>
      <c r="AX12" s="4">
        <v>65.31</v>
      </c>
      <c r="AY12" s="4">
        <v>2.283</v>
      </c>
      <c r="AZ12" s="16">
        <v>64.87</v>
      </c>
      <c r="BA12" s="16">
        <f>AZ$34/AY12</f>
        <v>64.86640385457731</v>
      </c>
      <c r="BB12" s="4">
        <v>65.3</v>
      </c>
      <c r="BC12" s="4">
        <v>2.2983</v>
      </c>
      <c r="BD12" s="16">
        <v>64.84</v>
      </c>
      <c r="BE12" s="16">
        <f>BD$34/BC12</f>
        <v>64.8392289953444</v>
      </c>
      <c r="BF12" s="4">
        <v>65.17</v>
      </c>
      <c r="BG12" s="4">
        <v>2.2937</v>
      </c>
      <c r="BH12" s="16">
        <v>64.78</v>
      </c>
      <c r="BI12" s="16">
        <f>BH$34/BG12</f>
        <v>64.78179360858003</v>
      </c>
      <c r="BJ12" s="4">
        <v>65.19</v>
      </c>
      <c r="BK12" s="4">
        <v>2.2905</v>
      </c>
      <c r="BL12" s="16">
        <v>64.94</v>
      </c>
      <c r="BM12" s="16">
        <f>BL$34/BK12</f>
        <v>64.94215236847849</v>
      </c>
      <c r="BN12" s="4">
        <v>65.03</v>
      </c>
      <c r="BO12" s="4">
        <v>2.2726</v>
      </c>
      <c r="BP12" s="16">
        <v>65.04</v>
      </c>
      <c r="BQ12" s="16">
        <f>BP$34/BO12</f>
        <v>65.04444248877937</v>
      </c>
      <c r="BR12" s="4">
        <v>65.22</v>
      </c>
      <c r="BS12" s="4">
        <v>2.2679</v>
      </c>
      <c r="BT12" s="16">
        <v>64.94</v>
      </c>
      <c r="BU12" s="16">
        <f>BT$34/BS12</f>
        <v>64.94113497067772</v>
      </c>
      <c r="BV12" s="4">
        <v>65.19</v>
      </c>
      <c r="BW12" s="4">
        <v>2.274</v>
      </c>
      <c r="BX12" s="16">
        <v>64.87</v>
      </c>
      <c r="BY12" s="16">
        <f>BX$34/BW12</f>
        <v>64.8636763412489</v>
      </c>
      <c r="BZ12" s="4">
        <v>65.03</v>
      </c>
      <c r="CA12" s="4">
        <v>2.2871</v>
      </c>
      <c r="CB12" s="16">
        <v>64.58</v>
      </c>
      <c r="CC12" s="16">
        <f>CB$34/CA12</f>
        <v>64.57522626907436</v>
      </c>
      <c r="CD12" s="4">
        <v>64.9</v>
      </c>
      <c r="CE12" s="4">
        <v>2.3053</v>
      </c>
      <c r="CF12" s="16">
        <v>64.45</v>
      </c>
      <c r="CG12" s="16">
        <f>CF$34/CE12</f>
        <v>64.45148136901922</v>
      </c>
      <c r="CH12" s="4">
        <v>64.7</v>
      </c>
      <c r="CI12" s="4">
        <f aca="true" t="shared" si="0" ref="CI12:CI34">(C12+G12+K12+O12+S12+W12+AA12+AE12+AI12+AM12+AQ12+AU12+AY12+BC12+BG12+BK12+BO12+BS12+BW12+CA12+CE12)/21</f>
        <v>2.2910000000000004</v>
      </c>
      <c r="CJ12" s="4">
        <f aca="true" t="shared" si="1" ref="CJ12:CJ34">(D12+H12+L12+P12+T12+X12+AB12+AF12+AJ12+AN12+AR12+AV12+AZ12+BD12+BH12+BL12+BP12+BT12+BX12+CB12+CF12)/21</f>
        <v>64.84428571428573</v>
      </c>
      <c r="CK12" s="4">
        <f aca="true" t="shared" si="2" ref="CK12:CL34">(E12+I12+M12+Q12+U12+Y12+AC12+AG12+AK12+AO12+AS12+AW12+BA12+BE12+BI12+BM12+BQ12+BU12+BY12+CC12+CG12)/21</f>
        <v>64.84383981292024</v>
      </c>
      <c r="CL12" s="4">
        <f>(F12+J12+N12+R12+V12+Z12+AD12+AH12+AL12+AP12+AT12+AX12+BB12+BF12+BJ12+BN12+BR12+BV12+BZ12+CD12+CH12)/21</f>
        <v>65.07666666666667</v>
      </c>
      <c r="CM12" s="23"/>
      <c r="CN12" s="42"/>
      <c r="CO12" s="42"/>
      <c r="CP12" s="23"/>
      <c r="CQ12" s="21"/>
    </row>
    <row r="13" spans="1:95" ht="15.75">
      <c r="A13" s="26">
        <v>2</v>
      </c>
      <c r="B13" s="64" t="s">
        <v>39</v>
      </c>
      <c r="C13" s="4">
        <v>118.8</v>
      </c>
      <c r="D13" s="16">
        <v>125.78</v>
      </c>
      <c r="E13" s="16">
        <f>D$34/C13*100</f>
        <v>125.77441077441077</v>
      </c>
      <c r="F13" s="4"/>
      <c r="G13" s="4">
        <v>119.8</v>
      </c>
      <c r="H13" s="16">
        <v>124.45</v>
      </c>
      <c r="I13" s="16">
        <f>H$34/G13*100</f>
        <v>124.44908180300503</v>
      </c>
      <c r="J13" s="4"/>
      <c r="K13" s="4">
        <v>119.8</v>
      </c>
      <c r="L13" s="16">
        <v>124.69</v>
      </c>
      <c r="M13" s="16">
        <f>L$34/K13*100</f>
        <v>124.69115191986644</v>
      </c>
      <c r="N13" s="4"/>
      <c r="O13" s="4">
        <v>120.46</v>
      </c>
      <c r="P13" s="16">
        <v>123.62</v>
      </c>
      <c r="Q13" s="16">
        <f>P$34/O13*100</f>
        <v>123.61779843931595</v>
      </c>
      <c r="R13" s="4"/>
      <c r="S13" s="4">
        <v>119.93</v>
      </c>
      <c r="T13" s="16">
        <v>124.24</v>
      </c>
      <c r="U13" s="16">
        <f>T$34/S13*100</f>
        <v>124.2391394980405</v>
      </c>
      <c r="V13" s="4"/>
      <c r="W13" s="4">
        <v>120.52</v>
      </c>
      <c r="X13" s="16">
        <v>123.92</v>
      </c>
      <c r="Y13" s="16">
        <f>X$34/W13*100</f>
        <v>123.9213408562894</v>
      </c>
      <c r="Z13" s="4"/>
      <c r="AA13" s="4">
        <v>121.38</v>
      </c>
      <c r="AB13" s="16">
        <v>122.59</v>
      </c>
      <c r="AC13" s="16">
        <f>AB$34/AA13*100</f>
        <v>122.59021255561049</v>
      </c>
      <c r="AD13" s="4"/>
      <c r="AE13" s="4">
        <v>121.78</v>
      </c>
      <c r="AF13" s="16">
        <v>122.48</v>
      </c>
      <c r="AG13" s="16">
        <f>AF$34/AE13*100</f>
        <v>122.48316636557726</v>
      </c>
      <c r="AH13" s="4"/>
      <c r="AI13" s="4">
        <v>122.06</v>
      </c>
      <c r="AJ13" s="16">
        <v>121.8</v>
      </c>
      <c r="AK13" s="16">
        <f>AJ$34/AI13*100</f>
        <v>121.80075372767489</v>
      </c>
      <c r="AL13" s="4"/>
      <c r="AM13" s="4">
        <v>122</v>
      </c>
      <c r="AN13" s="16">
        <v>121.82</v>
      </c>
      <c r="AO13" s="16">
        <f>AN$34/AM13*100</f>
        <v>121.82786885245902</v>
      </c>
      <c r="AP13" s="4"/>
      <c r="AQ13" s="4">
        <v>122.37</v>
      </c>
      <c r="AR13" s="16">
        <v>120.89</v>
      </c>
      <c r="AS13" s="16">
        <f>AR$34/AQ13*100</f>
        <v>120.88747241971072</v>
      </c>
      <c r="AT13" s="4"/>
      <c r="AU13" s="4">
        <v>123.33</v>
      </c>
      <c r="AV13" s="16">
        <v>120.01</v>
      </c>
      <c r="AW13" s="16">
        <f>AV$34/AU13*100</f>
        <v>120.0113516581529</v>
      </c>
      <c r="AX13" s="4"/>
      <c r="AY13" s="4">
        <v>122.86</v>
      </c>
      <c r="AZ13" s="16">
        <v>120.53</v>
      </c>
      <c r="BA13" s="16">
        <f>AZ$34/AY13*100</f>
        <v>120.5355689402572</v>
      </c>
      <c r="BB13" s="4"/>
      <c r="BC13" s="4">
        <v>123.42</v>
      </c>
      <c r="BD13" s="16">
        <v>120.74</v>
      </c>
      <c r="BE13" s="16">
        <f>BD$34/BC13*100</f>
        <v>120.74218116998867</v>
      </c>
      <c r="BF13" s="4"/>
      <c r="BG13" s="4">
        <v>124.37</v>
      </c>
      <c r="BH13" s="16">
        <v>119.47</v>
      </c>
      <c r="BI13" s="16">
        <f>BH$34/BG13*100</f>
        <v>119.47414971456138</v>
      </c>
      <c r="BJ13" s="4"/>
      <c r="BK13" s="4">
        <v>124.14</v>
      </c>
      <c r="BL13" s="16">
        <v>119.82</v>
      </c>
      <c r="BM13" s="16">
        <f>BL$34/BK13*100</f>
        <v>119.82439181569195</v>
      </c>
      <c r="BN13" s="4"/>
      <c r="BO13" s="4">
        <v>123.99</v>
      </c>
      <c r="BP13" s="16">
        <v>119.22</v>
      </c>
      <c r="BQ13" s="16">
        <f>BP$34/BO13*100</f>
        <v>119.2192918783773</v>
      </c>
      <c r="BR13" s="4"/>
      <c r="BS13" s="4">
        <v>123.73</v>
      </c>
      <c r="BT13" s="16">
        <v>119.04</v>
      </c>
      <c r="BU13" s="16">
        <f>BT$34/BS13*100</f>
        <v>119.03337913198094</v>
      </c>
      <c r="BV13" s="4"/>
      <c r="BW13" s="4">
        <v>124.04</v>
      </c>
      <c r="BX13" s="16">
        <v>118.92</v>
      </c>
      <c r="BY13" s="16">
        <f>BX$34/BW13*100</f>
        <v>118.9132537891003</v>
      </c>
      <c r="BZ13" s="4"/>
      <c r="CA13" s="4">
        <v>125.06</v>
      </c>
      <c r="CB13" s="16">
        <v>118.1</v>
      </c>
      <c r="CC13" s="16">
        <f>CB$34/CA13*100</f>
        <v>118.0953142491604</v>
      </c>
      <c r="CD13" s="4"/>
      <c r="CE13" s="4">
        <v>124.09</v>
      </c>
      <c r="CF13" s="16">
        <v>119.74</v>
      </c>
      <c r="CG13" s="16">
        <f>CF$34/CE13*100</f>
        <v>119.73567571923604</v>
      </c>
      <c r="CH13" s="4"/>
      <c r="CI13" s="4">
        <f t="shared" si="0"/>
        <v>122.28238095238096</v>
      </c>
      <c r="CJ13" s="4">
        <f t="shared" si="1"/>
        <v>121.51761904761902</v>
      </c>
      <c r="CK13" s="4">
        <f t="shared" si="2"/>
        <v>121.51747406087944</v>
      </c>
      <c r="CL13" s="4"/>
      <c r="CM13" s="23"/>
      <c r="CN13" s="42"/>
      <c r="CO13" s="42"/>
      <c r="CP13" s="23"/>
      <c r="CQ13" s="21"/>
    </row>
    <row r="14" spans="1:95" ht="15.75">
      <c r="A14" s="26">
        <v>3</v>
      </c>
      <c r="B14" s="64" t="s">
        <v>40</v>
      </c>
      <c r="C14" s="4">
        <f>1/1.416</f>
        <v>0.7062146892655368</v>
      </c>
      <c r="D14" s="16">
        <v>211.58</v>
      </c>
      <c r="E14" s="16">
        <f>D$34/C14</f>
        <v>211.57871999999998</v>
      </c>
      <c r="F14" s="4"/>
      <c r="G14" s="4">
        <f>1/1.4183</f>
        <v>0.7050694493407601</v>
      </c>
      <c r="H14" s="16">
        <v>211.46</v>
      </c>
      <c r="I14" s="16">
        <f>H$34/G14</f>
        <v>211.45434699999998</v>
      </c>
      <c r="J14" s="4"/>
      <c r="K14" s="4">
        <f>1/1.4096</f>
        <v>0.7094211123723042</v>
      </c>
      <c r="L14" s="16">
        <v>210.57</v>
      </c>
      <c r="M14" s="16">
        <f>L$34/K14</f>
        <v>210.566048</v>
      </c>
      <c r="N14" s="4"/>
      <c r="O14" s="4">
        <f>1/1.402</f>
        <v>0.7132667617689016</v>
      </c>
      <c r="P14" s="16">
        <v>208.77</v>
      </c>
      <c r="Q14" s="16">
        <f>P$34/O14</f>
        <v>208.77182</v>
      </c>
      <c r="R14" s="4"/>
      <c r="S14" s="4">
        <f>1/1.3871</f>
        <v>0.7209285559801024</v>
      </c>
      <c r="T14" s="16">
        <v>206.68</v>
      </c>
      <c r="U14" s="16">
        <f>T$34/S14</f>
        <v>206.6779</v>
      </c>
      <c r="V14" s="4"/>
      <c r="W14" s="4">
        <f>1/1.38</f>
        <v>0.7246376811594204</v>
      </c>
      <c r="X14" s="16">
        <v>206.11</v>
      </c>
      <c r="Y14" s="16">
        <f>X$34/W14</f>
        <v>206.10299999999995</v>
      </c>
      <c r="Z14" s="4"/>
      <c r="AA14" s="4">
        <f>1/1.3844</f>
        <v>0.722334585379948</v>
      </c>
      <c r="AB14" s="16">
        <v>206</v>
      </c>
      <c r="AC14" s="16">
        <f>AB$34/AA14</f>
        <v>205.99872000000002</v>
      </c>
      <c r="AD14" s="4"/>
      <c r="AE14" s="4">
        <f>1/1.3766</f>
        <v>0.726427429899753</v>
      </c>
      <c r="AF14" s="16">
        <v>205.33</v>
      </c>
      <c r="AG14" s="16">
        <f>AF$34/AE14</f>
        <v>205.33365600000002</v>
      </c>
      <c r="AH14" s="4"/>
      <c r="AI14" s="4">
        <f>1/1.3772</f>
        <v>0.7261109497531223</v>
      </c>
      <c r="AJ14" s="16">
        <v>204.74</v>
      </c>
      <c r="AK14" s="16">
        <f>AJ$34/AI14</f>
        <v>204.74832399999997</v>
      </c>
      <c r="AL14" s="4"/>
      <c r="AM14" s="4">
        <f>1/1.3908</f>
        <v>0.719010641357492</v>
      </c>
      <c r="AN14" s="16">
        <v>206.71</v>
      </c>
      <c r="AO14" s="16">
        <f>AN$34/AM14</f>
        <v>206.714604</v>
      </c>
      <c r="AP14" s="4"/>
      <c r="AQ14" s="4">
        <f>1/1.4042</f>
        <v>0.7121492664862555</v>
      </c>
      <c r="AR14" s="16">
        <v>207.72</v>
      </c>
      <c r="AS14" s="16">
        <f>AR$34/AQ14</f>
        <v>207.723306</v>
      </c>
      <c r="AT14" s="4"/>
      <c r="AU14" s="4">
        <f>1/1.4057</f>
        <v>0.711389343387636</v>
      </c>
      <c r="AV14" s="16">
        <v>208.06</v>
      </c>
      <c r="AW14" s="16">
        <f>AV$34/AU14</f>
        <v>208.05765699999998</v>
      </c>
      <c r="AX14" s="4"/>
      <c r="AY14" s="4">
        <f>1/1.4015</f>
        <v>0.7135212272565109</v>
      </c>
      <c r="AZ14" s="16">
        <v>207.55</v>
      </c>
      <c r="BA14" s="16">
        <f>AZ$34/AY14</f>
        <v>207.548135</v>
      </c>
      <c r="BB14" s="4"/>
      <c r="BC14" s="4">
        <f>1/1.3937</f>
        <v>0.7175145296692258</v>
      </c>
      <c r="BD14" s="16">
        <v>207.69</v>
      </c>
      <c r="BE14" s="16">
        <f>BD$34/BC14</f>
        <v>207.689174</v>
      </c>
      <c r="BF14" s="4"/>
      <c r="BG14" s="4">
        <f>1/1.4143</f>
        <v>0.7070635650144949</v>
      </c>
      <c r="BH14" s="16">
        <v>210.15</v>
      </c>
      <c r="BI14" s="16">
        <f>BH$34/BG14</f>
        <v>210.150837</v>
      </c>
      <c r="BJ14" s="4"/>
      <c r="BK14" s="4">
        <f>1/1.4118</f>
        <v>0.7083156254426973</v>
      </c>
      <c r="BL14" s="16">
        <v>210</v>
      </c>
      <c r="BM14" s="16">
        <f>BL$34/BK14</f>
        <v>210.00525</v>
      </c>
      <c r="BN14" s="4"/>
      <c r="BO14" s="4">
        <f>1/1.4143</f>
        <v>0.7070635650144949</v>
      </c>
      <c r="BP14" s="16">
        <v>209.06</v>
      </c>
      <c r="BQ14" s="16">
        <f>BP$34/BO14</f>
        <v>209.06182599999997</v>
      </c>
      <c r="BR14" s="4"/>
      <c r="BS14" s="4">
        <f>1/1.4147</f>
        <v>0.706863646002686</v>
      </c>
      <c r="BT14" s="16">
        <v>208.36</v>
      </c>
      <c r="BU14" s="16">
        <f>BT$34/BS14</f>
        <v>208.35701600000002</v>
      </c>
      <c r="BV14" s="4"/>
      <c r="BW14" s="4">
        <f>1/1.414</f>
        <v>0.7072135785007072</v>
      </c>
      <c r="BX14" s="16">
        <v>208.57</v>
      </c>
      <c r="BY14" s="16">
        <f>BX$34/BW14</f>
        <v>208.565</v>
      </c>
      <c r="BZ14" s="4"/>
      <c r="CA14" s="4">
        <f>1/1.4135</f>
        <v>0.7074637424831978</v>
      </c>
      <c r="CB14" s="16">
        <v>208.76</v>
      </c>
      <c r="CC14" s="16">
        <f>CB$34/CA14</f>
        <v>208.75981499999997</v>
      </c>
      <c r="CD14" s="4"/>
      <c r="CE14" s="4">
        <f>1/1.404</f>
        <v>0.7122507122507123</v>
      </c>
      <c r="CF14" s="16">
        <v>208.61</v>
      </c>
      <c r="CG14" s="16">
        <f>CF$34/CE14</f>
        <v>208.60631999999998</v>
      </c>
      <c r="CH14" s="4"/>
      <c r="CI14" s="4">
        <f t="shared" si="0"/>
        <v>0.7135347932279029</v>
      </c>
      <c r="CJ14" s="4">
        <f t="shared" si="1"/>
        <v>208.2133333333333</v>
      </c>
      <c r="CK14" s="4">
        <f t="shared" si="2"/>
        <v>208.2129273809524</v>
      </c>
      <c r="CL14" s="4"/>
      <c r="CM14" s="23"/>
      <c r="CN14" s="42"/>
      <c r="CO14" s="42"/>
      <c r="CP14" s="23"/>
      <c r="CQ14" s="21"/>
    </row>
    <row r="15" spans="1:95" ht="15.75">
      <c r="A15" s="26">
        <v>4</v>
      </c>
      <c r="B15" s="64" t="s">
        <v>41</v>
      </c>
      <c r="C15" s="4">
        <v>1.7921</v>
      </c>
      <c r="D15" s="16">
        <v>83.38</v>
      </c>
      <c r="E15" s="16">
        <f>D$34/C15</f>
        <v>83.37704369175826</v>
      </c>
      <c r="F15" s="4"/>
      <c r="G15" s="4">
        <v>1.7848</v>
      </c>
      <c r="H15" s="16">
        <v>83.53</v>
      </c>
      <c r="I15" s="16">
        <f>H$34/G15</f>
        <v>83.53316898251906</v>
      </c>
      <c r="J15" s="4"/>
      <c r="K15" s="4">
        <v>1.7876</v>
      </c>
      <c r="L15" s="16">
        <v>83.57</v>
      </c>
      <c r="M15" s="16">
        <f>L$34/K15</f>
        <v>83.56455582904452</v>
      </c>
      <c r="N15" s="4"/>
      <c r="O15" s="4">
        <v>1.7765</v>
      </c>
      <c r="P15" s="16">
        <v>83.82</v>
      </c>
      <c r="Q15" s="16">
        <f>P$34/O15</f>
        <v>83.82212215029553</v>
      </c>
      <c r="R15" s="4"/>
      <c r="S15" s="4">
        <v>1.7931</v>
      </c>
      <c r="T15" s="16">
        <v>83.1</v>
      </c>
      <c r="U15" s="16">
        <f>T$34/S15</f>
        <v>83.09631364675701</v>
      </c>
      <c r="V15" s="4"/>
      <c r="W15" s="4">
        <v>1.7925</v>
      </c>
      <c r="X15" s="16">
        <v>83.32</v>
      </c>
      <c r="Y15" s="16">
        <f>X$34/W15</f>
        <v>83.31938633193863</v>
      </c>
      <c r="Z15" s="4"/>
      <c r="AA15" s="4">
        <v>1.794</v>
      </c>
      <c r="AB15" s="16">
        <v>82.94</v>
      </c>
      <c r="AC15" s="16">
        <f>AB$34/AA15</f>
        <v>82.94314381270904</v>
      </c>
      <c r="AD15" s="4"/>
      <c r="AE15" s="4">
        <v>1.7927</v>
      </c>
      <c r="AF15" s="16">
        <v>83.2</v>
      </c>
      <c r="AG15" s="16">
        <f>AF$34/AE15</f>
        <v>83.20410553913092</v>
      </c>
      <c r="AH15" s="4"/>
      <c r="AI15" s="4">
        <v>1.7888</v>
      </c>
      <c r="AJ15" s="16">
        <v>83.11</v>
      </c>
      <c r="AK15" s="16">
        <f>AJ$34/AI15</f>
        <v>83.1115831842576</v>
      </c>
      <c r="AL15" s="4"/>
      <c r="AM15" s="4">
        <v>1.7892</v>
      </c>
      <c r="AN15" s="16">
        <v>83.07</v>
      </c>
      <c r="AO15" s="16">
        <f>AN$34/AM15</f>
        <v>83.07064609881512</v>
      </c>
      <c r="AP15" s="4"/>
      <c r="AQ15" s="4">
        <v>1.7736</v>
      </c>
      <c r="AR15" s="16">
        <v>83.41</v>
      </c>
      <c r="AS15" s="16">
        <f>AR$34/AQ15</f>
        <v>83.40663058186739</v>
      </c>
      <c r="AT15" s="4"/>
      <c r="AU15" s="4">
        <v>1.7768</v>
      </c>
      <c r="AV15" s="16">
        <v>83.3</v>
      </c>
      <c r="AW15" s="16">
        <f>AV$34/AU15</f>
        <v>83.30144079243584</v>
      </c>
      <c r="AX15" s="4"/>
      <c r="AY15" s="4">
        <v>1.7829</v>
      </c>
      <c r="AZ15" s="16">
        <v>83.06</v>
      </c>
      <c r="BA15" s="16">
        <f>AZ$34/AY15</f>
        <v>83.06130461607493</v>
      </c>
      <c r="BB15" s="4"/>
      <c r="BC15" s="4">
        <v>1.7906</v>
      </c>
      <c r="BD15" s="16">
        <v>83.22</v>
      </c>
      <c r="BE15" s="16">
        <f>BD$34/BC15</f>
        <v>83.22350050262483</v>
      </c>
      <c r="BF15" s="4"/>
      <c r="BG15" s="4">
        <v>1.7835</v>
      </c>
      <c r="BH15" s="16">
        <v>83.31</v>
      </c>
      <c r="BI15" s="16">
        <f>BH$34/BG15</f>
        <v>83.31370899915896</v>
      </c>
      <c r="BJ15" s="4"/>
      <c r="BK15" s="4">
        <v>1.7776</v>
      </c>
      <c r="BL15" s="16">
        <v>83.68</v>
      </c>
      <c r="BM15" s="16">
        <f>BL$34/BK15</f>
        <v>83.68024302430243</v>
      </c>
      <c r="BN15" s="4"/>
      <c r="BO15" s="4">
        <v>1.7658</v>
      </c>
      <c r="BP15" s="16">
        <v>83.71</v>
      </c>
      <c r="BQ15" s="16">
        <f>BP$34/BO15</f>
        <v>83.7127647525201</v>
      </c>
      <c r="BR15" s="4"/>
      <c r="BS15" s="4">
        <v>1.7652</v>
      </c>
      <c r="BT15" s="16">
        <v>83.44</v>
      </c>
      <c r="BU15" s="16">
        <f>BT$34/BS15</f>
        <v>83.43530478132789</v>
      </c>
      <c r="BV15" s="4"/>
      <c r="BW15" s="4">
        <v>1.7668</v>
      </c>
      <c r="BX15" s="16">
        <v>83.49</v>
      </c>
      <c r="BY15" s="16">
        <f>BX$34/BW15</f>
        <v>83.48426533846502</v>
      </c>
      <c r="BZ15" s="4"/>
      <c r="CA15" s="4">
        <v>1.7771</v>
      </c>
      <c r="CB15" s="16">
        <v>83.11</v>
      </c>
      <c r="CC15" s="16">
        <f>CB$34/CA15</f>
        <v>83.10730966180857</v>
      </c>
      <c r="CD15" s="4"/>
      <c r="CE15" s="4">
        <v>1.7945</v>
      </c>
      <c r="CF15" s="16">
        <v>82.8</v>
      </c>
      <c r="CG15" s="16">
        <f>CF$34/CE15</f>
        <v>82.79743661186961</v>
      </c>
      <c r="CH15" s="4"/>
      <c r="CI15" s="4">
        <f t="shared" si="0"/>
        <v>1.7831285714285718</v>
      </c>
      <c r="CJ15" s="4">
        <f t="shared" si="1"/>
        <v>83.31285714285714</v>
      </c>
      <c r="CK15" s="4">
        <f t="shared" si="2"/>
        <v>83.31266566331817</v>
      </c>
      <c r="CL15" s="4"/>
      <c r="CM15" s="23"/>
      <c r="CN15" s="42"/>
      <c r="CO15" s="42"/>
      <c r="CP15" s="23"/>
      <c r="CQ15" s="21"/>
    </row>
    <row r="16" spans="1:95" ht="15.75">
      <c r="A16" s="26">
        <v>5</v>
      </c>
      <c r="B16" s="64" t="s">
        <v>42</v>
      </c>
      <c r="C16" s="4">
        <v>7.729</v>
      </c>
      <c r="D16" s="16">
        <v>19.33</v>
      </c>
      <c r="E16" s="16">
        <f>D$34/C16</f>
        <v>19.332384525811875</v>
      </c>
      <c r="F16" s="4"/>
      <c r="G16" s="4">
        <v>7.6945</v>
      </c>
      <c r="H16" s="16">
        <v>19.38</v>
      </c>
      <c r="I16" s="16">
        <f>H$34/G16</f>
        <v>19.376177789330043</v>
      </c>
      <c r="J16" s="4"/>
      <c r="K16" s="4">
        <v>7.7472</v>
      </c>
      <c r="L16" s="16">
        <v>19.28</v>
      </c>
      <c r="M16" s="16">
        <f>L$34/K16</f>
        <v>19.28180503923998</v>
      </c>
      <c r="N16" s="4"/>
      <c r="O16" s="4">
        <v>7.6855</v>
      </c>
      <c r="P16" s="16">
        <v>19.38</v>
      </c>
      <c r="Q16" s="16">
        <f>P$34/O16</f>
        <v>19.375447270834687</v>
      </c>
      <c r="R16" s="4"/>
      <c r="S16" s="4">
        <v>7.7262</v>
      </c>
      <c r="T16" s="16">
        <v>19.29</v>
      </c>
      <c r="U16" s="16">
        <f>T$34/S16</f>
        <v>19.285030157127693</v>
      </c>
      <c r="V16" s="4"/>
      <c r="W16" s="4">
        <v>7.7153</v>
      </c>
      <c r="X16" s="16">
        <v>19.36</v>
      </c>
      <c r="Y16" s="16">
        <f>X$34/W16</f>
        <v>19.357640013998157</v>
      </c>
      <c r="Z16" s="4"/>
      <c r="AA16" s="4">
        <v>7.7271</v>
      </c>
      <c r="AB16" s="16">
        <v>19.26</v>
      </c>
      <c r="AC16" s="16">
        <f>AB$34/AA16</f>
        <v>19.256901036611406</v>
      </c>
      <c r="AD16" s="4"/>
      <c r="AE16" s="4">
        <v>7.7262</v>
      </c>
      <c r="AF16" s="16">
        <v>19.31</v>
      </c>
      <c r="AG16" s="16">
        <f>AF$34/AE16</f>
        <v>19.3057389143434</v>
      </c>
      <c r="AH16" s="4"/>
      <c r="AI16" s="4">
        <v>7.6783</v>
      </c>
      <c r="AJ16" s="16">
        <v>19.36</v>
      </c>
      <c r="AK16" s="16">
        <f>AJ$34/AI16</f>
        <v>19.36235885547582</v>
      </c>
      <c r="AL16" s="4"/>
      <c r="AM16" s="4">
        <v>7.6945</v>
      </c>
      <c r="AN16" s="16">
        <v>19.32</v>
      </c>
      <c r="AO16" s="16">
        <f>AN$34/AM16</f>
        <v>19.31639482747417</v>
      </c>
      <c r="AP16" s="4"/>
      <c r="AQ16" s="4">
        <v>7.615</v>
      </c>
      <c r="AR16" s="16">
        <v>19.43</v>
      </c>
      <c r="AS16" s="16">
        <f>AR$34/AQ16</f>
        <v>19.42613263296126</v>
      </c>
      <c r="AT16" s="4"/>
      <c r="AU16" s="4">
        <v>7.6221</v>
      </c>
      <c r="AV16" s="16">
        <v>19.42</v>
      </c>
      <c r="AW16" s="16">
        <f>AV$34/AU16</f>
        <v>19.418532950236813</v>
      </c>
      <c r="AX16" s="4"/>
      <c r="AY16" s="4">
        <v>7.6568</v>
      </c>
      <c r="AZ16" s="16">
        <v>19.34</v>
      </c>
      <c r="BA16" s="16">
        <f>AZ$34/AY16</f>
        <v>19.34097795423676</v>
      </c>
      <c r="BB16" s="4"/>
      <c r="BC16" s="4">
        <v>7.7081</v>
      </c>
      <c r="BD16" s="16">
        <v>19.33</v>
      </c>
      <c r="BE16" s="16">
        <f>BD$34/BC16</f>
        <v>19.332909536721115</v>
      </c>
      <c r="BF16" s="4"/>
      <c r="BG16" s="4">
        <v>7.6927</v>
      </c>
      <c r="BH16" s="16">
        <v>19.32</v>
      </c>
      <c r="BI16" s="16">
        <f>BH$34/BG16</f>
        <v>19.315714898540175</v>
      </c>
      <c r="BJ16" s="4"/>
      <c r="BK16" s="4">
        <v>7.6819</v>
      </c>
      <c r="BL16" s="16">
        <v>19.36</v>
      </c>
      <c r="BM16" s="16">
        <f>BL$34/BK16</f>
        <v>19.363699084861818</v>
      </c>
      <c r="BN16" s="4"/>
      <c r="BO16" s="4">
        <v>7.6221</v>
      </c>
      <c r="BP16" s="16">
        <v>19.39</v>
      </c>
      <c r="BQ16" s="16">
        <f>BP$34/BO16</f>
        <v>19.393605436821872</v>
      </c>
      <c r="BR16" s="4"/>
      <c r="BS16" s="4">
        <v>7.6062</v>
      </c>
      <c r="BT16" s="16">
        <v>19.36</v>
      </c>
      <c r="BU16" s="16">
        <f>BT$34/BS16</f>
        <v>19.363151113565248</v>
      </c>
      <c r="BV16" s="4"/>
      <c r="BW16" s="4">
        <v>7.6265</v>
      </c>
      <c r="BX16" s="16">
        <v>19.34</v>
      </c>
      <c r="BY16" s="16">
        <f>BX$34/BW16</f>
        <v>19.34045761489543</v>
      </c>
      <c r="BZ16" s="4"/>
      <c r="CA16" s="4">
        <v>7.6707</v>
      </c>
      <c r="CB16" s="16">
        <v>19.25</v>
      </c>
      <c r="CC16" s="16">
        <f>CB$34/CA16</f>
        <v>19.253783878915876</v>
      </c>
      <c r="CD16" s="4"/>
      <c r="CE16" s="4">
        <v>7.7317</v>
      </c>
      <c r="CF16" s="16">
        <v>19.22</v>
      </c>
      <c r="CG16" s="16">
        <f>CF$34/CE16</f>
        <v>19.21698979525848</v>
      </c>
      <c r="CH16" s="4"/>
      <c r="CI16" s="4">
        <f t="shared" si="0"/>
        <v>7.683695238095238</v>
      </c>
      <c r="CJ16" s="4">
        <f t="shared" si="1"/>
        <v>19.334761904761905</v>
      </c>
      <c r="CK16" s="4">
        <f t="shared" si="2"/>
        <v>19.334087301298197</v>
      </c>
      <c r="CL16" s="4"/>
      <c r="CM16" s="23"/>
      <c r="CN16" s="42"/>
      <c r="CO16" s="42"/>
      <c r="CP16" s="23"/>
      <c r="CQ16" s="21"/>
    </row>
    <row r="17" spans="1:95" ht="15.75">
      <c r="A17" s="26">
        <v>6</v>
      </c>
      <c r="B17" s="64" t="s">
        <v>43</v>
      </c>
      <c r="C17" s="4">
        <v>2.5966</v>
      </c>
      <c r="D17" s="16">
        <v>57.55</v>
      </c>
      <c r="E17" s="16">
        <f>D$34/C17</f>
        <v>57.544481244704606</v>
      </c>
      <c r="F17" s="4"/>
      <c r="G17" s="4">
        <v>2.585</v>
      </c>
      <c r="H17" s="16">
        <v>57.68</v>
      </c>
      <c r="I17" s="16">
        <f>H$34/G17</f>
        <v>57.67504835589942</v>
      </c>
      <c r="J17" s="4"/>
      <c r="K17" s="4">
        <v>2.6027</v>
      </c>
      <c r="L17" s="16">
        <v>57.4</v>
      </c>
      <c r="M17" s="16">
        <f>L$34/K17</f>
        <v>57.394244438467744</v>
      </c>
      <c r="N17" s="4"/>
      <c r="O17" s="4">
        <v>2.582</v>
      </c>
      <c r="P17" s="16">
        <v>57.67</v>
      </c>
      <c r="Q17" s="16">
        <f>P$34/O17</f>
        <v>57.672347017815646</v>
      </c>
      <c r="R17" s="4"/>
      <c r="S17" s="4">
        <v>2.5957</v>
      </c>
      <c r="T17" s="16">
        <v>57.4</v>
      </c>
      <c r="U17" s="16">
        <f>T$34/S17</f>
        <v>57.4026274222753</v>
      </c>
      <c r="V17" s="4"/>
      <c r="W17" s="4">
        <v>2.592</v>
      </c>
      <c r="X17" s="16">
        <v>57.62</v>
      </c>
      <c r="Y17" s="16">
        <f>X$34/W17</f>
        <v>57.619598765432094</v>
      </c>
      <c r="Z17" s="4"/>
      <c r="AA17" s="4">
        <v>2.596</v>
      </c>
      <c r="AB17" s="16">
        <v>57.32</v>
      </c>
      <c r="AC17" s="16">
        <f>AB$34/AA17</f>
        <v>57.31895223420647</v>
      </c>
      <c r="AD17" s="4"/>
      <c r="AE17" s="4">
        <v>2.5957</v>
      </c>
      <c r="AF17" s="16">
        <v>57.47</v>
      </c>
      <c r="AG17" s="16">
        <f>AF$34/AE17</f>
        <v>57.46426782756097</v>
      </c>
      <c r="AH17" s="4"/>
      <c r="AI17" s="4">
        <v>2.5796</v>
      </c>
      <c r="AJ17" s="16">
        <v>57.63</v>
      </c>
      <c r="AK17" s="16">
        <f>AJ$34/AI17</f>
        <v>57.632966351372296</v>
      </c>
      <c r="AL17" s="4"/>
      <c r="AM17" s="4">
        <v>2.585</v>
      </c>
      <c r="AN17" s="16">
        <v>57.5</v>
      </c>
      <c r="AO17" s="16">
        <f>AN$34/AM17</f>
        <v>57.497098646034814</v>
      </c>
      <c r="AP17" s="4"/>
      <c r="AQ17" s="4">
        <v>2.5583</v>
      </c>
      <c r="AR17" s="16">
        <v>57.82</v>
      </c>
      <c r="AS17" s="16">
        <f>AR$34/AQ17</f>
        <v>57.82355470429582</v>
      </c>
      <c r="AT17" s="4"/>
      <c r="AU17" s="4">
        <v>2.5607</v>
      </c>
      <c r="AV17" s="16">
        <v>57.8</v>
      </c>
      <c r="AW17" s="16">
        <f>AV$34/AU17</f>
        <v>57.800601398055214</v>
      </c>
      <c r="AX17" s="4"/>
      <c r="AY17" s="4">
        <v>2.5723</v>
      </c>
      <c r="AZ17" s="16">
        <v>57.57</v>
      </c>
      <c r="BA17" s="16">
        <f>AZ$34/AY17</f>
        <v>57.57104536795864</v>
      </c>
      <c r="BB17" s="4"/>
      <c r="BC17" s="4">
        <v>2.5896</v>
      </c>
      <c r="BD17" s="16">
        <v>57.55</v>
      </c>
      <c r="BE17" s="16">
        <f>BD$34/BC17</f>
        <v>57.54556688291628</v>
      </c>
      <c r="BF17" s="4"/>
      <c r="BG17" s="4">
        <v>2.5844</v>
      </c>
      <c r="BH17" s="16">
        <v>57.49</v>
      </c>
      <c r="BI17" s="16">
        <f>BH$34/BG17</f>
        <v>57.49496981891348</v>
      </c>
      <c r="BJ17" s="4"/>
      <c r="BK17" s="4">
        <v>2.5808</v>
      </c>
      <c r="BL17" s="16">
        <v>57.64</v>
      </c>
      <c r="BM17" s="16">
        <f>BL$34/BK17</f>
        <v>57.6371667699938</v>
      </c>
      <c r="BN17" s="4"/>
      <c r="BO17" s="4">
        <v>2.5607</v>
      </c>
      <c r="BP17" s="16">
        <v>57.73</v>
      </c>
      <c r="BQ17" s="16">
        <f>BP$34/BO17</f>
        <v>57.72640293669699</v>
      </c>
      <c r="BR17" s="4"/>
      <c r="BS17" s="4">
        <v>2.5553</v>
      </c>
      <c r="BT17" s="16">
        <v>57.64</v>
      </c>
      <c r="BU17" s="16">
        <f>BT$34/BS17</f>
        <v>57.637068054631555</v>
      </c>
      <c r="BV17" s="4"/>
      <c r="BW17" s="4">
        <v>2.5622</v>
      </c>
      <c r="BX17" s="16">
        <v>57.57</v>
      </c>
      <c r="BY17" s="16">
        <f>BX$34/BW17</f>
        <v>57.56771524471158</v>
      </c>
      <c r="BZ17" s="4"/>
      <c r="CA17" s="4">
        <v>2.577</v>
      </c>
      <c r="CB17" s="16">
        <v>57.31</v>
      </c>
      <c r="CC17" s="16">
        <f>CB$34/CA17</f>
        <v>57.31082654249127</v>
      </c>
      <c r="CD17" s="4"/>
      <c r="CE17" s="4">
        <v>2.5975</v>
      </c>
      <c r="CF17" s="16">
        <v>57.2</v>
      </c>
      <c r="CG17" s="16">
        <f>CF$34/CE17</f>
        <v>57.20115495668912</v>
      </c>
      <c r="CH17" s="4"/>
      <c r="CI17" s="4">
        <f t="shared" si="0"/>
        <v>2.5813857142857137</v>
      </c>
      <c r="CJ17" s="4">
        <f t="shared" si="1"/>
        <v>57.55047619047619</v>
      </c>
      <c r="CK17" s="4">
        <f t="shared" si="2"/>
        <v>57.54941452291062</v>
      </c>
      <c r="CL17" s="4"/>
      <c r="CM17" s="23"/>
      <c r="CN17" s="42"/>
      <c r="CO17" s="42"/>
      <c r="CP17" s="23"/>
      <c r="CQ17" s="21"/>
    </row>
    <row r="18" spans="1:95" ht="15.75">
      <c r="A18" s="26">
        <v>7</v>
      </c>
      <c r="B18" s="64" t="s">
        <v>44</v>
      </c>
      <c r="C18" s="4">
        <v>2281.454</v>
      </c>
      <c r="D18" s="16">
        <v>65.49</v>
      </c>
      <c r="E18" s="16">
        <f>D$34/C18*1000</f>
        <v>65.49332136435798</v>
      </c>
      <c r="F18" s="4">
        <v>65.7</v>
      </c>
      <c r="G18" s="4">
        <v>2271.2845</v>
      </c>
      <c r="H18" s="16">
        <v>65.64</v>
      </c>
      <c r="I18" s="16">
        <f>H$34/G18*1000</f>
        <v>65.64127039126979</v>
      </c>
      <c r="J18" s="4">
        <v>65.76</v>
      </c>
      <c r="K18" s="4">
        <v>2286.843</v>
      </c>
      <c r="L18" s="16">
        <v>65.32</v>
      </c>
      <c r="M18" s="16">
        <f>L$34/K18*1000</f>
        <v>65.3214934300256</v>
      </c>
      <c r="N18" s="4">
        <v>65.49</v>
      </c>
      <c r="O18" s="4">
        <v>2268.6233</v>
      </c>
      <c r="P18" s="16">
        <v>65.64</v>
      </c>
      <c r="Q18" s="16">
        <f>P$34/O18*1000</f>
        <v>65.63892736180573</v>
      </c>
      <c r="R18" s="4">
        <v>65.58</v>
      </c>
      <c r="S18" s="4">
        <v>2280.6478</v>
      </c>
      <c r="T18" s="16">
        <v>65.33</v>
      </c>
      <c r="U18" s="16">
        <f>T$34/S18*1000</f>
        <v>65.3323147923147</v>
      </c>
      <c r="V18" s="4">
        <v>65.55</v>
      </c>
      <c r="W18" s="4">
        <v>2277.4288</v>
      </c>
      <c r="X18" s="16">
        <v>65.58</v>
      </c>
      <c r="Y18" s="16">
        <f>X$34/W18*1000</f>
        <v>65.57833992439193</v>
      </c>
      <c r="Z18" s="4">
        <v>65.55</v>
      </c>
      <c r="AA18" s="4">
        <v>2280.9165</v>
      </c>
      <c r="AB18" s="16">
        <v>65.24</v>
      </c>
      <c r="AC18" s="16">
        <f>AB$34/AA18*1000</f>
        <v>65.236934363884</v>
      </c>
      <c r="AD18" s="4">
        <v>65.55</v>
      </c>
      <c r="AE18" s="4">
        <v>2280.6478</v>
      </c>
      <c r="AF18" s="16">
        <v>65.4</v>
      </c>
      <c r="AG18" s="16">
        <f>AF$34/AE18*1000</f>
        <v>65.40247029813196</v>
      </c>
      <c r="AH18" s="4">
        <v>65.44</v>
      </c>
      <c r="AI18" s="4">
        <v>2266.4989</v>
      </c>
      <c r="AJ18" s="16">
        <v>65.59</v>
      </c>
      <c r="AK18" s="16">
        <f>AJ$34/AI18*1000</f>
        <v>65.59456084448131</v>
      </c>
      <c r="AL18" s="4">
        <v>65.55</v>
      </c>
      <c r="AM18" s="4">
        <v>2271.2845</v>
      </c>
      <c r="AN18" s="16">
        <v>65.44</v>
      </c>
      <c r="AO18" s="16">
        <f>AN$34/AM18*1000</f>
        <v>65.4387418220835</v>
      </c>
      <c r="AP18" s="4">
        <v>65.47</v>
      </c>
      <c r="AQ18" s="4">
        <v>2247.8175</v>
      </c>
      <c r="AR18" s="16">
        <v>65.81</v>
      </c>
      <c r="AS18" s="16">
        <f>AR$34/AQ18*1000</f>
        <v>65.81050285443547</v>
      </c>
      <c r="AT18" s="4">
        <v>65.71</v>
      </c>
      <c r="AU18" s="4">
        <v>2249.907</v>
      </c>
      <c r="AV18" s="16">
        <v>65.79</v>
      </c>
      <c r="AW18" s="16">
        <f>AV$34/AU18*1000</f>
        <v>65.78494133313065</v>
      </c>
      <c r="AX18" s="4">
        <v>65.75</v>
      </c>
      <c r="AY18" s="4">
        <v>2260.1494</v>
      </c>
      <c r="AZ18" s="16">
        <v>65.52</v>
      </c>
      <c r="BA18" s="16">
        <f>AZ$34/AY18*1000</f>
        <v>65.52221724811643</v>
      </c>
      <c r="BB18" s="4">
        <v>65.72</v>
      </c>
      <c r="BC18" s="4">
        <v>2275.2879</v>
      </c>
      <c r="BD18" s="16">
        <v>65.49</v>
      </c>
      <c r="BE18" s="16">
        <f>BD$34/BC18*1000</f>
        <v>65.4950083459768</v>
      </c>
      <c r="BF18" s="4">
        <v>65.6</v>
      </c>
      <c r="BG18" s="4">
        <v>2270.7517</v>
      </c>
      <c r="BH18" s="16">
        <v>65.43</v>
      </c>
      <c r="BI18" s="16">
        <f>BH$34/BG18*1000</f>
        <v>65.43648079180124</v>
      </c>
      <c r="BJ18" s="4">
        <v>65.59</v>
      </c>
      <c r="BK18" s="4">
        <v>2267.5606</v>
      </c>
      <c r="BL18" s="16">
        <v>65.6</v>
      </c>
      <c r="BM18" s="16">
        <f>BL$34/BK18*1000</f>
        <v>65.59912886120884</v>
      </c>
      <c r="BN18" s="4">
        <v>65.5</v>
      </c>
      <c r="BO18" s="4">
        <v>2249.907</v>
      </c>
      <c r="BP18" s="16">
        <v>65.7</v>
      </c>
      <c r="BQ18" s="16">
        <f>BP$34/BO18*1000</f>
        <v>65.70049339817156</v>
      </c>
      <c r="BR18" s="4">
        <v>65.6</v>
      </c>
      <c r="BS18" s="4">
        <v>2245.211</v>
      </c>
      <c r="BT18" s="16">
        <v>65.6</v>
      </c>
      <c r="BU18" s="16">
        <f>BT$34/BS18*1000</f>
        <v>65.59739819553708</v>
      </c>
      <c r="BV18" s="4">
        <v>65.6</v>
      </c>
      <c r="BW18" s="4">
        <v>2251.215</v>
      </c>
      <c r="BX18" s="16">
        <v>65.52</v>
      </c>
      <c r="BY18" s="16">
        <f>BX$34/BW18*1000</f>
        <v>65.52017466123849</v>
      </c>
      <c r="BZ18" s="4">
        <v>65.51</v>
      </c>
      <c r="CA18" s="4">
        <v>2264.246</v>
      </c>
      <c r="CB18" s="16">
        <v>65.23</v>
      </c>
      <c r="CC18" s="16">
        <f>CB$34/CA18*1000</f>
        <v>65.22701155263165</v>
      </c>
      <c r="CD18" s="4">
        <v>65.39</v>
      </c>
      <c r="CE18" s="4">
        <v>2282.2607</v>
      </c>
      <c r="CF18" s="16">
        <v>65.1</v>
      </c>
      <c r="CG18" s="16">
        <f>CF$34/CE18*1000</f>
        <v>65.10211563473008</v>
      </c>
      <c r="CH18" s="4">
        <v>65.1</v>
      </c>
      <c r="CI18" s="4">
        <f t="shared" si="0"/>
        <v>2268.0925190476187</v>
      </c>
      <c r="CJ18" s="4">
        <f t="shared" si="1"/>
        <v>65.49809523809523</v>
      </c>
      <c r="CK18" s="4">
        <f t="shared" si="2"/>
        <v>65.49875464141549</v>
      </c>
      <c r="CL18" s="4">
        <f t="shared" si="2"/>
        <v>65.55761904761906</v>
      </c>
      <c r="CM18" s="23"/>
      <c r="CN18" s="42"/>
      <c r="CO18" s="42"/>
      <c r="CP18" s="23"/>
      <c r="CQ18" s="21"/>
    </row>
    <row r="19" spans="1:95" ht="15.75">
      <c r="A19" s="26">
        <v>8</v>
      </c>
      <c r="B19" s="64" t="s">
        <v>45</v>
      </c>
      <c r="C19" s="4">
        <v>47.5314</v>
      </c>
      <c r="D19" s="16">
        <v>3.14</v>
      </c>
      <c r="E19" s="16">
        <f>D$34/C19</f>
        <v>3.1436061214270987</v>
      </c>
      <c r="F19" s="4"/>
      <c r="G19" s="4">
        <v>47.3195</v>
      </c>
      <c r="H19" s="16">
        <v>3.15</v>
      </c>
      <c r="I19" s="16">
        <f>H$34/G19</f>
        <v>3.150709538350997</v>
      </c>
      <c r="J19" s="4"/>
      <c r="K19" s="4">
        <v>47.6437</v>
      </c>
      <c r="L19" s="16">
        <v>3.14</v>
      </c>
      <c r="M19" s="16">
        <f>L$34/K19</f>
        <v>3.135356825771298</v>
      </c>
      <c r="N19" s="4"/>
      <c r="O19" s="4">
        <v>47.2641</v>
      </c>
      <c r="P19" s="16">
        <v>3.15</v>
      </c>
      <c r="Q19" s="16">
        <f>P$34/O19</f>
        <v>3.1505942142133248</v>
      </c>
      <c r="R19" s="4"/>
      <c r="S19" s="4">
        <v>47.5146</v>
      </c>
      <c r="T19" s="16">
        <v>3.14</v>
      </c>
      <c r="U19" s="16">
        <f>T$34/S19</f>
        <v>3.135878235321354</v>
      </c>
      <c r="V19" s="4"/>
      <c r="W19" s="4">
        <v>47.4475</v>
      </c>
      <c r="X19" s="16">
        <v>3.15</v>
      </c>
      <c r="Y19" s="16">
        <f>X$34/W19</f>
        <v>3.1476895516096737</v>
      </c>
      <c r="Z19" s="4"/>
      <c r="AA19" s="4">
        <v>47.5202</v>
      </c>
      <c r="AB19" s="16">
        <v>3.13</v>
      </c>
      <c r="AC19" s="16">
        <f>AB$34/AA19</f>
        <v>3.1312999524412777</v>
      </c>
      <c r="AD19" s="4"/>
      <c r="AE19" s="4">
        <v>47.5146</v>
      </c>
      <c r="AF19" s="16">
        <v>3.14</v>
      </c>
      <c r="AG19" s="16">
        <f>AF$34/AE19</f>
        <v>3.13924562134586</v>
      </c>
      <c r="AH19" s="4"/>
      <c r="AI19" s="4">
        <v>47.2198</v>
      </c>
      <c r="AJ19" s="16">
        <v>3.15</v>
      </c>
      <c r="AK19" s="16">
        <f>AJ$34/AI19</f>
        <v>3.148467380209149</v>
      </c>
      <c r="AL19" s="4"/>
      <c r="AM19" s="4">
        <v>47.3195</v>
      </c>
      <c r="AN19" s="16">
        <v>3.14</v>
      </c>
      <c r="AO19" s="16">
        <f>AN$34/AM19</f>
        <v>3.1409883874512623</v>
      </c>
      <c r="AP19" s="4"/>
      <c r="AQ19" s="4">
        <v>46.8306</v>
      </c>
      <c r="AR19" s="16">
        <v>3.16</v>
      </c>
      <c r="AS19" s="16">
        <f>AR$34/AQ19</f>
        <v>3.1588320457137002</v>
      </c>
      <c r="AT19" s="4"/>
      <c r="AU19" s="4">
        <v>46.8742</v>
      </c>
      <c r="AV19" s="16">
        <v>3.16</v>
      </c>
      <c r="AW19" s="16">
        <f>AV$34/AU19</f>
        <v>3.1576005563828287</v>
      </c>
      <c r="AX19" s="4"/>
      <c r="AY19" s="4">
        <v>47.0875</v>
      </c>
      <c r="AZ19" s="16">
        <v>3.14</v>
      </c>
      <c r="BA19" s="16">
        <f>AZ$34/AY19</f>
        <v>3.1449960180515</v>
      </c>
      <c r="BB19" s="4"/>
      <c r="BC19" s="4">
        <v>47.4029</v>
      </c>
      <c r="BD19" s="16">
        <v>3.14</v>
      </c>
      <c r="BE19" s="16">
        <f>BD$34/BC19</f>
        <v>3.143689521105249</v>
      </c>
      <c r="BF19" s="4"/>
      <c r="BG19" s="4">
        <v>47.3084</v>
      </c>
      <c r="BH19" s="16">
        <v>3.14</v>
      </c>
      <c r="BI19" s="16">
        <f>BH$34/BG19</f>
        <v>3.140879843748679</v>
      </c>
      <c r="BJ19" s="4"/>
      <c r="BK19" s="4">
        <v>47.2419</v>
      </c>
      <c r="BL19" s="16">
        <v>3.15</v>
      </c>
      <c r="BM19" s="16">
        <f>BL$34/BK19</f>
        <v>3.1486879232207</v>
      </c>
      <c r="BN19" s="4"/>
      <c r="BO19" s="4">
        <v>46.8742</v>
      </c>
      <c r="BP19" s="16">
        <v>3.15</v>
      </c>
      <c r="BQ19" s="16">
        <f>BP$34/BO19</f>
        <v>3.153547153871426</v>
      </c>
      <c r="BR19" s="4"/>
      <c r="BS19" s="4">
        <v>46.7763</v>
      </c>
      <c r="BT19" s="16">
        <v>3.15</v>
      </c>
      <c r="BU19" s="16">
        <f>BT$34/BS19</f>
        <v>3.148603031877254</v>
      </c>
      <c r="BV19" s="4"/>
      <c r="BW19" s="4">
        <v>46.9014</v>
      </c>
      <c r="BX19" s="16">
        <v>3.14</v>
      </c>
      <c r="BY19" s="16">
        <f>BX$34/BW19</f>
        <v>3.144895461542726</v>
      </c>
      <c r="BZ19" s="4"/>
      <c r="CA19" s="4">
        <v>47.1729</v>
      </c>
      <c r="CB19" s="16">
        <v>3.13</v>
      </c>
      <c r="CC19" s="16">
        <f>CB$34/CA19</f>
        <v>3.130822993710372</v>
      </c>
      <c r="CD19" s="4"/>
      <c r="CE19" s="4">
        <v>47.5482</v>
      </c>
      <c r="CF19" s="16">
        <v>3.12</v>
      </c>
      <c r="CG19" s="16">
        <f>CF$34/CE19</f>
        <v>3.1248291207658756</v>
      </c>
      <c r="CH19" s="4"/>
      <c r="CI19" s="4">
        <f t="shared" si="0"/>
        <v>47.25301904761904</v>
      </c>
      <c r="CJ19" s="4">
        <f t="shared" si="1"/>
        <v>3.1433333333333335</v>
      </c>
      <c r="CK19" s="4">
        <f t="shared" si="2"/>
        <v>3.1438675951491244</v>
      </c>
      <c r="CL19" s="4"/>
      <c r="CM19" s="23"/>
      <c r="CN19" s="42"/>
      <c r="CO19" s="42"/>
      <c r="CP19" s="23"/>
      <c r="CQ19" s="21"/>
    </row>
    <row r="20" spans="1:95" ht="15.75">
      <c r="A20" s="26">
        <v>9</v>
      </c>
      <c r="B20" s="64" t="s">
        <v>46</v>
      </c>
      <c r="C20" s="4">
        <f>1/0.8487</f>
        <v>1.1782726522917404</v>
      </c>
      <c r="D20" s="16">
        <v>126.81</v>
      </c>
      <c r="E20" s="16">
        <f>D$34/C20</f>
        <v>126.81275399999998</v>
      </c>
      <c r="F20" s="4"/>
      <c r="G20" s="4">
        <f>1/0.8525</f>
        <v>1.1730205278592374</v>
      </c>
      <c r="H20" s="16">
        <v>127.1</v>
      </c>
      <c r="I20" s="16">
        <f>H$34/G20</f>
        <v>127.09922500000002</v>
      </c>
      <c r="J20" s="4"/>
      <c r="K20" s="4">
        <f>1/0.8467</f>
        <v>1.1810558639423645</v>
      </c>
      <c r="L20" s="16">
        <v>126.48</v>
      </c>
      <c r="M20" s="16">
        <f>L$34/K20</f>
        <v>126.48004599999999</v>
      </c>
      <c r="N20" s="4"/>
      <c r="O20" s="4">
        <f>1/0.8535</f>
        <v>1.1716461628588166</v>
      </c>
      <c r="P20" s="16">
        <v>127.09</v>
      </c>
      <c r="Q20" s="16">
        <f>P$34/O20</f>
        <v>127.094685</v>
      </c>
      <c r="R20" s="4"/>
      <c r="S20" s="4">
        <f>1/0.849</f>
        <v>1.1778563015312131</v>
      </c>
      <c r="T20" s="16">
        <v>126.5</v>
      </c>
      <c r="U20" s="16">
        <f>T$34/S20</f>
        <v>126.501</v>
      </c>
      <c r="V20" s="4"/>
      <c r="W20" s="4">
        <f>1/0.8502</f>
        <v>1.1761938367442955</v>
      </c>
      <c r="X20" s="16">
        <v>126.98</v>
      </c>
      <c r="Y20" s="16">
        <f>X$34/W20</f>
        <v>126.97737</v>
      </c>
      <c r="Z20" s="4"/>
      <c r="AA20" s="4">
        <f>1/0.8489</f>
        <v>1.1779950524207798</v>
      </c>
      <c r="AB20" s="16">
        <v>126.32</v>
      </c>
      <c r="AC20" s="16">
        <f>AB$34/AA20</f>
        <v>126.31632</v>
      </c>
      <c r="AD20" s="4"/>
      <c r="AE20" s="4">
        <f>1/0.849</f>
        <v>1.1778563015312131</v>
      </c>
      <c r="AF20" s="16">
        <v>126.64</v>
      </c>
      <c r="AG20" s="16">
        <f>AF$34/AE20</f>
        <v>126.63684</v>
      </c>
      <c r="AH20" s="4"/>
      <c r="AI20" s="4">
        <f>1/0.8543</f>
        <v>1.1705489874751258</v>
      </c>
      <c r="AJ20" s="16">
        <v>127.01</v>
      </c>
      <c r="AK20" s="16">
        <f>AJ$34/AI20</f>
        <v>127.00878099999998</v>
      </c>
      <c r="AL20" s="4"/>
      <c r="AM20" s="4">
        <f>1/0.8525</f>
        <v>1.1730205278592374</v>
      </c>
      <c r="AN20" s="16">
        <v>126.7</v>
      </c>
      <c r="AO20" s="16">
        <f>AN$34/AM20</f>
        <v>126.70707500000002</v>
      </c>
      <c r="AP20" s="4"/>
      <c r="AQ20" s="4">
        <f>1/0.8614</f>
        <v>1.1609008590666356</v>
      </c>
      <c r="AR20" s="16">
        <v>127.43</v>
      </c>
      <c r="AS20" s="16">
        <f>AR$34/AQ20</f>
        <v>127.42690200000001</v>
      </c>
      <c r="AT20" s="4"/>
      <c r="AU20" s="4">
        <f>1/0.8606</f>
        <v>1.1619800139437602</v>
      </c>
      <c r="AV20" s="16">
        <v>127.38</v>
      </c>
      <c r="AW20" s="16">
        <f>AV$34/AU20</f>
        <v>127.377406</v>
      </c>
      <c r="AX20" s="4"/>
      <c r="AY20" s="25">
        <f>1/0.8567</f>
        <v>1.1672697560406209</v>
      </c>
      <c r="AZ20" s="16">
        <v>126.87</v>
      </c>
      <c r="BA20" s="16">
        <f>AZ$34/AY20</f>
        <v>126.86870300000001</v>
      </c>
      <c r="BB20" s="4"/>
      <c r="BC20" s="25">
        <f>1/0.851</f>
        <v>1.1750881316098707</v>
      </c>
      <c r="BD20" s="16">
        <v>126.82</v>
      </c>
      <c r="BE20" s="16">
        <f>BD$34/BC20</f>
        <v>126.81602000000001</v>
      </c>
      <c r="BF20" s="4"/>
      <c r="BG20" s="4">
        <f>1/0.8527</f>
        <v>1.172745396974317</v>
      </c>
      <c r="BH20" s="16">
        <v>126.7</v>
      </c>
      <c r="BI20" s="16">
        <f>BH$34/BG20</f>
        <v>126.702693</v>
      </c>
      <c r="BJ20" s="4"/>
      <c r="BK20" s="4">
        <f>1/0.8539</f>
        <v>1.1710973181871414</v>
      </c>
      <c r="BL20" s="16">
        <v>127.02</v>
      </c>
      <c r="BM20" s="16">
        <f>BL$34/BK20</f>
        <v>127.017625</v>
      </c>
      <c r="BN20" s="4"/>
      <c r="BO20" s="4">
        <f>1/0.8606</f>
        <v>1.1619800139437602</v>
      </c>
      <c r="BP20" s="16">
        <v>127.22</v>
      </c>
      <c r="BQ20" s="16">
        <f>BP$34/BO20</f>
        <v>127.213892</v>
      </c>
      <c r="BR20" s="4"/>
      <c r="BS20" s="4">
        <f>1/0.8624</f>
        <v>1.1595547309833023</v>
      </c>
      <c r="BT20" s="16">
        <v>127.02</v>
      </c>
      <c r="BU20" s="16">
        <f>BT$34/BS20</f>
        <v>127.01427200000002</v>
      </c>
      <c r="BV20" s="4"/>
      <c r="BW20" s="4">
        <f>1/0.8601</f>
        <v>1.162655505173817</v>
      </c>
      <c r="BX20" s="16">
        <v>126.87</v>
      </c>
      <c r="BY20" s="16">
        <f>BX$34/BW20</f>
        <v>126.86475</v>
      </c>
      <c r="BZ20" s="4"/>
      <c r="CA20" s="4">
        <f>1/0.8552</f>
        <v>1.1693171188026192</v>
      </c>
      <c r="CB20" s="16">
        <v>126.3</v>
      </c>
      <c r="CC20" s="16">
        <f>CB$34/CA20</f>
        <v>126.304488</v>
      </c>
      <c r="CD20" s="4"/>
      <c r="CE20" s="4">
        <f>1/0.8484</f>
        <v>1.1786892975011787</v>
      </c>
      <c r="CF20" s="16">
        <v>126.06</v>
      </c>
      <c r="CG20" s="16">
        <f>CF$34/CE20</f>
        <v>126.05527200000002</v>
      </c>
      <c r="CH20" s="4"/>
      <c r="CI20" s="4">
        <f t="shared" si="0"/>
        <v>1.171368778892431</v>
      </c>
      <c r="CJ20" s="4">
        <f t="shared" si="1"/>
        <v>126.82476190476189</v>
      </c>
      <c r="CK20" s="4">
        <f t="shared" si="2"/>
        <v>126.82362471428574</v>
      </c>
      <c r="CL20" s="4"/>
      <c r="CM20" s="23"/>
      <c r="CN20" s="42"/>
      <c r="CO20" s="42"/>
      <c r="CP20" s="23"/>
      <c r="CQ20" s="21"/>
    </row>
    <row r="21" spans="1:95" ht="15.75">
      <c r="A21" s="26">
        <v>10</v>
      </c>
      <c r="B21" s="64" t="s">
        <v>47</v>
      </c>
      <c r="C21" s="4">
        <v>266.1</v>
      </c>
      <c r="D21" s="16">
        <v>39761.2</v>
      </c>
      <c r="E21" s="16">
        <f>D$34*C21</f>
        <v>39760.662</v>
      </c>
      <c r="F21" s="4"/>
      <c r="G21" s="4">
        <v>266.3</v>
      </c>
      <c r="H21" s="16">
        <v>39703.14</v>
      </c>
      <c r="I21" s="16">
        <f>H$34*G21</f>
        <v>39702.667</v>
      </c>
      <c r="J21" s="4"/>
      <c r="K21" s="4">
        <v>266.1</v>
      </c>
      <c r="L21" s="16">
        <v>39750.98</v>
      </c>
      <c r="M21" s="16">
        <f>L$34*K21</f>
        <v>39750.018000000004</v>
      </c>
      <c r="N21" s="4"/>
      <c r="O21" s="4">
        <v>267</v>
      </c>
      <c r="P21" s="16">
        <v>39758.38</v>
      </c>
      <c r="Q21" s="16">
        <f>P$34*O21</f>
        <v>39758.97</v>
      </c>
      <c r="R21" s="4"/>
      <c r="S21" s="4">
        <v>266</v>
      </c>
      <c r="T21" s="16">
        <v>39634.62</v>
      </c>
      <c r="U21" s="16">
        <f>T$34*S21</f>
        <v>39634</v>
      </c>
      <c r="V21" s="4"/>
      <c r="W21" s="4">
        <v>267.6</v>
      </c>
      <c r="X21" s="16">
        <v>39966.85</v>
      </c>
      <c r="Y21" s="16">
        <f>X$34*W21</f>
        <v>39966.060000000005</v>
      </c>
      <c r="Z21" s="4"/>
      <c r="AA21" s="4">
        <v>271.5</v>
      </c>
      <c r="AB21" s="16">
        <v>40399.72</v>
      </c>
      <c r="AC21" s="16">
        <f>AB$34*AA21</f>
        <v>40399.200000000004</v>
      </c>
      <c r="AD21" s="4"/>
      <c r="AE21" s="4">
        <v>270.1</v>
      </c>
      <c r="AF21" s="16">
        <v>40288.24</v>
      </c>
      <c r="AG21" s="16">
        <f>AF$34*AE21</f>
        <v>40288.116</v>
      </c>
      <c r="AH21" s="4"/>
      <c r="AI21" s="4">
        <v>272.3</v>
      </c>
      <c r="AJ21" s="16">
        <v>40481.8</v>
      </c>
      <c r="AK21" s="16">
        <f>AJ$34*AI21</f>
        <v>40482.841</v>
      </c>
      <c r="AL21" s="4"/>
      <c r="AM21" s="4">
        <v>272.2</v>
      </c>
      <c r="AN21" s="16">
        <v>40456.01</v>
      </c>
      <c r="AO21" s="16">
        <f>AN$34*AM21</f>
        <v>40457.085999999996</v>
      </c>
      <c r="AP21" s="4"/>
      <c r="AQ21" s="4">
        <v>271.5</v>
      </c>
      <c r="AR21" s="16">
        <v>40162.42</v>
      </c>
      <c r="AS21" s="16">
        <f>AR$34*AQ21</f>
        <v>40162.995</v>
      </c>
      <c r="AT21" s="4"/>
      <c r="AU21" s="4">
        <v>271.5</v>
      </c>
      <c r="AV21" s="16">
        <v>40185.38</v>
      </c>
      <c r="AW21" s="16">
        <f>AV$34*AU21</f>
        <v>40184.715</v>
      </c>
      <c r="AX21" s="4"/>
      <c r="AY21" s="4">
        <v>273.9</v>
      </c>
      <c r="AZ21" s="16">
        <v>40561.62</v>
      </c>
      <c r="BA21" s="16">
        <f>AZ$34*AY21</f>
        <v>40561.850999999995</v>
      </c>
      <c r="BB21" s="4"/>
      <c r="BC21" s="4">
        <v>271</v>
      </c>
      <c r="BD21" s="16">
        <v>40384.21</v>
      </c>
      <c r="BE21" s="16">
        <f>BD$34*BC21</f>
        <v>40384.420000000006</v>
      </c>
      <c r="BF21" s="4"/>
      <c r="BG21" s="4">
        <v>271.8</v>
      </c>
      <c r="BH21" s="16">
        <v>40385.81</v>
      </c>
      <c r="BI21" s="16">
        <f>BH$34*BG21</f>
        <v>40386.762</v>
      </c>
      <c r="BJ21" s="4"/>
      <c r="BK21" s="4">
        <v>273.5</v>
      </c>
      <c r="BL21" s="16">
        <v>40683</v>
      </c>
      <c r="BM21" s="16">
        <f>BL$34*BK21</f>
        <v>40683.125</v>
      </c>
      <c r="BN21" s="4"/>
      <c r="BO21" s="4">
        <v>273.9</v>
      </c>
      <c r="BP21" s="16">
        <v>40488.39</v>
      </c>
      <c r="BQ21" s="16">
        <f>BP$34*BO21</f>
        <v>40487.897999999994</v>
      </c>
      <c r="BR21" s="4"/>
      <c r="BS21" s="4">
        <v>274.7</v>
      </c>
      <c r="BT21" s="16">
        <v>40458.87</v>
      </c>
      <c r="BU21" s="16">
        <f>BT$34*BS21</f>
        <v>40457.816</v>
      </c>
      <c r="BV21" s="4"/>
      <c r="BW21" s="4">
        <v>274.6</v>
      </c>
      <c r="BX21" s="16">
        <v>40504.53</v>
      </c>
      <c r="BY21" s="16">
        <f>BX$34*BW21</f>
        <v>40503.5</v>
      </c>
      <c r="BZ21" s="4"/>
      <c r="CA21" s="4">
        <v>270.7</v>
      </c>
      <c r="CB21" s="16">
        <v>39980.8</v>
      </c>
      <c r="CC21" s="16">
        <f>CB$34*CA21</f>
        <v>39979.683</v>
      </c>
      <c r="CD21" s="4"/>
      <c r="CE21" s="4">
        <v>270.15</v>
      </c>
      <c r="CF21" s="16">
        <v>40139.71</v>
      </c>
      <c r="CG21" s="16">
        <f>CF$34*CE21</f>
        <v>40138.887</v>
      </c>
      <c r="CH21" s="4"/>
      <c r="CI21" s="4">
        <f t="shared" si="0"/>
        <v>270.5928571428571</v>
      </c>
      <c r="CJ21" s="4">
        <f t="shared" si="1"/>
        <v>40196.93714285714</v>
      </c>
      <c r="CK21" s="4">
        <f t="shared" si="2"/>
        <v>40196.727238095234</v>
      </c>
      <c r="CL21" s="4"/>
      <c r="CM21" s="23"/>
      <c r="CN21" s="42"/>
      <c r="CO21" s="42"/>
      <c r="CP21" s="23"/>
      <c r="CQ21" s="21"/>
    </row>
    <row r="22" spans="1:95" ht="15.75">
      <c r="A22" s="26">
        <v>11</v>
      </c>
      <c r="B22" s="70" t="s">
        <v>48</v>
      </c>
      <c r="C22" s="4">
        <v>4.42</v>
      </c>
      <c r="D22" s="16">
        <v>660.45</v>
      </c>
      <c r="E22" s="16">
        <f>D$34*C22</f>
        <v>660.4363999999999</v>
      </c>
      <c r="F22" s="4"/>
      <c r="G22" s="4">
        <v>4.4</v>
      </c>
      <c r="H22" s="16">
        <v>656</v>
      </c>
      <c r="I22" s="16">
        <f>H$34*G22</f>
        <v>655.9960000000001</v>
      </c>
      <c r="J22" s="4"/>
      <c r="K22" s="4">
        <v>4.34</v>
      </c>
      <c r="L22" s="16">
        <v>648.32</v>
      </c>
      <c r="M22" s="16">
        <f>L$34*K22</f>
        <v>648.3091999999999</v>
      </c>
      <c r="N22" s="4"/>
      <c r="O22" s="4">
        <v>4.35</v>
      </c>
      <c r="P22" s="16">
        <v>647.75</v>
      </c>
      <c r="Q22" s="16">
        <f>P$34*O22</f>
        <v>647.7584999999999</v>
      </c>
      <c r="R22" s="4"/>
      <c r="S22" s="4">
        <v>4.33</v>
      </c>
      <c r="T22" s="16">
        <v>645.18</v>
      </c>
      <c r="U22" s="16">
        <f>T$34*S22</f>
        <v>645.17</v>
      </c>
      <c r="V22" s="4"/>
      <c r="W22" s="4">
        <v>4.33</v>
      </c>
      <c r="X22" s="16">
        <v>646.7</v>
      </c>
      <c r="Y22" s="16">
        <f>X$34*W22</f>
        <v>646.6854999999999</v>
      </c>
      <c r="Z22" s="4"/>
      <c r="AA22" s="4">
        <v>4.35</v>
      </c>
      <c r="AB22" s="16">
        <v>647.29</v>
      </c>
      <c r="AC22" s="16">
        <f>AB$34*AA22</f>
        <v>647.28</v>
      </c>
      <c r="AD22" s="4"/>
      <c r="AE22" s="4">
        <v>4.37</v>
      </c>
      <c r="AF22" s="16">
        <v>651.83</v>
      </c>
      <c r="AG22" s="16">
        <f>AF$34*AE22</f>
        <v>651.8292</v>
      </c>
      <c r="AH22" s="4"/>
      <c r="AI22" s="4">
        <v>4.37</v>
      </c>
      <c r="AJ22" s="16">
        <v>649.67</v>
      </c>
      <c r="AK22" s="16">
        <f>AJ$34*AI22</f>
        <v>649.6879</v>
      </c>
      <c r="AL22" s="4"/>
      <c r="AM22" s="4">
        <v>4.4</v>
      </c>
      <c r="AN22" s="16">
        <v>653.95</v>
      </c>
      <c r="AO22" s="16">
        <f>AN$34*AM22</f>
        <v>653.972</v>
      </c>
      <c r="AP22" s="4"/>
      <c r="AQ22" s="4">
        <v>4.42</v>
      </c>
      <c r="AR22" s="16">
        <v>653.84</v>
      </c>
      <c r="AS22" s="16">
        <f>AR$34*AQ22</f>
        <v>653.8506</v>
      </c>
      <c r="AT22" s="4"/>
      <c r="AU22" s="4">
        <v>4.38</v>
      </c>
      <c r="AV22" s="16">
        <v>648.29</v>
      </c>
      <c r="AW22" s="16">
        <f>AV$34*AU22</f>
        <v>648.2837999999999</v>
      </c>
      <c r="AX22" s="4"/>
      <c r="AY22" s="4">
        <v>4.42</v>
      </c>
      <c r="AZ22" s="16">
        <v>654.55</v>
      </c>
      <c r="BA22" s="16">
        <f>AZ$34*AY22</f>
        <v>654.5578</v>
      </c>
      <c r="BB22" s="4"/>
      <c r="BC22" s="4">
        <v>4.37</v>
      </c>
      <c r="BD22" s="16">
        <v>651.21</v>
      </c>
      <c r="BE22" s="16">
        <f>BD$34*BC22</f>
        <v>651.2174000000001</v>
      </c>
      <c r="BF22" s="4"/>
      <c r="BG22" s="4">
        <v>4.33</v>
      </c>
      <c r="BH22" s="16">
        <v>643.38</v>
      </c>
      <c r="BI22" s="16">
        <f>BH$34*BG22</f>
        <v>643.3947000000001</v>
      </c>
      <c r="BJ22" s="4"/>
      <c r="BK22" s="4">
        <v>4.33</v>
      </c>
      <c r="BL22" s="16">
        <v>644.09</v>
      </c>
      <c r="BM22" s="16">
        <f>BL$34*BK22</f>
        <v>644.0875</v>
      </c>
      <c r="BN22" s="4"/>
      <c r="BO22" s="4">
        <v>4.31</v>
      </c>
      <c r="BP22" s="16">
        <v>637.11</v>
      </c>
      <c r="BQ22" s="16">
        <f>BP$34*BO22</f>
        <v>637.1041999999999</v>
      </c>
      <c r="BR22" s="4"/>
      <c r="BS22" s="4">
        <v>4.32</v>
      </c>
      <c r="BT22" s="16">
        <v>636.27</v>
      </c>
      <c r="BU22" s="16">
        <f>BT$34*BS22</f>
        <v>636.2496000000001</v>
      </c>
      <c r="BV22" s="4"/>
      <c r="BW22" s="4">
        <v>4.31</v>
      </c>
      <c r="BX22" s="16">
        <v>635.74</v>
      </c>
      <c r="BY22" s="16">
        <f>BX$34*BW22</f>
        <v>635.7249999999999</v>
      </c>
      <c r="BZ22" s="4"/>
      <c r="CA22" s="4">
        <v>4.31</v>
      </c>
      <c r="CB22" s="16">
        <v>636.56</v>
      </c>
      <c r="CC22" s="16">
        <f>CB$34*CA22</f>
        <v>636.5438999999999</v>
      </c>
      <c r="CD22" s="4"/>
      <c r="CE22" s="4">
        <v>4.33</v>
      </c>
      <c r="CF22" s="16">
        <v>643.36</v>
      </c>
      <c r="CG22" s="16">
        <f>CF$34*CE22</f>
        <v>643.3514</v>
      </c>
      <c r="CH22" s="4"/>
      <c r="CI22" s="4">
        <f t="shared" si="0"/>
        <v>4.3566666666666665</v>
      </c>
      <c r="CJ22" s="4">
        <f t="shared" si="1"/>
        <v>647.2161904761904</v>
      </c>
      <c r="CK22" s="4">
        <f t="shared" si="2"/>
        <v>647.2138380952381</v>
      </c>
      <c r="CL22" s="4"/>
      <c r="CM22" s="23"/>
      <c r="CN22" s="42"/>
      <c r="CO22" s="42"/>
      <c r="CP22" s="23"/>
      <c r="CQ22" s="21"/>
    </row>
    <row r="23" spans="1:95" ht="15.75">
      <c r="A23" s="26">
        <v>12</v>
      </c>
      <c r="B23" s="64" t="s">
        <v>49</v>
      </c>
      <c r="C23" s="4">
        <f>1/0.508</f>
        <v>1.968503937007874</v>
      </c>
      <c r="D23" s="16">
        <v>75.91</v>
      </c>
      <c r="E23" s="16">
        <f>D$34/C23</f>
        <v>75.90535999999999</v>
      </c>
      <c r="F23" s="4"/>
      <c r="G23" s="4">
        <f>1/0.5102</f>
        <v>1.9600156801254411</v>
      </c>
      <c r="H23" s="16">
        <v>76.07</v>
      </c>
      <c r="I23" s="16">
        <f>H$34/G23</f>
        <v>76.06571799999999</v>
      </c>
      <c r="J23" s="4"/>
      <c r="K23" s="4">
        <f>1/0.5075</f>
        <v>1.9704433497536948</v>
      </c>
      <c r="L23" s="16">
        <v>75.81</v>
      </c>
      <c r="M23" s="16">
        <f>L$34/K23</f>
        <v>75.81034999999999</v>
      </c>
      <c r="N23" s="4"/>
      <c r="O23" s="4">
        <f>1/0.5134</f>
        <v>1.9477989871445267</v>
      </c>
      <c r="P23" s="16">
        <v>76.45</v>
      </c>
      <c r="Q23" s="16">
        <f>P$34/O23</f>
        <v>76.450394</v>
      </c>
      <c r="R23" s="4"/>
      <c r="S23" s="4">
        <f>1/0.5192</f>
        <v>1.926040061633282</v>
      </c>
      <c r="T23" s="16">
        <v>77.36</v>
      </c>
      <c r="U23" s="16">
        <f>T$34/S23</f>
        <v>77.3608</v>
      </c>
      <c r="V23" s="4"/>
      <c r="W23" s="4">
        <f>1/0.5242</f>
        <v>1.9076688286913392</v>
      </c>
      <c r="X23" s="16">
        <v>78.29</v>
      </c>
      <c r="Y23" s="16">
        <f>X$34/W23</f>
        <v>78.28926999999999</v>
      </c>
      <c r="Z23" s="4"/>
      <c r="AA23" s="4">
        <f>1/0.5238</f>
        <v>1.9091256204658265</v>
      </c>
      <c r="AB23" s="16">
        <v>77.94</v>
      </c>
      <c r="AC23" s="16">
        <f>AB$34/AA23</f>
        <v>77.94144000000001</v>
      </c>
      <c r="AD23" s="4"/>
      <c r="AE23" s="4">
        <f>1/0.5244</f>
        <v>1.9069412662090008</v>
      </c>
      <c r="AF23" s="16">
        <v>78.22</v>
      </c>
      <c r="AG23" s="16">
        <f>AF$34/AE23</f>
        <v>78.219504</v>
      </c>
      <c r="AH23" s="4"/>
      <c r="AI23" s="4">
        <f>1/0.5264</f>
        <v>1.899696048632219</v>
      </c>
      <c r="AJ23" s="16">
        <v>78.26</v>
      </c>
      <c r="AK23" s="16">
        <f>AJ$34/AI23</f>
        <v>78.25988799999999</v>
      </c>
      <c r="AL23" s="4"/>
      <c r="AM23" s="4">
        <f>1/0.5253</f>
        <v>1.9036740909956216</v>
      </c>
      <c r="AN23" s="16">
        <v>78.07</v>
      </c>
      <c r="AO23" s="16">
        <f>AN$34/AM23</f>
        <v>78.075339</v>
      </c>
      <c r="AP23" s="4"/>
      <c r="AQ23" s="4">
        <f>1/0.527</f>
        <v>1.8975332068311195</v>
      </c>
      <c r="AR23" s="16">
        <v>77.96</v>
      </c>
      <c r="AS23" s="16">
        <f>AR$34/AQ23</f>
        <v>77.95911000000001</v>
      </c>
      <c r="AT23" s="4"/>
      <c r="AU23" s="4">
        <f>1/0.5266</f>
        <v>1.8989745537409801</v>
      </c>
      <c r="AV23" s="16">
        <v>77.94</v>
      </c>
      <c r="AW23" s="16">
        <f>AV$34/AU23</f>
        <v>77.94206599999998</v>
      </c>
      <c r="AX23" s="4"/>
      <c r="AY23" s="4">
        <f>1/0.5216</f>
        <v>1.9171779141104297</v>
      </c>
      <c r="AZ23" s="16">
        <v>77.25</v>
      </c>
      <c r="BA23" s="16">
        <f>AZ$34/AY23</f>
        <v>77.24374399999999</v>
      </c>
      <c r="BB23" s="4"/>
      <c r="BC23" s="4">
        <f>1/0.5186</f>
        <v>1.928268414963363</v>
      </c>
      <c r="BD23" s="16">
        <v>77.28</v>
      </c>
      <c r="BE23" s="16">
        <f>BD$34/BC23</f>
        <v>77.281772</v>
      </c>
      <c r="BF23" s="4"/>
      <c r="BG23" s="4">
        <f>1/0.5172</f>
        <v>1.9334880123743232</v>
      </c>
      <c r="BH23" s="16">
        <v>76.85</v>
      </c>
      <c r="BI23" s="16">
        <f>BH$34/BG23</f>
        <v>76.85074800000001</v>
      </c>
      <c r="BJ23" s="4"/>
      <c r="BK23" s="4">
        <f>1/0.5172</f>
        <v>1.9334880123743232</v>
      </c>
      <c r="BL23" s="16">
        <v>76.93</v>
      </c>
      <c r="BM23" s="16">
        <f>BL$34/BK23</f>
        <v>76.93350000000001</v>
      </c>
      <c r="BN23" s="4"/>
      <c r="BO23" s="4">
        <f>1/0.5178</f>
        <v>1.9312475859405174</v>
      </c>
      <c r="BP23" s="16">
        <v>76.54</v>
      </c>
      <c r="BQ23" s="16">
        <f>BP$34/BO23</f>
        <v>76.541196</v>
      </c>
      <c r="BR23" s="4"/>
      <c r="BS23" s="4">
        <f>1/0.5188</f>
        <v>1.9275250578257517</v>
      </c>
      <c r="BT23" s="16">
        <v>76.41</v>
      </c>
      <c r="BU23" s="16">
        <f>BT$34/BS23</f>
        <v>76.40886400000001</v>
      </c>
      <c r="BV23" s="4"/>
      <c r="BW23" s="4">
        <f>1/0.5186</f>
        <v>1.928268414963363</v>
      </c>
      <c r="BX23" s="16">
        <v>76.5</v>
      </c>
      <c r="BY23" s="16">
        <f>BX$34/BW23</f>
        <v>76.4935</v>
      </c>
      <c r="BZ23" s="4"/>
      <c r="CA23" s="4">
        <f>1/0.5144</f>
        <v>1.944012441679627</v>
      </c>
      <c r="CB23" s="16">
        <v>75.97</v>
      </c>
      <c r="CC23" s="16">
        <f>CB$34/CA23</f>
        <v>75.97173599999999</v>
      </c>
      <c r="CD23" s="4"/>
      <c r="CE23" s="4">
        <f>1/0.5056</f>
        <v>1.9778481012658227</v>
      </c>
      <c r="CF23" s="16">
        <v>75.12</v>
      </c>
      <c r="CG23" s="16">
        <f>CF$34/CE23</f>
        <v>75.122048</v>
      </c>
      <c r="CH23" s="4"/>
      <c r="CI23" s="4">
        <f t="shared" si="0"/>
        <v>1.9294161707965927</v>
      </c>
      <c r="CJ23" s="4">
        <f t="shared" si="1"/>
        <v>77.00619047619048</v>
      </c>
      <c r="CK23" s="4">
        <f t="shared" si="2"/>
        <v>77.00601652380952</v>
      </c>
      <c r="CL23" s="4"/>
      <c r="CM23" s="23"/>
      <c r="CN23" s="42"/>
      <c r="CO23" s="42"/>
      <c r="CP23" s="23"/>
      <c r="CQ23" s="21"/>
    </row>
    <row r="24" spans="1:95" ht="15.75">
      <c r="A24" s="26">
        <v>13</v>
      </c>
      <c r="B24" s="64" t="s">
        <v>50</v>
      </c>
      <c r="C24" s="4">
        <v>1.5308</v>
      </c>
      <c r="D24" s="16">
        <v>97.61</v>
      </c>
      <c r="E24" s="16">
        <f>D$34/C24</f>
        <v>97.60909328455709</v>
      </c>
      <c r="F24" s="4"/>
      <c r="G24" s="4">
        <v>1.53</v>
      </c>
      <c r="H24" s="16">
        <v>97.45</v>
      </c>
      <c r="I24" s="16">
        <f>H$34/G24</f>
        <v>97.44444444444444</v>
      </c>
      <c r="J24" s="4"/>
      <c r="K24" s="4">
        <v>1.5378</v>
      </c>
      <c r="L24" s="16">
        <v>97.14</v>
      </c>
      <c r="M24" s="16">
        <f>L$34/K24</f>
        <v>97.13876967095851</v>
      </c>
      <c r="N24" s="4"/>
      <c r="O24" s="4">
        <v>1.5302</v>
      </c>
      <c r="P24" s="16">
        <v>97.31</v>
      </c>
      <c r="Q24" s="16">
        <f>P$34/O24</f>
        <v>97.31407659129525</v>
      </c>
      <c r="R24" s="4"/>
      <c r="S24" s="4">
        <v>1.5201</v>
      </c>
      <c r="T24" s="16">
        <v>98.02</v>
      </c>
      <c r="U24" s="16">
        <f>T$34/S24</f>
        <v>98.01986711400566</v>
      </c>
      <c r="V24" s="4"/>
      <c r="W24" s="4">
        <v>1.5206</v>
      </c>
      <c r="X24" s="16">
        <v>98.22</v>
      </c>
      <c r="Y24" s="16">
        <f>X$34/W24</f>
        <v>98.21780875970012</v>
      </c>
      <c r="Z24" s="4"/>
      <c r="AA24" s="4">
        <v>1.5194</v>
      </c>
      <c r="AB24" s="16">
        <v>97.93</v>
      </c>
      <c r="AC24" s="16">
        <f>AB$34/AA24</f>
        <v>97.9333947610899</v>
      </c>
      <c r="AD24" s="4"/>
      <c r="AE24" s="4">
        <v>1.5233</v>
      </c>
      <c r="AF24" s="16">
        <v>97.92</v>
      </c>
      <c r="AG24" s="16">
        <f>AF$34/AE24</f>
        <v>97.91899166283726</v>
      </c>
      <c r="AH24" s="4"/>
      <c r="AI24" s="4">
        <v>1.5236</v>
      </c>
      <c r="AJ24" s="16">
        <v>97.58</v>
      </c>
      <c r="AK24" s="16">
        <f>AJ$34/AI24</f>
        <v>97.57810448936728</v>
      </c>
      <c r="AL24" s="4"/>
      <c r="AM24" s="4">
        <v>1.5183</v>
      </c>
      <c r="AN24" s="16">
        <v>97.89</v>
      </c>
      <c r="AO24" s="16">
        <f>AN$34/AM24</f>
        <v>97.89237963511822</v>
      </c>
      <c r="AP24" s="4"/>
      <c r="AQ24" s="4">
        <v>1.5225</v>
      </c>
      <c r="AR24" s="16">
        <v>97.16</v>
      </c>
      <c r="AS24" s="16">
        <f>AR$34/AQ24</f>
        <v>97.16256157635469</v>
      </c>
      <c r="AT24" s="4"/>
      <c r="AU24" s="4">
        <v>1.527</v>
      </c>
      <c r="AV24" s="16">
        <v>96.93</v>
      </c>
      <c r="AW24" s="16">
        <f>AV$34/AU24</f>
        <v>96.92861820563196</v>
      </c>
      <c r="AX24" s="4"/>
      <c r="AY24" s="4">
        <v>1.533</v>
      </c>
      <c r="AZ24" s="16">
        <v>96.6</v>
      </c>
      <c r="BA24" s="16">
        <f>AZ$34/AY24</f>
        <v>96.60143509458578</v>
      </c>
      <c r="BB24" s="4"/>
      <c r="BC24" s="4">
        <v>1.534</v>
      </c>
      <c r="BD24" s="16">
        <v>97.14</v>
      </c>
      <c r="BE24" s="16">
        <f>BD$34/BC24</f>
        <v>97.14471968709258</v>
      </c>
      <c r="BF24" s="4"/>
      <c r="BG24" s="4">
        <v>1.5272</v>
      </c>
      <c r="BH24" s="16">
        <v>97.29</v>
      </c>
      <c r="BI24" s="16">
        <f>BH$34/BG24</f>
        <v>97.29570455735988</v>
      </c>
      <c r="BJ24" s="4"/>
      <c r="BK24" s="4">
        <v>1.5255</v>
      </c>
      <c r="BL24" s="16">
        <v>97.51</v>
      </c>
      <c r="BM24" s="16">
        <f>BL$34/BK24</f>
        <v>97.50901343821697</v>
      </c>
      <c r="BN24" s="4"/>
      <c r="BO24" s="4">
        <v>1.5208</v>
      </c>
      <c r="BP24" s="16">
        <v>97.2</v>
      </c>
      <c r="BQ24" s="16">
        <f>BP$34/BO24</f>
        <v>97.19884271436086</v>
      </c>
      <c r="BR24" s="4"/>
      <c r="BS24" s="4">
        <v>1.5166</v>
      </c>
      <c r="BT24" s="16">
        <v>97.11</v>
      </c>
      <c r="BU24" s="16">
        <f>BT$34/BS24</f>
        <v>97.11196096531717</v>
      </c>
      <c r="BV24" s="4"/>
      <c r="BW24" s="4">
        <v>1.516</v>
      </c>
      <c r="BX24" s="16">
        <v>97.3</v>
      </c>
      <c r="BY24" s="16">
        <f>BX$34/BW24</f>
        <v>97.29551451187335</v>
      </c>
      <c r="BZ24" s="4"/>
      <c r="CA24" s="4">
        <v>1.519</v>
      </c>
      <c r="CB24" s="16">
        <v>97.23</v>
      </c>
      <c r="CC24" s="16">
        <f>CB$34/CA24</f>
        <v>97.22843976300197</v>
      </c>
      <c r="CD24" s="4"/>
      <c r="CE24" s="4">
        <v>1.5244</v>
      </c>
      <c r="CF24" s="16">
        <v>97.47</v>
      </c>
      <c r="CG24" s="16">
        <f>CF$34/CE24</f>
        <v>97.4678562057203</v>
      </c>
      <c r="CH24" s="4"/>
      <c r="CI24" s="4">
        <f t="shared" si="0"/>
        <v>1.524766666666667</v>
      </c>
      <c r="CJ24" s="4">
        <f t="shared" si="1"/>
        <v>97.42904761904762</v>
      </c>
      <c r="CK24" s="4">
        <f t="shared" si="2"/>
        <v>97.4291236729947</v>
      </c>
      <c r="CL24" s="4"/>
      <c r="CM24" s="23"/>
      <c r="CN24" s="42"/>
      <c r="CO24" s="42"/>
      <c r="CP24" s="23"/>
      <c r="CQ24" s="21"/>
    </row>
    <row r="25" spans="1:95" ht="15.75">
      <c r="A25" s="26">
        <v>14</v>
      </c>
      <c r="B25" s="64" t="s">
        <v>51</v>
      </c>
      <c r="C25" s="4">
        <v>16.2134</v>
      </c>
      <c r="D25" s="16">
        <v>9.22</v>
      </c>
      <c r="E25" s="16">
        <f>D$34/C25</f>
        <v>9.215833816472793</v>
      </c>
      <c r="F25" s="4"/>
      <c r="G25" s="4">
        <v>16.1411</v>
      </c>
      <c r="H25" s="16">
        <v>9.24</v>
      </c>
      <c r="I25" s="16">
        <f>H$34/G25</f>
        <v>9.236669124161303</v>
      </c>
      <c r="J25" s="4"/>
      <c r="K25" s="4">
        <v>16.2517</v>
      </c>
      <c r="L25" s="16">
        <v>9.19</v>
      </c>
      <c r="M25" s="16">
        <f>L$34/K25</f>
        <v>9.191653796218242</v>
      </c>
      <c r="N25" s="4"/>
      <c r="O25" s="4">
        <v>16.1222</v>
      </c>
      <c r="P25" s="16">
        <v>9.24</v>
      </c>
      <c r="Q25" s="16">
        <f>P$34/O25</f>
        <v>9.236332510451428</v>
      </c>
      <c r="R25" s="4"/>
      <c r="S25" s="4">
        <v>16.2077</v>
      </c>
      <c r="T25" s="16">
        <v>9.19</v>
      </c>
      <c r="U25" s="16">
        <f>T$34/S25</f>
        <v>9.193161275196358</v>
      </c>
      <c r="V25" s="4"/>
      <c r="W25" s="4">
        <v>16.1848</v>
      </c>
      <c r="X25" s="16">
        <v>9.23</v>
      </c>
      <c r="Y25" s="16">
        <f>X$34/W25</f>
        <v>9.227793979536354</v>
      </c>
      <c r="Z25" s="4"/>
      <c r="AA25" s="4">
        <v>16.2096</v>
      </c>
      <c r="AB25" s="16">
        <v>9.18</v>
      </c>
      <c r="AC25" s="16">
        <f>AB$34/AA25</f>
        <v>9.17974533609713</v>
      </c>
      <c r="AD25" s="4"/>
      <c r="AE25" s="4">
        <v>16.2077</v>
      </c>
      <c r="AF25" s="16">
        <v>9.2</v>
      </c>
      <c r="AG25" s="16">
        <f>AF$34/AE25</f>
        <v>9.203033126230126</v>
      </c>
      <c r="AH25" s="4"/>
      <c r="AI25" s="4">
        <v>16.1071</v>
      </c>
      <c r="AJ25" s="16">
        <v>9.23</v>
      </c>
      <c r="AK25" s="16">
        <f>AJ$34/AI25</f>
        <v>9.230091077847657</v>
      </c>
      <c r="AL25" s="4"/>
      <c r="AM25" s="4">
        <v>16.1411</v>
      </c>
      <c r="AN25" s="16">
        <v>9.21</v>
      </c>
      <c r="AO25" s="16">
        <f>AN$34/AM25</f>
        <v>9.20817044687165</v>
      </c>
      <c r="AP25" s="4"/>
      <c r="AQ25" s="4">
        <v>15.9743</v>
      </c>
      <c r="AR25" s="16">
        <v>9.26</v>
      </c>
      <c r="AS25" s="16">
        <f>AR$34/AQ25</f>
        <v>9.260499677607157</v>
      </c>
      <c r="AT25" s="4"/>
      <c r="AU25" s="4">
        <v>15.9892</v>
      </c>
      <c r="AV25" s="16">
        <v>9.26</v>
      </c>
      <c r="AW25" s="16">
        <f>AV$34/AU25</f>
        <v>9.256873389537937</v>
      </c>
      <c r="AX25" s="4"/>
      <c r="AY25" s="4">
        <v>16.062</v>
      </c>
      <c r="AZ25" s="16">
        <v>9.22</v>
      </c>
      <c r="BA25" s="16">
        <f>AZ$34/AY25</f>
        <v>9.21989789565434</v>
      </c>
      <c r="BB25" s="4"/>
      <c r="BC25" s="4">
        <v>16.1696</v>
      </c>
      <c r="BD25" s="16">
        <v>9.22</v>
      </c>
      <c r="BE25" s="16">
        <f>BD$34/BC25</f>
        <v>9.216059766475363</v>
      </c>
      <c r="BF25" s="4"/>
      <c r="BG25" s="4">
        <v>16.1373</v>
      </c>
      <c r="BH25" s="16">
        <v>9.21</v>
      </c>
      <c r="BI25" s="16">
        <f>BH$34/BG25</f>
        <v>9.207860050937889</v>
      </c>
      <c r="BJ25" s="4"/>
      <c r="BK25" s="4">
        <v>16.1147</v>
      </c>
      <c r="BL25" s="16">
        <v>9.23</v>
      </c>
      <c r="BM25" s="16">
        <f>BL$34/BK25</f>
        <v>9.230702402154556</v>
      </c>
      <c r="BN25" s="4"/>
      <c r="BO25" s="4">
        <v>15.9892</v>
      </c>
      <c r="BP25" s="16">
        <v>9.25</v>
      </c>
      <c r="BQ25" s="16">
        <f>BP$34/BO25</f>
        <v>9.244990368498737</v>
      </c>
      <c r="BR25" s="4"/>
      <c r="BS25" s="4">
        <v>15.9558</v>
      </c>
      <c r="BT25" s="16">
        <v>9.23</v>
      </c>
      <c r="BU25" s="16">
        <f>BT$34/BS25</f>
        <v>9.230499254189699</v>
      </c>
      <c r="BV25" s="4"/>
      <c r="BW25" s="4">
        <v>15.9985</v>
      </c>
      <c r="BX25" s="16">
        <v>9.22</v>
      </c>
      <c r="BY25" s="16">
        <f>BX$34/BW25</f>
        <v>9.219614338844266</v>
      </c>
      <c r="BZ25" s="4"/>
      <c r="CA25" s="4">
        <v>16.0911</v>
      </c>
      <c r="CB25" s="16">
        <v>9.18</v>
      </c>
      <c r="CC25" s="16">
        <f>CB$34/CA25</f>
        <v>9.17836568040718</v>
      </c>
      <c r="CD25" s="4"/>
      <c r="CE25" s="4">
        <v>16.2191</v>
      </c>
      <c r="CF25" s="16">
        <v>9.16</v>
      </c>
      <c r="CG25" s="16">
        <f>CF$34/CE25</f>
        <v>9.160804236979857</v>
      </c>
      <c r="CH25" s="4"/>
      <c r="CI25" s="4">
        <f t="shared" si="0"/>
        <v>16.118438095238098</v>
      </c>
      <c r="CJ25" s="4">
        <f t="shared" si="1"/>
        <v>9.21761904761905</v>
      </c>
      <c r="CK25" s="4">
        <f t="shared" si="2"/>
        <v>9.216602454779526</v>
      </c>
      <c r="CL25" s="4"/>
      <c r="CM25" s="23"/>
      <c r="CN25" s="42"/>
      <c r="CO25" s="42"/>
      <c r="CP25" s="23"/>
      <c r="CQ25" s="21"/>
    </row>
    <row r="26" spans="1:95" ht="15.75">
      <c r="A26" s="26">
        <v>15</v>
      </c>
      <c r="B26" s="64" t="s">
        <v>52</v>
      </c>
      <c r="C26" s="4">
        <v>196.0481</v>
      </c>
      <c r="D26" s="16">
        <v>76.22</v>
      </c>
      <c r="E26" s="16">
        <f>D$34/C26*100</f>
        <v>76.21598985147011</v>
      </c>
      <c r="F26" s="4"/>
      <c r="G26" s="4">
        <v>195.1742</v>
      </c>
      <c r="H26" s="16">
        <v>76.39</v>
      </c>
      <c r="I26" s="16">
        <f>H$34/G26*100</f>
        <v>76.38817015773601</v>
      </c>
      <c r="J26" s="4"/>
      <c r="K26" s="4">
        <v>196.5112</v>
      </c>
      <c r="L26" s="16">
        <v>76.02</v>
      </c>
      <c r="M26" s="16">
        <f>L$34/K26*100</f>
        <v>76.01602351418137</v>
      </c>
      <c r="N26" s="4"/>
      <c r="O26" s="4">
        <v>194.9455</v>
      </c>
      <c r="P26" s="16">
        <v>76.38</v>
      </c>
      <c r="Q26" s="16">
        <f>P$34/O26*100</f>
        <v>76.3854513184454</v>
      </c>
      <c r="R26" s="4"/>
      <c r="S26" s="4">
        <v>195.9788</v>
      </c>
      <c r="T26" s="16">
        <v>76.03</v>
      </c>
      <c r="U26" s="16">
        <f>T$34/S26*100</f>
        <v>76.02863166832331</v>
      </c>
      <c r="V26" s="4"/>
      <c r="W26" s="4">
        <v>195.7022</v>
      </c>
      <c r="X26" s="16">
        <v>76.32</v>
      </c>
      <c r="Y26" s="16">
        <f>X$34/W26*100</f>
        <v>76.31493156438711</v>
      </c>
      <c r="Z26" s="4"/>
      <c r="AA26" s="4">
        <v>196.0019</v>
      </c>
      <c r="AB26" s="16">
        <v>75.92</v>
      </c>
      <c r="AC26" s="16">
        <f>AB$34/AA26*100</f>
        <v>75.91763141071593</v>
      </c>
      <c r="AD26" s="4"/>
      <c r="AE26" s="4">
        <v>195.9788</v>
      </c>
      <c r="AF26" s="41">
        <v>76.11</v>
      </c>
      <c r="AG26" s="16">
        <f>AF$34/AE26*100</f>
        <v>76.110273151994</v>
      </c>
      <c r="AH26" s="4"/>
      <c r="AI26" s="4">
        <v>194.763</v>
      </c>
      <c r="AJ26" s="16">
        <v>76.33</v>
      </c>
      <c r="AK26" s="16">
        <f>AJ$34/AI26*100</f>
        <v>76.33380056786966</v>
      </c>
      <c r="AL26" s="4"/>
      <c r="AM26" s="4">
        <v>195.1742</v>
      </c>
      <c r="AN26" s="16">
        <v>76.15</v>
      </c>
      <c r="AO26" s="16">
        <f>AN$34/AM26*100</f>
        <v>76.1524832687927</v>
      </c>
      <c r="AP26" s="4"/>
      <c r="AQ26" s="4">
        <v>193.1577</v>
      </c>
      <c r="AR26" s="16">
        <v>76.58</v>
      </c>
      <c r="AS26" s="16">
        <f>AR$34/AQ26*100</f>
        <v>76.5850908351052</v>
      </c>
      <c r="AT26" s="4"/>
      <c r="AU26" s="4">
        <v>193.3372</v>
      </c>
      <c r="AV26" s="16">
        <v>76.56</v>
      </c>
      <c r="AW26" s="16">
        <f>AV$34/AU26*100</f>
        <v>76.55536544441524</v>
      </c>
      <c r="AX26" s="4"/>
      <c r="AY26" s="4">
        <v>194.2173</v>
      </c>
      <c r="AZ26" s="16">
        <v>76.25</v>
      </c>
      <c r="BA26" s="16">
        <f>AZ$34/AY26*100</f>
        <v>76.24964408422937</v>
      </c>
      <c r="BB26" s="4"/>
      <c r="BC26" s="4">
        <v>195.5182</v>
      </c>
      <c r="BD26" s="16">
        <v>76.22</v>
      </c>
      <c r="BE26" s="16">
        <f>BD$34/BC26*100</f>
        <v>76.21796845511058</v>
      </c>
      <c r="BF26" s="4"/>
      <c r="BG26" s="4">
        <v>195.1284</v>
      </c>
      <c r="BH26" s="16">
        <v>76.15</v>
      </c>
      <c r="BI26" s="16">
        <f>BH$34/BG26*100</f>
        <v>76.14985824718494</v>
      </c>
      <c r="BJ26" s="4"/>
      <c r="BK26" s="4">
        <v>194.8542</v>
      </c>
      <c r="BL26" s="16">
        <v>76.34</v>
      </c>
      <c r="BM26" s="16">
        <f>BL$34/BK26*100</f>
        <v>76.33912946192589</v>
      </c>
      <c r="BN26" s="4"/>
      <c r="BO26" s="4">
        <v>193.3372</v>
      </c>
      <c r="BP26" s="16">
        <v>76.46</v>
      </c>
      <c r="BQ26" s="16">
        <f>BP$34/BO26*100</f>
        <v>76.45709154782422</v>
      </c>
      <c r="BR26" s="4"/>
      <c r="BS26" s="4">
        <v>192.9337</v>
      </c>
      <c r="BT26" s="16">
        <v>76.34</v>
      </c>
      <c r="BU26" s="16">
        <f>BT$34/BS26*100</f>
        <v>76.33710440425908</v>
      </c>
      <c r="BV26" s="4"/>
      <c r="BW26" s="4">
        <v>193.4496</v>
      </c>
      <c r="BX26" s="16">
        <v>73.25</v>
      </c>
      <c r="BY26" s="16">
        <f>BX$34/BW26*100</f>
        <v>76.24724992969745</v>
      </c>
      <c r="BZ26" s="4"/>
      <c r="CA26" s="4">
        <v>194.5694</v>
      </c>
      <c r="CB26" s="16">
        <v>75.91</v>
      </c>
      <c r="CC26" s="16">
        <f>CB$34/CA26*100</f>
        <v>75.90607772856369</v>
      </c>
      <c r="CD26" s="4"/>
      <c r="CE26" s="4">
        <v>196.1174</v>
      </c>
      <c r="CF26" s="16">
        <v>75.76</v>
      </c>
      <c r="CG26" s="16">
        <f>CF$34/CE26*100</f>
        <v>75.7607433098746</v>
      </c>
      <c r="CH26" s="4"/>
      <c r="CI26" s="4">
        <f t="shared" si="0"/>
        <v>194.89991428571426</v>
      </c>
      <c r="CJ26" s="4">
        <f t="shared" si="1"/>
        <v>76.08047619047619</v>
      </c>
      <c r="CK26" s="4">
        <f t="shared" si="2"/>
        <v>76.22231952010029</v>
      </c>
      <c r="CL26" s="4"/>
      <c r="CM26" s="23"/>
      <c r="CN26" s="42"/>
      <c r="CO26" s="42"/>
      <c r="CP26" s="23"/>
      <c r="CQ26" s="21"/>
    </row>
    <row r="27" spans="1:95" ht="15.75">
      <c r="A27" s="26">
        <v>16</v>
      </c>
      <c r="B27" s="64" t="s">
        <v>53</v>
      </c>
      <c r="C27" s="4">
        <v>10.8017</v>
      </c>
      <c r="D27" s="16">
        <v>13.83</v>
      </c>
      <c r="E27" s="16">
        <f>D$34/C27</f>
        <v>13.833007767295888</v>
      </c>
      <c r="F27" s="4"/>
      <c r="G27" s="4">
        <v>10.826</v>
      </c>
      <c r="H27" s="16">
        <v>13.77</v>
      </c>
      <c r="I27" s="16">
        <f>H$34/G27</f>
        <v>13.77147607611306</v>
      </c>
      <c r="J27" s="4"/>
      <c r="K27" s="4">
        <v>10.9</v>
      </c>
      <c r="L27" s="16">
        <v>13.7</v>
      </c>
      <c r="M27" s="16">
        <f>L$34/K27</f>
        <v>13.704587155963301</v>
      </c>
      <c r="N27" s="4"/>
      <c r="O27" s="4">
        <v>10.8186</v>
      </c>
      <c r="P27" s="16">
        <v>13.76</v>
      </c>
      <c r="Q27" s="16">
        <f>P$34/O27</f>
        <v>13.764257852217478</v>
      </c>
      <c r="R27" s="4"/>
      <c r="S27" s="4">
        <v>10.9825</v>
      </c>
      <c r="T27" s="16">
        <v>13.57</v>
      </c>
      <c r="U27" s="16">
        <f>T$34/S27</f>
        <v>13.56703847029365</v>
      </c>
      <c r="V27" s="4"/>
      <c r="W27" s="4">
        <v>10.954</v>
      </c>
      <c r="X27" s="16">
        <v>13.63</v>
      </c>
      <c r="Y27" s="16">
        <f>X$34/W27</f>
        <v>13.634288844257805</v>
      </c>
      <c r="Z27" s="4"/>
      <c r="AA27" s="4">
        <v>10.928</v>
      </c>
      <c r="AB27" s="16">
        <v>13.62</v>
      </c>
      <c r="AC27" s="16">
        <f>AB$34/AA27</f>
        <v>13.616398243045388</v>
      </c>
      <c r="AD27" s="4"/>
      <c r="AE27" s="4">
        <v>10.982</v>
      </c>
      <c r="AF27" s="16">
        <v>13.58</v>
      </c>
      <c r="AG27" s="16">
        <f>AF$34/AE27</f>
        <v>13.58222545984338</v>
      </c>
      <c r="AH27" s="4"/>
      <c r="AI27" s="4">
        <v>10.836</v>
      </c>
      <c r="AJ27" s="16">
        <v>13.72</v>
      </c>
      <c r="AK27" s="16">
        <f>AJ$34/AI27</f>
        <v>13.720007382798078</v>
      </c>
      <c r="AL27" s="4"/>
      <c r="AM27" s="4">
        <v>10.832</v>
      </c>
      <c r="AN27" s="16">
        <v>13.72</v>
      </c>
      <c r="AO27" s="16">
        <f>AN$34/AM27</f>
        <v>13.721381093057605</v>
      </c>
      <c r="AP27" s="4"/>
      <c r="AQ27" s="4">
        <v>10.598</v>
      </c>
      <c r="AR27" s="16">
        <v>13.96</v>
      </c>
      <c r="AS27" s="16">
        <f>AR$34/AQ27</f>
        <v>13.958294017739195</v>
      </c>
      <c r="AT27" s="4"/>
      <c r="AU27" s="4">
        <v>10.6</v>
      </c>
      <c r="AV27" s="16">
        <v>13.96</v>
      </c>
      <c r="AW27" s="16">
        <f>AV$34/AU27</f>
        <v>13.96320754716981</v>
      </c>
      <c r="AX27" s="4"/>
      <c r="AY27" s="4">
        <v>10.65</v>
      </c>
      <c r="AZ27" s="16">
        <v>13.91</v>
      </c>
      <c r="BA27" s="16">
        <f>AZ$34/AY27</f>
        <v>13.905164319248826</v>
      </c>
      <c r="BB27" s="4"/>
      <c r="BC27" s="4">
        <v>10.7422</v>
      </c>
      <c r="BD27" s="16">
        <v>13.87</v>
      </c>
      <c r="BE27" s="16">
        <f>BD$34/BC27</f>
        <v>13.872391130308504</v>
      </c>
      <c r="BF27" s="4"/>
      <c r="BG27" s="4">
        <v>10.7338</v>
      </c>
      <c r="BH27" s="16">
        <v>13.84</v>
      </c>
      <c r="BI27" s="16">
        <f>BH$34/BG27</f>
        <v>13.843186942182637</v>
      </c>
      <c r="BJ27" s="4"/>
      <c r="BK27" s="4">
        <v>10.7295</v>
      </c>
      <c r="BL27" s="16">
        <v>13.86</v>
      </c>
      <c r="BM27" s="16">
        <f>BL$34/BK27</f>
        <v>13.86364695465772</v>
      </c>
      <c r="BN27" s="4"/>
      <c r="BO27" s="4">
        <v>10.6165</v>
      </c>
      <c r="BP27" s="16">
        <v>13.92</v>
      </c>
      <c r="BQ27" s="16">
        <f>BP$34/BO27</f>
        <v>13.923609475815946</v>
      </c>
      <c r="BR27" s="4"/>
      <c r="BS27" s="4">
        <v>10.69</v>
      </c>
      <c r="BT27" s="16">
        <v>13.78</v>
      </c>
      <c r="BU27" s="16">
        <f>BT$34/BS27</f>
        <v>13.777362020579982</v>
      </c>
      <c r="BV27" s="4"/>
      <c r="BW27" s="4">
        <v>10.736</v>
      </c>
      <c r="BX27" s="16">
        <v>13.74</v>
      </c>
      <c r="BY27" s="16">
        <f>BX$34/BW27</f>
        <v>13.738822652757078</v>
      </c>
      <c r="BZ27" s="4"/>
      <c r="CA27" s="4">
        <v>10.763</v>
      </c>
      <c r="CB27" s="16">
        <v>13.72</v>
      </c>
      <c r="CC27" s="16">
        <f>CB$34/CA27</f>
        <v>13.722010591842423</v>
      </c>
      <c r="CD27" s="4"/>
      <c r="CE27" s="4">
        <v>10.838</v>
      </c>
      <c r="CF27" s="16">
        <v>13.71</v>
      </c>
      <c r="CG27" s="16">
        <f>CF$34/CE27</f>
        <v>13.709171433843885</v>
      </c>
      <c r="CH27" s="4"/>
      <c r="CI27" s="4">
        <f t="shared" si="0"/>
        <v>10.788466666666668</v>
      </c>
      <c r="CJ27" s="4">
        <f t="shared" si="1"/>
        <v>13.770000000000001</v>
      </c>
      <c r="CK27" s="4">
        <f t="shared" si="2"/>
        <v>13.771025496715792</v>
      </c>
      <c r="CL27" s="4"/>
      <c r="CM27" s="23"/>
      <c r="CN27" s="42"/>
      <c r="CO27" s="42"/>
      <c r="CP27" s="23"/>
      <c r="CQ27" s="21"/>
    </row>
    <row r="28" spans="1:95" ht="15.75">
      <c r="A28" s="26">
        <v>17</v>
      </c>
      <c r="B28" s="64" t="s">
        <v>54</v>
      </c>
      <c r="C28" s="4">
        <v>9.405</v>
      </c>
      <c r="D28" s="16">
        <v>15.89</v>
      </c>
      <c r="E28" s="16">
        <f>D$34/C28</f>
        <v>15.88729399255715</v>
      </c>
      <c r="F28" s="4"/>
      <c r="G28" s="4">
        <v>9.3618</v>
      </c>
      <c r="H28" s="16">
        <v>15.93</v>
      </c>
      <c r="I28" s="16">
        <f>H$34/G28</f>
        <v>15.925356234912089</v>
      </c>
      <c r="J28" s="4"/>
      <c r="K28" s="4">
        <v>9.4078</v>
      </c>
      <c r="L28" s="16">
        <v>15.88</v>
      </c>
      <c r="M28" s="16">
        <f>L$34/K28</f>
        <v>15.878313739662833</v>
      </c>
      <c r="N28" s="4"/>
      <c r="O28" s="4">
        <v>9.3374</v>
      </c>
      <c r="P28" s="16">
        <v>15.95</v>
      </c>
      <c r="Q28" s="16">
        <f>P$34/O28</f>
        <v>15.947694218947458</v>
      </c>
      <c r="R28" s="4"/>
      <c r="S28" s="4">
        <v>9.364</v>
      </c>
      <c r="T28" s="16">
        <v>15.91</v>
      </c>
      <c r="U28" s="16">
        <f>T$34/S28</f>
        <v>15.912003417343014</v>
      </c>
      <c r="V28" s="4"/>
      <c r="W28" s="4">
        <v>9.3436</v>
      </c>
      <c r="X28" s="16">
        <v>15.98</v>
      </c>
      <c r="Y28" s="16">
        <f>X$34/W28</f>
        <v>15.984203090885739</v>
      </c>
      <c r="Z28" s="4"/>
      <c r="AA28" s="4">
        <v>9.354</v>
      </c>
      <c r="AB28" s="16">
        <v>15.91</v>
      </c>
      <c r="AC28" s="16">
        <f>AB$34/AA28</f>
        <v>15.907633098139836</v>
      </c>
      <c r="AD28" s="4"/>
      <c r="AE28" s="4">
        <v>9.4018</v>
      </c>
      <c r="AF28" s="16">
        <v>15.87</v>
      </c>
      <c r="AG28" s="16">
        <f>AF$34/AE28</f>
        <v>15.865047118636857</v>
      </c>
      <c r="AH28" s="4"/>
      <c r="AI28" s="4">
        <v>9.3558</v>
      </c>
      <c r="AJ28" s="16">
        <v>15.89</v>
      </c>
      <c r="AK28" s="16">
        <f>AJ$34/AI28</f>
        <v>15.89067744073195</v>
      </c>
      <c r="AL28" s="4"/>
      <c r="AM28" s="4">
        <v>9.3214</v>
      </c>
      <c r="AN28" s="16">
        <v>15.94</v>
      </c>
      <c r="AO28" s="16">
        <f>AN$34/AM28</f>
        <v>15.945029716566179</v>
      </c>
      <c r="AP28" s="4"/>
      <c r="AQ28" s="4">
        <v>9.275</v>
      </c>
      <c r="AR28" s="16">
        <v>15.95</v>
      </c>
      <c r="AS28" s="16">
        <f>AR$34/AQ28</f>
        <v>15.949326145552561</v>
      </c>
      <c r="AT28" s="4"/>
      <c r="AU28" s="4">
        <v>9.2366</v>
      </c>
      <c r="AV28" s="16">
        <v>16.02</v>
      </c>
      <c r="AW28" s="16">
        <f>AV$34/AU28</f>
        <v>16.024294653876968</v>
      </c>
      <c r="AX28" s="4"/>
      <c r="AY28" s="4">
        <v>9.238</v>
      </c>
      <c r="AZ28" s="16">
        <v>16.03</v>
      </c>
      <c r="BA28" s="16">
        <f>AZ$34/AY28</f>
        <v>16.030526087897815</v>
      </c>
      <c r="BB28" s="4"/>
      <c r="BC28" s="4">
        <v>9.233</v>
      </c>
      <c r="BD28" s="16">
        <v>16.14</v>
      </c>
      <c r="BE28" s="16">
        <f>BD$34/BC28</f>
        <v>16.139932849561355</v>
      </c>
      <c r="BF28" s="4"/>
      <c r="BG28" s="4">
        <v>9.231</v>
      </c>
      <c r="BH28" s="16">
        <v>16.1</v>
      </c>
      <c r="BI28" s="16">
        <f>BH$34/BG28</f>
        <v>16.09684757881053</v>
      </c>
      <c r="BJ28" s="4"/>
      <c r="BK28" s="4">
        <v>9.2218</v>
      </c>
      <c r="BL28" s="16">
        <v>16.13</v>
      </c>
      <c r="BM28" s="16">
        <f>BL$34/BK28</f>
        <v>16.13025656596326</v>
      </c>
      <c r="BN28" s="4"/>
      <c r="BO28" s="4">
        <v>9.2042</v>
      </c>
      <c r="BP28" s="16">
        <v>16.06</v>
      </c>
      <c r="BQ28" s="16">
        <f>BP$34/BO28</f>
        <v>16.06005953803698</v>
      </c>
      <c r="BR28" s="4"/>
      <c r="BS28" s="4">
        <v>9.1818</v>
      </c>
      <c r="BT28" s="16">
        <v>16.04</v>
      </c>
      <c r="BU28" s="16">
        <f>BT$34/BS28</f>
        <v>16.04042780282733</v>
      </c>
      <c r="BV28" s="4"/>
      <c r="BW28" s="4">
        <v>9.1876</v>
      </c>
      <c r="BX28" s="16">
        <v>16.05</v>
      </c>
      <c r="BY28" s="16">
        <f>BX$34/BW28</f>
        <v>16.054247028603772</v>
      </c>
      <c r="BZ28" s="4"/>
      <c r="CA28" s="4">
        <v>9.2354</v>
      </c>
      <c r="CB28" s="16">
        <v>15.99</v>
      </c>
      <c r="CC28" s="16">
        <f>CB$34/CA28</f>
        <v>15.99172748337917</v>
      </c>
      <c r="CD28" s="4"/>
      <c r="CE28" s="4">
        <v>9.2948</v>
      </c>
      <c r="CF28" s="16">
        <v>15.99</v>
      </c>
      <c r="CG28" s="16">
        <f>CF$34/CE28</f>
        <v>15.98528209321341</v>
      </c>
      <c r="CH28" s="4"/>
      <c r="CI28" s="4">
        <f t="shared" si="0"/>
        <v>9.29484761904762</v>
      </c>
      <c r="CJ28" s="4">
        <f t="shared" si="1"/>
        <v>15.983333333333334</v>
      </c>
      <c r="CK28" s="4">
        <f t="shared" si="2"/>
        <v>15.983151423624108</v>
      </c>
      <c r="CL28" s="4"/>
      <c r="CM28" s="23"/>
      <c r="CN28" s="42"/>
      <c r="CO28" s="42"/>
      <c r="CP28" s="23"/>
      <c r="CQ28" s="21"/>
    </row>
    <row r="29" spans="1:95" ht="15.75">
      <c r="A29" s="26">
        <v>18</v>
      </c>
      <c r="B29" s="64" t="s">
        <v>55</v>
      </c>
      <c r="C29" s="4">
        <v>8.7787</v>
      </c>
      <c r="D29" s="16">
        <v>17.02</v>
      </c>
      <c r="E29" s="16">
        <f>D$34/C29</f>
        <v>17.0207433902514</v>
      </c>
      <c r="F29" s="4"/>
      <c r="G29" s="4">
        <v>8.7454</v>
      </c>
      <c r="H29" s="16">
        <v>17.05</v>
      </c>
      <c r="I29" s="16">
        <f>H$34/G29</f>
        <v>17.04781942506918</v>
      </c>
      <c r="J29" s="4"/>
      <c r="K29" s="4">
        <v>8.8027</v>
      </c>
      <c r="L29" s="16">
        <v>16.97</v>
      </c>
      <c r="M29" s="16">
        <f>L$34/K29</f>
        <v>16.969793358855807</v>
      </c>
      <c r="N29" s="4"/>
      <c r="O29" s="4">
        <v>8.7286</v>
      </c>
      <c r="P29" s="16">
        <v>17.06</v>
      </c>
      <c r="Q29" s="16">
        <f>P$34/O29</f>
        <v>17.06000962353642</v>
      </c>
      <c r="R29" s="4"/>
      <c r="S29" s="4">
        <v>8.777</v>
      </c>
      <c r="T29" s="16">
        <v>16.98</v>
      </c>
      <c r="U29" s="16">
        <f>T$34/S29</f>
        <v>16.976187763472716</v>
      </c>
      <c r="V29" s="4"/>
      <c r="W29" s="4">
        <v>8.7625</v>
      </c>
      <c r="X29" s="16">
        <v>17.04</v>
      </c>
      <c r="Y29" s="16">
        <f>X$34/W29</f>
        <v>17.044222539229672</v>
      </c>
      <c r="Z29" s="4"/>
      <c r="AA29" s="4">
        <v>8.7775</v>
      </c>
      <c r="AB29" s="16">
        <v>16.95</v>
      </c>
      <c r="AC29" s="16">
        <f>AB$34/AA29</f>
        <v>16.95243520364569</v>
      </c>
      <c r="AD29" s="4"/>
      <c r="AE29" s="4">
        <v>8.7755</v>
      </c>
      <c r="AF29" s="16">
        <v>17</v>
      </c>
      <c r="AG29" s="16">
        <f>AF$34/AE29</f>
        <v>16.997322089909407</v>
      </c>
      <c r="AH29" s="4"/>
      <c r="AI29" s="4">
        <v>8.725</v>
      </c>
      <c r="AJ29" s="16">
        <v>17.04</v>
      </c>
      <c r="AK29" s="16">
        <f>AJ$34/AI29</f>
        <v>17.039541547277935</v>
      </c>
      <c r="AL29" s="4"/>
      <c r="AM29" s="4">
        <v>8.7406</v>
      </c>
      <c r="AN29" s="16">
        <v>17</v>
      </c>
      <c r="AO29" s="16">
        <f>AN$34/AM29</f>
        <v>17.00455346314898</v>
      </c>
      <c r="AP29" s="4"/>
      <c r="AQ29" s="4">
        <v>8.652</v>
      </c>
      <c r="AR29" s="16">
        <v>17.1</v>
      </c>
      <c r="AS29" s="16">
        <f>AR$34/AQ29</f>
        <v>17.097780859916785</v>
      </c>
      <c r="AT29" s="4"/>
      <c r="AU29" s="4">
        <v>8.66</v>
      </c>
      <c r="AV29" s="16">
        <v>17.09</v>
      </c>
      <c r="AW29" s="16">
        <f>AV$34/AU29</f>
        <v>17.09122401847575</v>
      </c>
      <c r="AX29" s="4"/>
      <c r="AY29" s="4">
        <v>8.7</v>
      </c>
      <c r="AZ29" s="16">
        <v>17.02</v>
      </c>
      <c r="BA29" s="16">
        <f>AZ$34/AY29</f>
        <v>17.02183908045977</v>
      </c>
      <c r="BB29" s="4"/>
      <c r="BC29" s="4">
        <v>8.7575</v>
      </c>
      <c r="BD29" s="16">
        <v>17.02</v>
      </c>
      <c r="BE29" s="16">
        <f>BD$34/BC29</f>
        <v>17.01627176705681</v>
      </c>
      <c r="BF29" s="4"/>
      <c r="BG29" s="4">
        <v>8.739</v>
      </c>
      <c r="BH29" s="16">
        <v>17</v>
      </c>
      <c r="BI29" s="16">
        <f>BH$34/BG29</f>
        <v>17.00308959835221</v>
      </c>
      <c r="BJ29" s="4"/>
      <c r="BK29" s="4">
        <v>8.7231</v>
      </c>
      <c r="BL29" s="16">
        <v>17.05</v>
      </c>
      <c r="BM29" s="16">
        <f>BL$34/BK29</f>
        <v>17.0524240235696</v>
      </c>
      <c r="BN29" s="4"/>
      <c r="BO29" s="4">
        <v>8.6545</v>
      </c>
      <c r="BP29" s="16">
        <v>17.08</v>
      </c>
      <c r="BQ29" s="16">
        <f>BP$34/BO29</f>
        <v>17.080131723380898</v>
      </c>
      <c r="BR29" s="4"/>
      <c r="BS29" s="4">
        <v>8.638</v>
      </c>
      <c r="BT29" s="16">
        <v>17.05</v>
      </c>
      <c r="BU29" s="16">
        <f>BT$34/BS29</f>
        <v>17.050243111831442</v>
      </c>
      <c r="BV29" s="4"/>
      <c r="BW29" s="4">
        <v>8.656</v>
      </c>
      <c r="BX29" s="16">
        <v>17.04</v>
      </c>
      <c r="BY29" s="16">
        <f>BX$34/BW29</f>
        <v>17.040203327171902</v>
      </c>
      <c r="BZ29" s="4"/>
      <c r="CA29" s="4">
        <v>8.7089</v>
      </c>
      <c r="CB29" s="16">
        <v>16.96</v>
      </c>
      <c r="CC29" s="16">
        <f>CB$34/CA29</f>
        <v>16.95851370437139</v>
      </c>
      <c r="CD29" s="4"/>
      <c r="CE29" s="4">
        <v>8.772</v>
      </c>
      <c r="CF29" s="16">
        <v>16.94</v>
      </c>
      <c r="CG29" s="16">
        <f>CF$34/CE29</f>
        <v>16.93798449612403</v>
      </c>
      <c r="CH29" s="4"/>
      <c r="CI29" s="4">
        <f t="shared" si="0"/>
        <v>8.727357142857143</v>
      </c>
      <c r="CJ29" s="4">
        <f t="shared" si="1"/>
        <v>17.02190476190476</v>
      </c>
      <c r="CK29" s="4">
        <f t="shared" si="2"/>
        <v>17.022015910243233</v>
      </c>
      <c r="CL29" s="4"/>
      <c r="CM29" s="23"/>
      <c r="CN29" s="42"/>
      <c r="CO29" s="42"/>
      <c r="CP29" s="23"/>
      <c r="CQ29" s="21"/>
    </row>
    <row r="30" spans="1:95" ht="15.75">
      <c r="A30" s="26">
        <v>19</v>
      </c>
      <c r="B30" s="64" t="s">
        <v>56</v>
      </c>
      <c r="C30" s="4">
        <v>7.0057</v>
      </c>
      <c r="D30" s="16">
        <v>21.33</v>
      </c>
      <c r="E30" s="16">
        <f>D$34/C30</f>
        <v>21.328346917510025</v>
      </c>
      <c r="F30" s="4"/>
      <c r="G30" s="4">
        <v>6.9745</v>
      </c>
      <c r="H30" s="16">
        <v>21.38</v>
      </c>
      <c r="I30" s="16">
        <f>H$34/G30</f>
        <v>21.3764427557531</v>
      </c>
      <c r="J30" s="4"/>
      <c r="K30" s="4">
        <v>7.0222</v>
      </c>
      <c r="L30" s="16">
        <v>21.27</v>
      </c>
      <c r="M30" s="16">
        <f>L$34/K30</f>
        <v>21.272535672581242</v>
      </c>
      <c r="N30" s="4"/>
      <c r="O30" s="4">
        <v>6.9663</v>
      </c>
      <c r="P30" s="16">
        <v>21.38</v>
      </c>
      <c r="Q30" s="16">
        <f>P$34/O30</f>
        <v>21.375766188651074</v>
      </c>
      <c r="R30" s="4"/>
      <c r="S30" s="4">
        <v>7.0032</v>
      </c>
      <c r="T30" s="16">
        <v>21.28</v>
      </c>
      <c r="U30" s="16">
        <f>T$34/S30</f>
        <v>21.2759881197167</v>
      </c>
      <c r="V30" s="4"/>
      <c r="W30" s="4">
        <v>6.9933</v>
      </c>
      <c r="X30" s="16">
        <v>21.36</v>
      </c>
      <c r="Y30" s="16">
        <f>X$34/W30</f>
        <v>21.35615517709808</v>
      </c>
      <c r="Z30" s="4"/>
      <c r="AA30" s="4">
        <v>7.004</v>
      </c>
      <c r="AB30" s="16">
        <v>21.25</v>
      </c>
      <c r="AC30" s="16">
        <f>AB$34/AA30</f>
        <v>21.24500285551114</v>
      </c>
      <c r="AD30" s="4"/>
      <c r="AE30" s="4">
        <v>7.0032</v>
      </c>
      <c r="AF30" s="16">
        <v>21.3</v>
      </c>
      <c r="AG30" s="16">
        <f>AF$34/AE30</f>
        <v>21.298834818368746</v>
      </c>
      <c r="AH30" s="4"/>
      <c r="AI30" s="4">
        <v>6.9598</v>
      </c>
      <c r="AJ30" s="16">
        <v>21.36</v>
      </c>
      <c r="AK30" s="16">
        <f>AJ$34/AI30</f>
        <v>21.36124601281646</v>
      </c>
      <c r="AL30" s="4"/>
      <c r="AM30" s="4">
        <v>6.9745</v>
      </c>
      <c r="AN30" s="16">
        <v>21.31</v>
      </c>
      <c r="AO30" s="16">
        <f>AN$34/AM30</f>
        <v>21.31048820703993</v>
      </c>
      <c r="AP30" s="4"/>
      <c r="AQ30" s="4">
        <v>6.9024</v>
      </c>
      <c r="AR30" s="16">
        <v>21.43</v>
      </c>
      <c r="AS30" s="16">
        <f>AR$34/AQ30</f>
        <v>21.431675938803895</v>
      </c>
      <c r="AT30" s="4"/>
      <c r="AU30" s="4">
        <v>6.9088</v>
      </c>
      <c r="AV30" s="16">
        <v>21.42</v>
      </c>
      <c r="AW30" s="16">
        <f>AV$34/AU30</f>
        <v>21.423402037980544</v>
      </c>
      <c r="AX30" s="4"/>
      <c r="AY30" s="4">
        <v>6.9403</v>
      </c>
      <c r="AZ30" s="16">
        <v>21.34</v>
      </c>
      <c r="BA30" s="16">
        <f>AZ$34/AY30</f>
        <v>21.337694335979712</v>
      </c>
      <c r="BB30" s="4"/>
      <c r="BC30" s="4">
        <v>6.9868</v>
      </c>
      <c r="BD30" s="16">
        <v>21.33</v>
      </c>
      <c r="BE30" s="16">
        <f>BD$34/BC30</f>
        <v>21.328791435277957</v>
      </c>
      <c r="BF30" s="4"/>
      <c r="BG30" s="4">
        <v>6.9728</v>
      </c>
      <c r="BH30" s="16">
        <v>21.31</v>
      </c>
      <c r="BI30" s="16">
        <f>BH$34/BG30</f>
        <v>21.309947223497016</v>
      </c>
      <c r="BJ30" s="4"/>
      <c r="BK30" s="4">
        <v>6.963</v>
      </c>
      <c r="BL30" s="16">
        <v>21.36</v>
      </c>
      <c r="BM30" s="16">
        <f>BL$34/BK30</f>
        <v>21.36291828234956</v>
      </c>
      <c r="BN30" s="4"/>
      <c r="BO30" s="4">
        <v>6.9088</v>
      </c>
      <c r="BP30" s="16">
        <v>21.4</v>
      </c>
      <c r="BQ30" s="16">
        <f>BP$34/BO30</f>
        <v>21.395900880037054</v>
      </c>
      <c r="BR30" s="4"/>
      <c r="BS30" s="4">
        <v>6.8944</v>
      </c>
      <c r="BT30" s="16">
        <v>21.36</v>
      </c>
      <c r="BU30" s="16">
        <f>BT$34/BS30</f>
        <v>21.362265026688327</v>
      </c>
      <c r="BV30" s="4"/>
      <c r="BW30" s="4">
        <v>6.9128</v>
      </c>
      <c r="BX30" s="16">
        <v>21.34</v>
      </c>
      <c r="BY30" s="16">
        <f>BX$34/BW30</f>
        <v>21.337229487327857</v>
      </c>
      <c r="BZ30" s="4"/>
      <c r="CA30" s="4">
        <v>6.9529</v>
      </c>
      <c r="CB30" s="16">
        <v>21.24</v>
      </c>
      <c r="CC30" s="16">
        <f>CB$34/CA30</f>
        <v>21.241496354039324</v>
      </c>
      <c r="CD30" s="4"/>
      <c r="CE30" s="4">
        <v>7.0082</v>
      </c>
      <c r="CF30" s="16">
        <v>21.2</v>
      </c>
      <c r="CG30" s="16">
        <f>CF$34/CE30</f>
        <v>21.20087897034902</v>
      </c>
      <c r="CH30" s="4"/>
      <c r="CI30" s="4">
        <f t="shared" si="0"/>
        <v>6.964661904761904</v>
      </c>
      <c r="CJ30" s="4">
        <f t="shared" si="1"/>
        <v>21.33095238095238</v>
      </c>
      <c r="CK30" s="4">
        <f t="shared" si="2"/>
        <v>21.330143176065558</v>
      </c>
      <c r="CL30" s="4"/>
      <c r="CM30" s="23"/>
      <c r="CN30" s="42"/>
      <c r="CO30" s="42"/>
      <c r="CP30" s="23"/>
      <c r="CQ30" s="21"/>
    </row>
    <row r="31" spans="1:95" ht="15.75">
      <c r="A31" s="26">
        <v>20</v>
      </c>
      <c r="B31" s="64" t="s">
        <v>57</v>
      </c>
      <c r="C31" s="4">
        <v>236.2225</v>
      </c>
      <c r="D31" s="16">
        <v>63.25</v>
      </c>
      <c r="E31" s="16">
        <f>D$34/C31*100</f>
        <v>63.25392373715458</v>
      </c>
      <c r="F31" s="4"/>
      <c r="G31" s="4">
        <v>235.1695</v>
      </c>
      <c r="H31" s="16">
        <v>63.4</v>
      </c>
      <c r="I31" s="16">
        <f>H$34/G31*100</f>
        <v>63.3968265442585</v>
      </c>
      <c r="J31" s="4"/>
      <c r="K31" s="4">
        <v>236.7804</v>
      </c>
      <c r="L31" s="16">
        <v>63.09</v>
      </c>
      <c r="M31" s="16">
        <f>L$34/K31*100</f>
        <v>63.08799208042558</v>
      </c>
      <c r="N31" s="4"/>
      <c r="O31" s="4">
        <v>234.894</v>
      </c>
      <c r="P31" s="16">
        <v>63.39</v>
      </c>
      <c r="Q31" s="16">
        <f>P$34/O31*100</f>
        <v>63.39455243641813</v>
      </c>
      <c r="R31" s="4"/>
      <c r="S31" s="4">
        <v>236.139</v>
      </c>
      <c r="T31" s="16">
        <v>63.1</v>
      </c>
      <c r="U31" s="16">
        <f>T$34/S31*100</f>
        <v>63.09842931493739</v>
      </c>
      <c r="V31" s="4"/>
      <c r="W31" s="4">
        <v>235.8057</v>
      </c>
      <c r="X31" s="16">
        <v>63.34</v>
      </c>
      <c r="Y31" s="16">
        <f>X$34/W31*100</f>
        <v>63.336043191491974</v>
      </c>
      <c r="Z31" s="4"/>
      <c r="AA31" s="4">
        <v>236.1668</v>
      </c>
      <c r="AB31" s="16">
        <v>63.01</v>
      </c>
      <c r="AC31" s="16">
        <f>AB$34/AA31*100</f>
        <v>63.00631587505103</v>
      </c>
      <c r="AD31" s="4"/>
      <c r="AE31" s="4">
        <v>236.139</v>
      </c>
      <c r="AF31" s="16">
        <v>63.17</v>
      </c>
      <c r="AG31" s="16">
        <f>AF$34/AE31*100</f>
        <v>63.16618601755744</v>
      </c>
      <c r="AH31" s="4"/>
      <c r="AI31" s="4">
        <v>234.674</v>
      </c>
      <c r="AJ31" s="16">
        <v>63.35</v>
      </c>
      <c r="AK31" s="16">
        <f>AJ$34/AI31*100</f>
        <v>63.35171344077315</v>
      </c>
      <c r="AL31" s="4"/>
      <c r="AM31" s="4">
        <v>235.1695</v>
      </c>
      <c r="AN31" s="16">
        <v>63.2</v>
      </c>
      <c r="AO31" s="16">
        <f>AN$34/AM31*100</f>
        <v>63.20122294770367</v>
      </c>
      <c r="AP31" s="4"/>
      <c r="AQ31" s="4">
        <v>232.7397</v>
      </c>
      <c r="AR31" s="16">
        <v>63.56</v>
      </c>
      <c r="AS31" s="16">
        <f>AR$34/AQ31*100</f>
        <v>63.560277855475455</v>
      </c>
      <c r="AT31" s="4"/>
      <c r="AU31" s="4">
        <v>232.9561</v>
      </c>
      <c r="AV31" s="16">
        <v>63.54</v>
      </c>
      <c r="AW31" s="16">
        <f>AV$34/AU31*100</f>
        <v>63.5355760162537</v>
      </c>
      <c r="AX31" s="4"/>
      <c r="AY31" s="4">
        <v>234.0166</v>
      </c>
      <c r="AZ31" s="16">
        <v>63.28</v>
      </c>
      <c r="BA31" s="16">
        <f>AZ$34/AY31*100</f>
        <v>63.2818355620926</v>
      </c>
      <c r="BB31" s="4"/>
      <c r="BC31" s="4">
        <v>235.584</v>
      </c>
      <c r="BD31" s="16">
        <v>63.26</v>
      </c>
      <c r="BE31" s="16">
        <f>BD$34/BC31*100</f>
        <v>63.255569138820974</v>
      </c>
      <c r="BF31" s="4"/>
      <c r="BG31" s="4">
        <v>235.1143</v>
      </c>
      <c r="BH31" s="16">
        <v>63.2</v>
      </c>
      <c r="BI31" s="16">
        <f>BH$34/BG31*100</f>
        <v>63.19904829268148</v>
      </c>
      <c r="BJ31" s="4"/>
      <c r="BK31" s="4">
        <v>234.7839</v>
      </c>
      <c r="BL31" s="16">
        <v>63.36</v>
      </c>
      <c r="BM31" s="16">
        <f>BL$34/BK31*100</f>
        <v>63.35613302274986</v>
      </c>
      <c r="BN31" s="4"/>
      <c r="BO31" s="4">
        <v>232.9561</v>
      </c>
      <c r="BP31" s="16">
        <v>63.45</v>
      </c>
      <c r="BQ31" s="16">
        <f>BP$34/BO31*100</f>
        <v>63.45401558491063</v>
      </c>
      <c r="BR31" s="4"/>
      <c r="BS31" s="4">
        <v>232.4699</v>
      </c>
      <c r="BT31" s="16">
        <v>63.36</v>
      </c>
      <c r="BU31" s="16">
        <f>BT$34/BS31*100</f>
        <v>63.35443857462837</v>
      </c>
      <c r="BV31" s="4"/>
      <c r="BW31" s="4">
        <v>233.0915</v>
      </c>
      <c r="BX31" s="16">
        <v>63.28</v>
      </c>
      <c r="BY31" s="16">
        <f>BX$34/BW31*100</f>
        <v>63.279870780358785</v>
      </c>
      <c r="BZ31" s="4"/>
      <c r="CA31" s="4">
        <v>234.4407</v>
      </c>
      <c r="CB31" s="16">
        <v>63</v>
      </c>
      <c r="CC31" s="16">
        <f>CB$34/CA31*100</f>
        <v>62.99674075363194</v>
      </c>
      <c r="CD31" s="4"/>
      <c r="CE31" s="4">
        <v>236.306</v>
      </c>
      <c r="CF31" s="16">
        <v>62.88</v>
      </c>
      <c r="CG31" s="16">
        <f>CF$34/CE31*100</f>
        <v>62.876101326246484</v>
      </c>
      <c r="CH31" s="4"/>
      <c r="CI31" s="4">
        <f t="shared" si="0"/>
        <v>234.8390095238095</v>
      </c>
      <c r="CJ31" s="4">
        <f t="shared" si="1"/>
        <v>63.26047619047619</v>
      </c>
      <c r="CK31" s="4">
        <f t="shared" si="2"/>
        <v>63.259181547315315</v>
      </c>
      <c r="CL31" s="4"/>
      <c r="CM31" s="23"/>
      <c r="CN31" s="42"/>
      <c r="CO31" s="42"/>
      <c r="CP31" s="23"/>
      <c r="CQ31" s="21"/>
    </row>
    <row r="32" spans="1:95" ht="15.75">
      <c r="A32" s="26">
        <v>21</v>
      </c>
      <c r="B32" s="64" t="s">
        <v>58</v>
      </c>
      <c r="C32" s="4">
        <f>1/1.25436</f>
        <v>0.7972192990847923</v>
      </c>
      <c r="D32" s="16">
        <v>187.43</v>
      </c>
      <c r="E32" s="16">
        <f>D$34/C32</f>
        <v>187.42647119999998</v>
      </c>
      <c r="F32" s="4"/>
      <c r="G32" s="4">
        <f>1/1.25537</f>
        <v>0.796577901335861</v>
      </c>
      <c r="H32" s="16">
        <v>187.17</v>
      </c>
      <c r="I32" s="16">
        <f>H$34/G32</f>
        <v>187.16311330000002</v>
      </c>
      <c r="J32" s="4"/>
      <c r="K32" s="4">
        <f>1/1.25059</f>
        <v>0.7996225781431164</v>
      </c>
      <c r="L32" s="16">
        <v>186.82</v>
      </c>
      <c r="M32" s="16">
        <f>L$34/K32</f>
        <v>186.8131342</v>
      </c>
      <c r="N32" s="4"/>
      <c r="O32" s="4">
        <f>1/1.252237</f>
        <v>0.798570877557523</v>
      </c>
      <c r="P32" s="16">
        <v>186.49</v>
      </c>
      <c r="Q32" s="16">
        <f>P$34/O32</f>
        <v>186.47061167</v>
      </c>
      <c r="R32" s="4"/>
      <c r="S32" s="4">
        <f>1/1.24899</f>
        <v>0.8006469227135525</v>
      </c>
      <c r="T32" s="16">
        <v>186.1</v>
      </c>
      <c r="U32" s="16">
        <f>T$34/S32</f>
        <v>186.09951</v>
      </c>
      <c r="V32" s="4"/>
      <c r="W32" s="4">
        <f>1/1.2482</f>
        <v>0.801153661272232</v>
      </c>
      <c r="X32" s="16">
        <v>186.42</v>
      </c>
      <c r="Y32" s="16">
        <f>X$34/W32</f>
        <v>186.41867</v>
      </c>
      <c r="Z32" s="4"/>
      <c r="AA32" s="4">
        <f>1/1.24734</f>
        <v>0.801706030432761</v>
      </c>
      <c r="AB32" s="16">
        <v>185.61</v>
      </c>
      <c r="AC32" s="16">
        <f>AB$34/AA32</f>
        <v>185.60419199999998</v>
      </c>
      <c r="AD32" s="4"/>
      <c r="AE32" s="4">
        <f>1/1.24562</f>
        <v>0.8028130569515582</v>
      </c>
      <c r="AF32" s="16">
        <v>185.8</v>
      </c>
      <c r="AG32" s="16">
        <f>AF$34/AE32</f>
        <v>185.7966792</v>
      </c>
      <c r="AH32" s="4"/>
      <c r="AI32" s="4">
        <f>1/1.24863</f>
        <v>0.8008777620271819</v>
      </c>
      <c r="AJ32" s="16">
        <v>185.63</v>
      </c>
      <c r="AK32" s="16">
        <f>AJ$34/AI32</f>
        <v>185.63382209999997</v>
      </c>
      <c r="AL32" s="4"/>
      <c r="AM32" s="4">
        <f>1/1.24879</f>
        <v>0.8007751503455345</v>
      </c>
      <c r="AN32" s="16">
        <v>185.6</v>
      </c>
      <c r="AO32" s="16">
        <f>AN$34/AM32</f>
        <v>185.6076577</v>
      </c>
      <c r="AP32" s="4"/>
      <c r="AQ32" s="4">
        <f>1/1.258</f>
        <v>0.794912559618442</v>
      </c>
      <c r="AR32" s="16">
        <v>186.09</v>
      </c>
      <c r="AS32" s="16">
        <f>AR$34/AQ32</f>
        <v>186.09594</v>
      </c>
      <c r="AT32" s="4"/>
      <c r="AU32" s="4">
        <f>1/1.25113</f>
        <v>0.7992774531823231</v>
      </c>
      <c r="AV32" s="16">
        <v>185.18</v>
      </c>
      <c r="AW32" s="16">
        <f>AV$34/AU32</f>
        <v>185.1797513</v>
      </c>
      <c r="AX32" s="4"/>
      <c r="AY32" s="4">
        <f>1/1.25002</f>
        <v>0.7999872002047967</v>
      </c>
      <c r="AZ32" s="16">
        <v>185.11</v>
      </c>
      <c r="BA32" s="16">
        <f>AZ$34/AY32</f>
        <v>185.1154618</v>
      </c>
      <c r="BB32" s="4"/>
      <c r="BC32" s="4">
        <f>1/1.25002</f>
        <v>0.7999872002047967</v>
      </c>
      <c r="BD32" s="16">
        <v>186.28</v>
      </c>
      <c r="BE32" s="16">
        <f>BD$34/BC32</f>
        <v>186.27798040000002</v>
      </c>
      <c r="BF32" s="4"/>
      <c r="BG32" s="4">
        <f>1/1.24925</f>
        <v>0.8004802881729037</v>
      </c>
      <c r="BH32" s="16">
        <v>185.62</v>
      </c>
      <c r="BI32" s="16">
        <f>BH$34/BG32</f>
        <v>185.6260575</v>
      </c>
      <c r="BJ32" s="4"/>
      <c r="BK32" s="4">
        <f>1/1.24877</f>
        <v>0.8007879753677619</v>
      </c>
      <c r="BL32" s="16">
        <v>185.75</v>
      </c>
      <c r="BM32" s="16">
        <f>BL$34/BK32</f>
        <v>185.7545375</v>
      </c>
      <c r="BN32" s="4"/>
      <c r="BO32" s="4">
        <f>1/1.25265</f>
        <v>0.7983075879136231</v>
      </c>
      <c r="BP32" s="16">
        <v>185.17</v>
      </c>
      <c r="BQ32" s="16">
        <f>BP$34/BO32</f>
        <v>185.166723</v>
      </c>
      <c r="BR32" s="4"/>
      <c r="BS32" s="4">
        <f>1/1.2525</f>
        <v>0.7984031936127745</v>
      </c>
      <c r="BT32" s="16">
        <v>184.47</v>
      </c>
      <c r="BU32" s="16">
        <f>BT$34/BS32</f>
        <v>184.4682</v>
      </c>
      <c r="BV32" s="4"/>
      <c r="BW32" s="4">
        <f>1/1.25272</f>
        <v>0.7982629797560508</v>
      </c>
      <c r="BX32" s="16">
        <v>184.78</v>
      </c>
      <c r="BY32" s="16">
        <f>BX$34/BW32</f>
        <v>184.77620000000002</v>
      </c>
      <c r="BZ32" s="4"/>
      <c r="CA32" s="4">
        <f>1/1.24746</f>
        <v>0.8016289099450082</v>
      </c>
      <c r="CB32" s="16">
        <v>184.24</v>
      </c>
      <c r="CC32" s="16">
        <f>CB$34/CA32</f>
        <v>184.2373674</v>
      </c>
      <c r="CD32" s="4"/>
      <c r="CE32" s="4">
        <f>1/1.24565</f>
        <v>0.8027937221530929</v>
      </c>
      <c r="CF32" s="16">
        <v>185.08</v>
      </c>
      <c r="CG32" s="16">
        <f>CF$34/CE32</f>
        <v>185.078677</v>
      </c>
      <c r="CH32" s="4"/>
      <c r="CI32" s="4">
        <f t="shared" si="0"/>
        <v>0.7997520147616994</v>
      </c>
      <c r="CJ32" s="4">
        <f t="shared" si="1"/>
        <v>185.75428571428571</v>
      </c>
      <c r="CK32" s="4">
        <f t="shared" si="2"/>
        <v>185.75289320333337</v>
      </c>
      <c r="CL32" s="4"/>
      <c r="CM32" s="23"/>
      <c r="CN32" s="42"/>
      <c r="CO32" s="42"/>
      <c r="CP32" s="23"/>
      <c r="CQ32" s="21"/>
    </row>
    <row r="33" spans="1:95" ht="15.75">
      <c r="A33" s="26">
        <v>22</v>
      </c>
      <c r="B33" s="64" t="s">
        <v>59</v>
      </c>
      <c r="C33" s="4">
        <v>401.4964</v>
      </c>
      <c r="D33" s="16">
        <v>37.22</v>
      </c>
      <c r="E33" s="16">
        <f>D$34/C33*100</f>
        <v>37.215775782796555</v>
      </c>
      <c r="F33" s="4">
        <v>37.35</v>
      </c>
      <c r="G33" s="4">
        <v>399.7067</v>
      </c>
      <c r="H33" s="16">
        <v>37.3</v>
      </c>
      <c r="I33" s="16">
        <f>H$34/G33*100</f>
        <v>37.299850115096895</v>
      </c>
      <c r="J33" s="4">
        <v>37.4</v>
      </c>
      <c r="K33" s="4">
        <v>402.4448</v>
      </c>
      <c r="L33" s="16">
        <v>37.12</v>
      </c>
      <c r="M33" s="16">
        <f>L$34/K33*100</f>
        <v>37.11813396520467</v>
      </c>
      <c r="N33" s="4">
        <v>37.24</v>
      </c>
      <c r="O33" s="4">
        <v>399.2384</v>
      </c>
      <c r="P33" s="16">
        <v>37.3</v>
      </c>
      <c r="Q33" s="16">
        <f>P$34/O33*100</f>
        <v>37.29851637517834</v>
      </c>
      <c r="R33" s="4">
        <v>37.35</v>
      </c>
      <c r="S33" s="4">
        <v>401.3545</v>
      </c>
      <c r="T33" s="16">
        <v>37.12</v>
      </c>
      <c r="U33" s="16">
        <f>T$34/S33*100</f>
        <v>37.12428788016579</v>
      </c>
      <c r="V33" s="4">
        <v>37.3</v>
      </c>
      <c r="W33" s="4">
        <v>400.788</v>
      </c>
      <c r="X33" s="16">
        <v>37.26</v>
      </c>
      <c r="Y33" s="16">
        <f>X$34/W33*100</f>
        <v>37.26408974320588</v>
      </c>
      <c r="Z33" s="4">
        <v>37.3</v>
      </c>
      <c r="AA33" s="4">
        <v>401.4018</v>
      </c>
      <c r="AB33" s="16">
        <v>37.07</v>
      </c>
      <c r="AC33" s="16">
        <f>AB$34/AA33*100</f>
        <v>37.070087877034936</v>
      </c>
      <c r="AD33" s="4">
        <v>37.3</v>
      </c>
      <c r="AE33" s="4">
        <v>401.3545</v>
      </c>
      <c r="AF33" s="16">
        <v>37.16</v>
      </c>
      <c r="AG33" s="16">
        <f>AF$34/AE33*100</f>
        <v>37.164152887285425</v>
      </c>
      <c r="AH33" s="4">
        <v>37.25</v>
      </c>
      <c r="AI33" s="4">
        <v>398.8646</v>
      </c>
      <c r="AJ33" s="16">
        <v>37.27</v>
      </c>
      <c r="AK33" s="16">
        <f>AJ$34/AI33*100</f>
        <v>37.27330026279594</v>
      </c>
      <c r="AL33" s="4">
        <v>37.31</v>
      </c>
      <c r="AM33" s="4">
        <v>399.7067</v>
      </c>
      <c r="AN33" s="16">
        <v>37.18</v>
      </c>
      <c r="AO33" s="16">
        <f>AN$34/AM33*100</f>
        <v>37.18476572947113</v>
      </c>
      <c r="AP33" s="4">
        <v>37.25</v>
      </c>
      <c r="AQ33" s="4">
        <v>395.577</v>
      </c>
      <c r="AR33" s="16">
        <v>37.4</v>
      </c>
      <c r="AS33" s="16">
        <f>AR$34/AQ33*100</f>
        <v>37.39600634010572</v>
      </c>
      <c r="AT33" s="4">
        <v>37.35</v>
      </c>
      <c r="AU33" s="23">
        <v>395.9447</v>
      </c>
      <c r="AV33" s="16">
        <v>37.38</v>
      </c>
      <c r="AW33" s="16">
        <f>AV$34/AU33*100</f>
        <v>37.381482818181425</v>
      </c>
      <c r="AX33" s="4">
        <v>37.35</v>
      </c>
      <c r="AY33" s="4">
        <v>397.7472</v>
      </c>
      <c r="AZ33" s="16">
        <v>37.23</v>
      </c>
      <c r="BA33" s="16">
        <f>AZ$34/AY33*100</f>
        <v>37.2321917036751</v>
      </c>
      <c r="BB33" s="4">
        <v>37.32</v>
      </c>
      <c r="BC33" s="4">
        <v>400.4113</v>
      </c>
      <c r="BD33" s="16">
        <v>37.22</v>
      </c>
      <c r="BE33" s="16">
        <f>BD$34/BC33*100</f>
        <v>37.21673189542853</v>
      </c>
      <c r="BF33" s="4">
        <v>37.2</v>
      </c>
      <c r="BG33" s="4">
        <v>399.613</v>
      </c>
      <c r="BH33" s="16">
        <v>37.18</v>
      </c>
      <c r="BI33" s="16">
        <f>BH$34/BG33*100</f>
        <v>37.18347501207418</v>
      </c>
      <c r="BJ33" s="4">
        <v>37.29</v>
      </c>
      <c r="BK33" s="4">
        <v>399.0514</v>
      </c>
      <c r="BL33" s="16">
        <v>37.28</v>
      </c>
      <c r="BM33" s="16">
        <f>BL$34/BK33*100</f>
        <v>37.275899796367085</v>
      </c>
      <c r="BN33" s="4">
        <v>37.21</v>
      </c>
      <c r="BO33" s="4">
        <v>395.9447</v>
      </c>
      <c r="BP33" s="16">
        <v>37.33</v>
      </c>
      <c r="BQ33" s="16">
        <f>BP$34/BO33*100</f>
        <v>37.33349631905668</v>
      </c>
      <c r="BR33" s="4">
        <v>37.25</v>
      </c>
      <c r="BS33" s="4">
        <v>395.1183</v>
      </c>
      <c r="BT33" s="16">
        <v>37.28</v>
      </c>
      <c r="BU33" s="16">
        <f>BT$34/BS33*100</f>
        <v>37.27491234903572</v>
      </c>
      <c r="BV33" s="4">
        <v>37.23</v>
      </c>
      <c r="BW33" s="4">
        <v>396.1749</v>
      </c>
      <c r="BX33" s="16">
        <v>37.23</v>
      </c>
      <c r="BY33" s="16">
        <f>BX$34/BW33*100</f>
        <v>37.231031042097825</v>
      </c>
      <c r="BZ33" s="4">
        <v>37.22</v>
      </c>
      <c r="CA33" s="4">
        <v>398.4681</v>
      </c>
      <c r="CB33" s="16">
        <v>37.07</v>
      </c>
      <c r="CC33" s="16">
        <f>CB$34/CA33*100</f>
        <v>37.06444756807383</v>
      </c>
      <c r="CD33" s="4">
        <v>37.16</v>
      </c>
      <c r="CE33" s="4">
        <v>401.6384</v>
      </c>
      <c r="CF33" s="16">
        <v>36.99</v>
      </c>
      <c r="CG33" s="16">
        <f>CF$34/CE33*100</f>
        <v>36.993474727516094</v>
      </c>
      <c r="CH33" s="4">
        <v>37.05</v>
      </c>
      <c r="CI33" s="4">
        <f t="shared" si="0"/>
        <v>399.1450190476191</v>
      </c>
      <c r="CJ33" s="4">
        <f t="shared" si="1"/>
        <v>37.21857142857142</v>
      </c>
      <c r="CK33" s="4">
        <f t="shared" si="2"/>
        <v>37.21886238999274</v>
      </c>
      <c r="CL33" s="4">
        <f t="shared" si="2"/>
        <v>37.270476190476195</v>
      </c>
      <c r="CM33" s="23"/>
      <c r="CN33" s="42"/>
      <c r="CO33" s="42"/>
      <c r="CP33" s="23"/>
      <c r="CQ33" s="21"/>
    </row>
    <row r="34" spans="1:95" ht="16.5" thickBot="1">
      <c r="A34" s="29">
        <v>23</v>
      </c>
      <c r="B34" s="73" t="s">
        <v>60</v>
      </c>
      <c r="C34" s="13">
        <v>1</v>
      </c>
      <c r="D34" s="39">
        <v>149.42</v>
      </c>
      <c r="E34" s="40">
        <f>D$34/C34</f>
        <v>149.42</v>
      </c>
      <c r="F34" s="13">
        <v>149.7</v>
      </c>
      <c r="G34" s="13">
        <v>1</v>
      </c>
      <c r="H34" s="39">
        <v>149.09</v>
      </c>
      <c r="I34" s="40">
        <f>H$34/G34</f>
        <v>149.09</v>
      </c>
      <c r="J34" s="13">
        <v>148.94</v>
      </c>
      <c r="K34" s="13">
        <v>1</v>
      </c>
      <c r="L34" s="39">
        <v>149.38</v>
      </c>
      <c r="M34" s="40">
        <f>L$34/K34</f>
        <v>149.38</v>
      </c>
      <c r="N34" s="13">
        <v>149.38</v>
      </c>
      <c r="O34" s="13">
        <v>1</v>
      </c>
      <c r="P34" s="39">
        <v>148.91</v>
      </c>
      <c r="Q34" s="40">
        <f>P$34/O34</f>
        <v>148.91</v>
      </c>
      <c r="R34" s="13">
        <v>148.58</v>
      </c>
      <c r="S34" s="13">
        <v>1</v>
      </c>
      <c r="T34" s="39">
        <v>149</v>
      </c>
      <c r="U34" s="40">
        <f>T$34/S34</f>
        <v>149</v>
      </c>
      <c r="V34" s="13">
        <v>149.1</v>
      </c>
      <c r="W34" s="13">
        <v>1</v>
      </c>
      <c r="X34" s="39">
        <v>149.35</v>
      </c>
      <c r="Y34" s="40">
        <f>X$34/W34</f>
        <v>149.35</v>
      </c>
      <c r="Z34" s="13">
        <v>149.2</v>
      </c>
      <c r="AA34" s="13">
        <v>1</v>
      </c>
      <c r="AB34" s="39">
        <v>148.8</v>
      </c>
      <c r="AC34" s="40">
        <f>AB$34/AA34</f>
        <v>148.8</v>
      </c>
      <c r="AD34" s="13">
        <v>149.22</v>
      </c>
      <c r="AE34" s="13">
        <v>1</v>
      </c>
      <c r="AF34" s="39">
        <v>149.16</v>
      </c>
      <c r="AG34" s="40">
        <f>AF$34/AE34</f>
        <v>149.16</v>
      </c>
      <c r="AH34" s="13">
        <v>149.46</v>
      </c>
      <c r="AI34" s="13">
        <v>1</v>
      </c>
      <c r="AJ34" s="39">
        <v>148.67</v>
      </c>
      <c r="AK34" s="40">
        <f>AJ$34/AI34</f>
        <v>148.67</v>
      </c>
      <c r="AL34" s="13">
        <v>148.82</v>
      </c>
      <c r="AM34" s="13">
        <v>1</v>
      </c>
      <c r="AN34" s="39">
        <v>148.63</v>
      </c>
      <c r="AO34" s="40">
        <f>AN$34/AM34</f>
        <v>148.63</v>
      </c>
      <c r="AP34" s="13">
        <v>148.64</v>
      </c>
      <c r="AQ34" s="13">
        <v>1</v>
      </c>
      <c r="AR34" s="39">
        <v>147.93</v>
      </c>
      <c r="AS34" s="40">
        <f>AR$34/AQ34</f>
        <v>147.93</v>
      </c>
      <c r="AT34" s="13">
        <v>147.86</v>
      </c>
      <c r="AU34" s="13">
        <v>1</v>
      </c>
      <c r="AV34" s="39">
        <v>148.01</v>
      </c>
      <c r="AW34" s="40">
        <f>AV$34/AU34</f>
        <v>148.01</v>
      </c>
      <c r="AX34" s="13">
        <v>148.18</v>
      </c>
      <c r="AY34" s="13">
        <v>1</v>
      </c>
      <c r="AZ34" s="39">
        <v>148.09</v>
      </c>
      <c r="BA34" s="40">
        <f>AZ$34/AY34</f>
        <v>148.09</v>
      </c>
      <c r="BB34" s="13">
        <v>148.49</v>
      </c>
      <c r="BC34" s="13">
        <v>1</v>
      </c>
      <c r="BD34" s="39">
        <v>149.02</v>
      </c>
      <c r="BE34" s="40">
        <f>BD$34/BC34</f>
        <v>149.02</v>
      </c>
      <c r="BF34" s="13">
        <v>148.46</v>
      </c>
      <c r="BG34" s="13">
        <v>1</v>
      </c>
      <c r="BH34" s="39">
        <v>148.59</v>
      </c>
      <c r="BI34" s="40">
        <f>BH$34/BG34</f>
        <v>148.59</v>
      </c>
      <c r="BJ34" s="13">
        <v>148.62</v>
      </c>
      <c r="BK34" s="13">
        <v>1</v>
      </c>
      <c r="BL34" s="39">
        <v>148.75</v>
      </c>
      <c r="BM34" s="40">
        <f>BL$34/BK34</f>
        <v>148.75</v>
      </c>
      <c r="BN34" s="13">
        <v>148.44</v>
      </c>
      <c r="BO34" s="13">
        <v>1</v>
      </c>
      <c r="BP34" s="39">
        <v>147.82</v>
      </c>
      <c r="BQ34" s="40">
        <f>BP$34/BO34</f>
        <v>147.82</v>
      </c>
      <c r="BR34" s="13">
        <v>148.04</v>
      </c>
      <c r="BS34" s="13">
        <v>1</v>
      </c>
      <c r="BT34" s="39">
        <v>147.28</v>
      </c>
      <c r="BU34" s="40">
        <f>BT$34/BS34</f>
        <v>147.28</v>
      </c>
      <c r="BV34" s="13">
        <v>147.57</v>
      </c>
      <c r="BW34" s="13">
        <v>1</v>
      </c>
      <c r="BX34" s="39">
        <v>147.5</v>
      </c>
      <c r="BY34" s="40">
        <f>BX$34/BW34</f>
        <v>147.5</v>
      </c>
      <c r="BZ34" s="13">
        <v>147.16</v>
      </c>
      <c r="CA34" s="13">
        <v>1</v>
      </c>
      <c r="CB34" s="39">
        <v>147.69</v>
      </c>
      <c r="CC34" s="40">
        <f>CB$34/CA34</f>
        <v>147.69</v>
      </c>
      <c r="CD34" s="13">
        <v>147.68</v>
      </c>
      <c r="CE34" s="13">
        <v>1</v>
      </c>
      <c r="CF34" s="39">
        <v>148.58</v>
      </c>
      <c r="CG34" s="40">
        <f>CF$34/CE34</f>
        <v>148.58</v>
      </c>
      <c r="CH34" s="13">
        <v>148.66</v>
      </c>
      <c r="CI34" s="24">
        <f t="shared" si="0"/>
        <v>1</v>
      </c>
      <c r="CJ34" s="24">
        <f t="shared" si="1"/>
        <v>148.55571428571434</v>
      </c>
      <c r="CK34" s="24">
        <f t="shared" si="2"/>
        <v>148.55571428571434</v>
      </c>
      <c r="CL34" s="24">
        <f t="shared" si="2"/>
        <v>148.58095238095237</v>
      </c>
      <c r="CM34" s="23"/>
      <c r="CN34" s="42"/>
      <c r="CO34" s="42"/>
      <c r="CP34" s="23"/>
      <c r="CQ34" s="21"/>
    </row>
    <row r="35" spans="1:9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4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34"/>
      <c r="CA35" s="1"/>
      <c r="CB35" s="1"/>
      <c r="CC35" s="1"/>
      <c r="CD35" s="34"/>
      <c r="CE35" s="1"/>
      <c r="CF35" s="1"/>
      <c r="CG35" s="1"/>
      <c r="CH35" s="34"/>
      <c r="CI35" s="1"/>
      <c r="CJ35" s="1"/>
      <c r="CK35" s="1"/>
      <c r="CL35" s="34"/>
      <c r="CM35" s="14"/>
      <c r="CN35" s="14"/>
      <c r="CO35" s="14"/>
      <c r="CP35" s="35"/>
      <c r="CQ35" s="21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1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35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32.7109375" style="0" customWidth="1"/>
    <col min="8" max="8" width="9.8515625" style="0" customWidth="1"/>
    <col min="18" max="18" width="8.140625" style="0" customWidth="1"/>
    <col min="35" max="35" width="10.8515625" style="0" customWidth="1"/>
    <col min="47" max="47" width="11.7109375" style="0" customWidth="1"/>
    <col min="89" max="89" width="9.57421875" style="0" customWidth="1"/>
    <col min="92" max="92" width="9.8515625" style="0" customWidth="1"/>
    <col min="93" max="93" width="10.28125" style="0" customWidth="1"/>
  </cols>
  <sheetData>
    <row r="1" spans="1:82" ht="15.75">
      <c r="A1" s="50"/>
      <c r="B1" s="32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5" t="s">
        <v>1</v>
      </c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15"/>
      <c r="CB1" s="15"/>
      <c r="CC1" s="17"/>
      <c r="CD1" s="15"/>
    </row>
    <row r="2" spans="1:82" ht="15.75">
      <c r="A2" s="51"/>
      <c r="B2" s="33" t="s">
        <v>181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23"/>
      <c r="CB2" s="2"/>
      <c r="CC2" s="23"/>
      <c r="CD2" s="23"/>
    </row>
    <row r="3" spans="1:95" ht="15.75">
      <c r="A3" s="52" t="s">
        <v>3</v>
      </c>
      <c r="B3" s="51"/>
      <c r="C3" s="3"/>
      <c r="D3" s="2" t="s">
        <v>182</v>
      </c>
      <c r="E3" s="3"/>
      <c r="F3" s="3"/>
      <c r="G3" s="3"/>
      <c r="H3" s="2" t="s">
        <v>183</v>
      </c>
      <c r="I3" s="3"/>
      <c r="J3" s="3"/>
      <c r="K3" s="3"/>
      <c r="L3" s="2" t="s">
        <v>184</v>
      </c>
      <c r="M3" s="3"/>
      <c r="N3" s="3"/>
      <c r="O3" s="3"/>
      <c r="P3" s="2" t="s">
        <v>185</v>
      </c>
      <c r="Q3" s="3"/>
      <c r="R3" s="3"/>
      <c r="S3" s="3"/>
      <c r="T3" s="2" t="s">
        <v>186</v>
      </c>
      <c r="U3" s="3"/>
      <c r="V3" s="3"/>
      <c r="W3" s="3"/>
      <c r="X3" s="2" t="s">
        <v>187</v>
      </c>
      <c r="Y3" s="3"/>
      <c r="Z3" s="3"/>
      <c r="AA3" s="3"/>
      <c r="AB3" s="2" t="s">
        <v>188</v>
      </c>
      <c r="AC3" s="3"/>
      <c r="AD3" s="3"/>
      <c r="AE3" s="3"/>
      <c r="AF3" s="2" t="s">
        <v>189</v>
      </c>
      <c r="AG3" s="3"/>
      <c r="AH3" s="3"/>
      <c r="AI3" s="3"/>
      <c r="AJ3" s="2" t="s">
        <v>190</v>
      </c>
      <c r="AK3" s="3"/>
      <c r="AL3" s="3"/>
      <c r="AM3" s="3"/>
      <c r="AN3" s="2" t="s">
        <v>191</v>
      </c>
      <c r="AO3" s="3"/>
      <c r="AP3" s="3"/>
      <c r="AQ3" s="3"/>
      <c r="AR3" s="2" t="s">
        <v>192</v>
      </c>
      <c r="AS3" s="3"/>
      <c r="AT3" s="3"/>
      <c r="AU3" s="3"/>
      <c r="AV3" s="2" t="s">
        <v>193</v>
      </c>
      <c r="AW3" s="3"/>
      <c r="AX3" s="3"/>
      <c r="AY3" s="3"/>
      <c r="AZ3" s="2" t="s">
        <v>194</v>
      </c>
      <c r="BA3" s="3"/>
      <c r="BB3" s="3"/>
      <c r="BC3" s="3"/>
      <c r="BD3" s="2" t="s">
        <v>195</v>
      </c>
      <c r="BE3" s="3"/>
      <c r="BF3" s="3"/>
      <c r="BG3" s="3"/>
      <c r="BH3" s="2" t="s">
        <v>196</v>
      </c>
      <c r="BI3" s="3"/>
      <c r="BJ3" s="3"/>
      <c r="BK3" s="3"/>
      <c r="BL3" s="2" t="s">
        <v>197</v>
      </c>
      <c r="BM3" s="3"/>
      <c r="BN3" s="3"/>
      <c r="BO3" s="3"/>
      <c r="BP3" s="2" t="s">
        <v>198</v>
      </c>
      <c r="BQ3" s="3"/>
      <c r="BR3" s="3"/>
      <c r="BS3" s="3"/>
      <c r="BT3" s="2" t="s">
        <v>199</v>
      </c>
      <c r="BU3" s="3"/>
      <c r="BV3" s="3"/>
      <c r="BW3" s="3"/>
      <c r="BX3" s="2" t="s">
        <v>200</v>
      </c>
      <c r="BY3" s="3"/>
      <c r="BZ3" s="3"/>
      <c r="CA3" s="6"/>
      <c r="CB3" s="2" t="s">
        <v>201</v>
      </c>
      <c r="CC3" s="3"/>
      <c r="CD3" s="6"/>
      <c r="CE3" s="6"/>
      <c r="CF3" s="2" t="s">
        <v>202</v>
      </c>
      <c r="CG3" s="3"/>
      <c r="CH3" s="6"/>
      <c r="CI3" s="6"/>
      <c r="CJ3" s="2" t="s">
        <v>203</v>
      </c>
      <c r="CK3" s="3"/>
      <c r="CL3" s="6"/>
      <c r="CM3" s="6"/>
      <c r="CN3" s="2" t="s">
        <v>106</v>
      </c>
      <c r="CO3" s="3"/>
      <c r="CP3" s="6"/>
      <c r="CQ3" s="21"/>
    </row>
    <row r="4" spans="1:95" ht="16.5" thickBot="1">
      <c r="A4" s="51"/>
      <c r="B4" s="51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21"/>
    </row>
    <row r="5" spans="1:95" ht="16.5" thickTop="1">
      <c r="A5" s="58"/>
      <c r="B5" s="58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21"/>
    </row>
    <row r="6" spans="1:95" ht="15.75">
      <c r="A6" s="57"/>
      <c r="B6" s="51"/>
      <c r="C6" s="8" t="s">
        <v>26</v>
      </c>
      <c r="D6" s="8" t="s">
        <v>26</v>
      </c>
      <c r="E6" s="8" t="s">
        <v>26</v>
      </c>
      <c r="F6" s="8" t="s">
        <v>26</v>
      </c>
      <c r="G6" s="8" t="s">
        <v>26</v>
      </c>
      <c r="H6" s="8" t="s">
        <v>26</v>
      </c>
      <c r="I6" s="8" t="s">
        <v>26</v>
      </c>
      <c r="J6" s="8" t="s">
        <v>26</v>
      </c>
      <c r="K6" s="8" t="s">
        <v>26</v>
      </c>
      <c r="L6" s="8" t="s">
        <v>26</v>
      </c>
      <c r="M6" s="8" t="s">
        <v>26</v>
      </c>
      <c r="N6" s="8" t="s">
        <v>26</v>
      </c>
      <c r="O6" s="8" t="s">
        <v>26</v>
      </c>
      <c r="P6" s="8" t="s">
        <v>26</v>
      </c>
      <c r="Q6" s="8" t="s">
        <v>26</v>
      </c>
      <c r="R6" s="8" t="s">
        <v>26</v>
      </c>
      <c r="S6" s="8" t="s">
        <v>26</v>
      </c>
      <c r="T6" s="8" t="s">
        <v>26</v>
      </c>
      <c r="U6" s="8" t="s">
        <v>26</v>
      </c>
      <c r="V6" s="8" t="s">
        <v>26</v>
      </c>
      <c r="W6" s="8" t="s">
        <v>26</v>
      </c>
      <c r="X6" s="8" t="s">
        <v>26</v>
      </c>
      <c r="Y6" s="8" t="s">
        <v>26</v>
      </c>
      <c r="Z6" s="8" t="s">
        <v>26</v>
      </c>
      <c r="AA6" s="8" t="s">
        <v>26</v>
      </c>
      <c r="AB6" s="8" t="s">
        <v>26</v>
      </c>
      <c r="AC6" s="8" t="s">
        <v>26</v>
      </c>
      <c r="AD6" s="8" t="s">
        <v>26</v>
      </c>
      <c r="AE6" s="8" t="s">
        <v>26</v>
      </c>
      <c r="AF6" s="8" t="s">
        <v>26</v>
      </c>
      <c r="AG6" s="8" t="s">
        <v>26</v>
      </c>
      <c r="AH6" s="8" t="s">
        <v>26</v>
      </c>
      <c r="AI6" s="8" t="s">
        <v>26</v>
      </c>
      <c r="AJ6" s="8" t="s">
        <v>26</v>
      </c>
      <c r="AK6" s="8" t="s">
        <v>26</v>
      </c>
      <c r="AL6" s="8" t="s">
        <v>26</v>
      </c>
      <c r="AM6" s="8" t="s">
        <v>26</v>
      </c>
      <c r="AN6" s="8" t="s">
        <v>26</v>
      </c>
      <c r="AO6" s="8" t="s">
        <v>26</v>
      </c>
      <c r="AP6" s="8" t="s">
        <v>26</v>
      </c>
      <c r="AQ6" s="8" t="s">
        <v>26</v>
      </c>
      <c r="AR6" s="8" t="s">
        <v>26</v>
      </c>
      <c r="AS6" s="8" t="s">
        <v>26</v>
      </c>
      <c r="AT6" s="8" t="s">
        <v>26</v>
      </c>
      <c r="AU6" s="8" t="s">
        <v>26</v>
      </c>
      <c r="AV6" s="8" t="s">
        <v>26</v>
      </c>
      <c r="AW6" s="8" t="s">
        <v>26</v>
      </c>
      <c r="AX6" s="8" t="s">
        <v>26</v>
      </c>
      <c r="AY6" s="8" t="s">
        <v>26</v>
      </c>
      <c r="AZ6" s="8" t="s">
        <v>26</v>
      </c>
      <c r="BA6" s="8" t="s">
        <v>26</v>
      </c>
      <c r="BB6" s="8" t="s">
        <v>26</v>
      </c>
      <c r="BC6" s="8" t="s">
        <v>26</v>
      </c>
      <c r="BD6" s="8" t="s">
        <v>26</v>
      </c>
      <c r="BE6" s="8" t="s">
        <v>26</v>
      </c>
      <c r="BF6" s="8" t="s">
        <v>26</v>
      </c>
      <c r="BG6" s="8" t="s">
        <v>26</v>
      </c>
      <c r="BH6" s="8" t="s">
        <v>26</v>
      </c>
      <c r="BI6" s="8" t="s">
        <v>26</v>
      </c>
      <c r="BJ6" s="8" t="s">
        <v>26</v>
      </c>
      <c r="BK6" s="8" t="s">
        <v>26</v>
      </c>
      <c r="BL6" s="8" t="s">
        <v>26</v>
      </c>
      <c r="BM6" s="8" t="s">
        <v>26</v>
      </c>
      <c r="BN6" s="8" t="s">
        <v>26</v>
      </c>
      <c r="BO6" s="8" t="s">
        <v>26</v>
      </c>
      <c r="BP6" s="8" t="s">
        <v>26</v>
      </c>
      <c r="BQ6" s="8" t="s">
        <v>26</v>
      </c>
      <c r="BR6" s="8" t="s">
        <v>26</v>
      </c>
      <c r="BS6" s="8" t="s">
        <v>26</v>
      </c>
      <c r="BT6" s="8" t="s">
        <v>26</v>
      </c>
      <c r="BU6" s="8" t="s">
        <v>26</v>
      </c>
      <c r="BV6" s="8" t="s">
        <v>26</v>
      </c>
      <c r="BW6" s="8" t="s">
        <v>26</v>
      </c>
      <c r="BX6" s="8" t="s">
        <v>26</v>
      </c>
      <c r="BY6" s="8" t="s">
        <v>26</v>
      </c>
      <c r="BZ6" s="8" t="s">
        <v>26</v>
      </c>
      <c r="CA6" s="8" t="s">
        <v>27</v>
      </c>
      <c r="CB6" s="8" t="s">
        <v>27</v>
      </c>
      <c r="CC6" s="8" t="s">
        <v>26</v>
      </c>
      <c r="CD6" s="8" t="s">
        <v>26</v>
      </c>
      <c r="CE6" s="8" t="s">
        <v>27</v>
      </c>
      <c r="CF6" s="8" t="s">
        <v>27</v>
      </c>
      <c r="CG6" s="8" t="s">
        <v>26</v>
      </c>
      <c r="CH6" s="8" t="s">
        <v>26</v>
      </c>
      <c r="CI6" s="8" t="s">
        <v>27</v>
      </c>
      <c r="CJ6" s="8" t="s">
        <v>27</v>
      </c>
      <c r="CK6" s="8" t="s">
        <v>26</v>
      </c>
      <c r="CL6" s="8" t="s">
        <v>26</v>
      </c>
      <c r="CM6" s="8" t="s">
        <v>27</v>
      </c>
      <c r="CN6" s="8" t="s">
        <v>27</v>
      </c>
      <c r="CO6" s="8" t="s">
        <v>26</v>
      </c>
      <c r="CP6" s="8" t="s">
        <v>26</v>
      </c>
      <c r="CQ6" s="21"/>
    </row>
    <row r="7" spans="1:95" ht="15.75">
      <c r="A7" s="51"/>
      <c r="B7" s="60" t="s">
        <v>28</v>
      </c>
      <c r="C7" s="8" t="s">
        <v>29</v>
      </c>
      <c r="D7" s="8" t="s">
        <v>29</v>
      </c>
      <c r="E7" s="8" t="s">
        <v>29</v>
      </c>
      <c r="F7" s="8" t="s">
        <v>30</v>
      </c>
      <c r="G7" s="8" t="s">
        <v>29</v>
      </c>
      <c r="H7" s="8" t="s">
        <v>29</v>
      </c>
      <c r="I7" s="8" t="s">
        <v>29</v>
      </c>
      <c r="J7" s="8" t="s">
        <v>30</v>
      </c>
      <c r="K7" s="8" t="s">
        <v>29</v>
      </c>
      <c r="L7" s="8" t="s">
        <v>29</v>
      </c>
      <c r="M7" s="8" t="s">
        <v>29</v>
      </c>
      <c r="N7" s="8" t="s">
        <v>30</v>
      </c>
      <c r="O7" s="8" t="s">
        <v>29</v>
      </c>
      <c r="P7" s="8" t="s">
        <v>29</v>
      </c>
      <c r="Q7" s="8" t="s">
        <v>29</v>
      </c>
      <c r="R7" s="8" t="s">
        <v>30</v>
      </c>
      <c r="S7" s="8" t="s">
        <v>29</v>
      </c>
      <c r="T7" s="8" t="s">
        <v>29</v>
      </c>
      <c r="U7" s="8" t="s">
        <v>29</v>
      </c>
      <c r="V7" s="8" t="s">
        <v>30</v>
      </c>
      <c r="W7" s="8" t="s">
        <v>29</v>
      </c>
      <c r="X7" s="8" t="s">
        <v>29</v>
      </c>
      <c r="Y7" s="8" t="s">
        <v>29</v>
      </c>
      <c r="Z7" s="8" t="s">
        <v>30</v>
      </c>
      <c r="AA7" s="8" t="s">
        <v>29</v>
      </c>
      <c r="AB7" s="8" t="s">
        <v>29</v>
      </c>
      <c r="AC7" s="8" t="s">
        <v>29</v>
      </c>
      <c r="AD7" s="8" t="s">
        <v>30</v>
      </c>
      <c r="AE7" s="8" t="s">
        <v>29</v>
      </c>
      <c r="AF7" s="8" t="s">
        <v>29</v>
      </c>
      <c r="AG7" s="8" t="s">
        <v>29</v>
      </c>
      <c r="AH7" s="8" t="s">
        <v>30</v>
      </c>
      <c r="AI7" s="8" t="s">
        <v>29</v>
      </c>
      <c r="AJ7" s="8" t="s">
        <v>29</v>
      </c>
      <c r="AK7" s="8" t="s">
        <v>29</v>
      </c>
      <c r="AL7" s="8" t="s">
        <v>30</v>
      </c>
      <c r="AM7" s="8" t="s">
        <v>29</v>
      </c>
      <c r="AN7" s="8" t="s">
        <v>29</v>
      </c>
      <c r="AO7" s="8" t="s">
        <v>29</v>
      </c>
      <c r="AP7" s="8" t="s">
        <v>30</v>
      </c>
      <c r="AQ7" s="8" t="s">
        <v>29</v>
      </c>
      <c r="AR7" s="8" t="s">
        <v>29</v>
      </c>
      <c r="AS7" s="8" t="s">
        <v>29</v>
      </c>
      <c r="AT7" s="8" t="s">
        <v>30</v>
      </c>
      <c r="AU7" s="8" t="s">
        <v>29</v>
      </c>
      <c r="AV7" s="8" t="s">
        <v>29</v>
      </c>
      <c r="AW7" s="8" t="s">
        <v>29</v>
      </c>
      <c r="AX7" s="8" t="s">
        <v>30</v>
      </c>
      <c r="AY7" s="8" t="s">
        <v>29</v>
      </c>
      <c r="AZ7" s="8" t="s">
        <v>29</v>
      </c>
      <c r="BA7" s="8" t="s">
        <v>29</v>
      </c>
      <c r="BB7" s="8" t="s">
        <v>30</v>
      </c>
      <c r="BC7" s="8" t="s">
        <v>29</v>
      </c>
      <c r="BD7" s="8" t="s">
        <v>29</v>
      </c>
      <c r="BE7" s="8" t="s">
        <v>29</v>
      </c>
      <c r="BF7" s="8" t="s">
        <v>30</v>
      </c>
      <c r="BG7" s="8" t="s">
        <v>29</v>
      </c>
      <c r="BH7" s="8" t="s">
        <v>29</v>
      </c>
      <c r="BI7" s="8" t="s">
        <v>29</v>
      </c>
      <c r="BJ7" s="8" t="s">
        <v>30</v>
      </c>
      <c r="BK7" s="8" t="s">
        <v>29</v>
      </c>
      <c r="BL7" s="8" t="s">
        <v>29</v>
      </c>
      <c r="BM7" s="8" t="s">
        <v>29</v>
      </c>
      <c r="BN7" s="8" t="s">
        <v>30</v>
      </c>
      <c r="BO7" s="8" t="s">
        <v>29</v>
      </c>
      <c r="BP7" s="8" t="s">
        <v>29</v>
      </c>
      <c r="BQ7" s="8" t="s">
        <v>29</v>
      </c>
      <c r="BR7" s="8" t="s">
        <v>30</v>
      </c>
      <c r="BS7" s="8" t="s">
        <v>29</v>
      </c>
      <c r="BT7" s="8" t="s">
        <v>29</v>
      </c>
      <c r="BU7" s="8" t="s">
        <v>29</v>
      </c>
      <c r="BV7" s="8" t="s">
        <v>30</v>
      </c>
      <c r="BW7" s="8" t="s">
        <v>29</v>
      </c>
      <c r="BX7" s="8" t="s">
        <v>29</v>
      </c>
      <c r="BY7" s="8" t="s">
        <v>29</v>
      </c>
      <c r="BZ7" s="8" t="s">
        <v>30</v>
      </c>
      <c r="CA7" s="8" t="s">
        <v>31</v>
      </c>
      <c r="CB7" s="8" t="s">
        <v>32</v>
      </c>
      <c r="CC7" s="8" t="s">
        <v>32</v>
      </c>
      <c r="CD7" s="8" t="s">
        <v>30</v>
      </c>
      <c r="CE7" s="8" t="s">
        <v>31</v>
      </c>
      <c r="CF7" s="8" t="s">
        <v>32</v>
      </c>
      <c r="CG7" s="8" t="s">
        <v>32</v>
      </c>
      <c r="CH7" s="8" t="s">
        <v>30</v>
      </c>
      <c r="CI7" s="8" t="s">
        <v>31</v>
      </c>
      <c r="CJ7" s="8" t="s">
        <v>32</v>
      </c>
      <c r="CK7" s="8" t="s">
        <v>32</v>
      </c>
      <c r="CL7" s="8" t="s">
        <v>30</v>
      </c>
      <c r="CM7" s="8" t="s">
        <v>31</v>
      </c>
      <c r="CN7" s="8" t="s">
        <v>32</v>
      </c>
      <c r="CO7" s="8" t="s">
        <v>32</v>
      </c>
      <c r="CP7" s="8" t="s">
        <v>30</v>
      </c>
      <c r="CQ7" s="21"/>
    </row>
    <row r="8" spans="1:95" ht="15.75">
      <c r="A8" s="51"/>
      <c r="B8" s="51"/>
      <c r="C8" s="8" t="s">
        <v>33</v>
      </c>
      <c r="D8" s="8" t="s">
        <v>32</v>
      </c>
      <c r="E8" s="8" t="s">
        <v>32</v>
      </c>
      <c r="F8" s="8" t="s">
        <v>34</v>
      </c>
      <c r="G8" s="8" t="s">
        <v>33</v>
      </c>
      <c r="H8" s="8" t="s">
        <v>32</v>
      </c>
      <c r="I8" s="8" t="s">
        <v>32</v>
      </c>
      <c r="J8" s="8" t="s">
        <v>34</v>
      </c>
      <c r="K8" s="8" t="s">
        <v>33</v>
      </c>
      <c r="L8" s="8" t="s">
        <v>32</v>
      </c>
      <c r="M8" s="8" t="s">
        <v>32</v>
      </c>
      <c r="N8" s="8" t="s">
        <v>34</v>
      </c>
      <c r="O8" s="8" t="s">
        <v>33</v>
      </c>
      <c r="P8" s="8" t="s">
        <v>32</v>
      </c>
      <c r="Q8" s="8" t="s">
        <v>32</v>
      </c>
      <c r="R8" s="8" t="s">
        <v>34</v>
      </c>
      <c r="S8" s="8" t="s">
        <v>33</v>
      </c>
      <c r="T8" s="8" t="s">
        <v>32</v>
      </c>
      <c r="U8" s="8" t="s">
        <v>32</v>
      </c>
      <c r="V8" s="8" t="s">
        <v>34</v>
      </c>
      <c r="W8" s="8" t="s">
        <v>33</v>
      </c>
      <c r="X8" s="8" t="s">
        <v>32</v>
      </c>
      <c r="Y8" s="8" t="s">
        <v>32</v>
      </c>
      <c r="Z8" s="8" t="s">
        <v>34</v>
      </c>
      <c r="AA8" s="8" t="s">
        <v>33</v>
      </c>
      <c r="AB8" s="8" t="s">
        <v>32</v>
      </c>
      <c r="AC8" s="8" t="s">
        <v>32</v>
      </c>
      <c r="AD8" s="8" t="s">
        <v>34</v>
      </c>
      <c r="AE8" s="8" t="s">
        <v>33</v>
      </c>
      <c r="AF8" s="8" t="s">
        <v>32</v>
      </c>
      <c r="AG8" s="8" t="s">
        <v>32</v>
      </c>
      <c r="AH8" s="8" t="s">
        <v>34</v>
      </c>
      <c r="AI8" s="8" t="s">
        <v>33</v>
      </c>
      <c r="AJ8" s="8" t="s">
        <v>32</v>
      </c>
      <c r="AK8" s="8" t="s">
        <v>32</v>
      </c>
      <c r="AL8" s="8" t="s">
        <v>34</v>
      </c>
      <c r="AM8" s="8" t="s">
        <v>33</v>
      </c>
      <c r="AN8" s="8" t="s">
        <v>32</v>
      </c>
      <c r="AO8" s="8" t="s">
        <v>32</v>
      </c>
      <c r="AP8" s="8" t="s">
        <v>34</v>
      </c>
      <c r="AQ8" s="8" t="s">
        <v>33</v>
      </c>
      <c r="AR8" s="8" t="s">
        <v>32</v>
      </c>
      <c r="AS8" s="8" t="s">
        <v>32</v>
      </c>
      <c r="AT8" s="8" t="s">
        <v>34</v>
      </c>
      <c r="AU8" s="8" t="s">
        <v>33</v>
      </c>
      <c r="AV8" s="8" t="s">
        <v>32</v>
      </c>
      <c r="AW8" s="8" t="s">
        <v>32</v>
      </c>
      <c r="AX8" s="8" t="s">
        <v>34</v>
      </c>
      <c r="AY8" s="8" t="s">
        <v>33</v>
      </c>
      <c r="AZ8" s="8" t="s">
        <v>32</v>
      </c>
      <c r="BA8" s="8" t="s">
        <v>32</v>
      </c>
      <c r="BB8" s="8" t="s">
        <v>34</v>
      </c>
      <c r="BC8" s="8" t="s">
        <v>33</v>
      </c>
      <c r="BD8" s="8" t="s">
        <v>32</v>
      </c>
      <c r="BE8" s="8" t="s">
        <v>32</v>
      </c>
      <c r="BF8" s="8" t="s">
        <v>34</v>
      </c>
      <c r="BG8" s="8" t="s">
        <v>33</v>
      </c>
      <c r="BH8" s="8" t="s">
        <v>32</v>
      </c>
      <c r="BI8" s="8" t="s">
        <v>32</v>
      </c>
      <c r="BJ8" s="8" t="s">
        <v>34</v>
      </c>
      <c r="BK8" s="8" t="s">
        <v>33</v>
      </c>
      <c r="BL8" s="8" t="s">
        <v>32</v>
      </c>
      <c r="BM8" s="8" t="s">
        <v>32</v>
      </c>
      <c r="BN8" s="8" t="s">
        <v>34</v>
      </c>
      <c r="BO8" s="8" t="s">
        <v>33</v>
      </c>
      <c r="BP8" s="8" t="s">
        <v>32</v>
      </c>
      <c r="BQ8" s="8" t="s">
        <v>32</v>
      </c>
      <c r="BR8" s="8" t="s">
        <v>34</v>
      </c>
      <c r="BS8" s="8" t="s">
        <v>33</v>
      </c>
      <c r="BT8" s="8" t="s">
        <v>32</v>
      </c>
      <c r="BU8" s="8" t="s">
        <v>32</v>
      </c>
      <c r="BV8" s="8" t="s">
        <v>34</v>
      </c>
      <c r="BW8" s="8" t="s">
        <v>33</v>
      </c>
      <c r="BX8" s="8" t="s">
        <v>32</v>
      </c>
      <c r="BY8" s="8" t="s">
        <v>32</v>
      </c>
      <c r="BZ8" s="8" t="s">
        <v>34</v>
      </c>
      <c r="CA8" s="8" t="s">
        <v>29</v>
      </c>
      <c r="CB8" s="8" t="s">
        <v>35</v>
      </c>
      <c r="CC8" s="8" t="s">
        <v>35</v>
      </c>
      <c r="CD8" s="8" t="s">
        <v>34</v>
      </c>
      <c r="CE8" s="8" t="s">
        <v>29</v>
      </c>
      <c r="CF8" s="8" t="s">
        <v>35</v>
      </c>
      <c r="CG8" s="8" t="s">
        <v>35</v>
      </c>
      <c r="CH8" s="8" t="s">
        <v>34</v>
      </c>
      <c r="CI8" s="8" t="s">
        <v>29</v>
      </c>
      <c r="CJ8" s="8" t="s">
        <v>35</v>
      </c>
      <c r="CK8" s="8" t="s">
        <v>35</v>
      </c>
      <c r="CL8" s="8" t="s">
        <v>34</v>
      </c>
      <c r="CM8" s="8" t="s">
        <v>29</v>
      </c>
      <c r="CN8" s="8" t="s">
        <v>35</v>
      </c>
      <c r="CO8" s="8" t="s">
        <v>35</v>
      </c>
      <c r="CP8" s="8" t="s">
        <v>34</v>
      </c>
      <c r="CQ8" s="21"/>
    </row>
    <row r="9" spans="1:95" ht="15.75">
      <c r="A9" s="51"/>
      <c r="B9" s="51"/>
      <c r="C9" s="4"/>
      <c r="D9" s="4"/>
      <c r="E9" s="8" t="s">
        <v>36</v>
      </c>
      <c r="F9" s="4"/>
      <c r="G9" s="4"/>
      <c r="H9" s="4"/>
      <c r="I9" s="8" t="s">
        <v>36</v>
      </c>
      <c r="J9" s="4"/>
      <c r="K9" s="4"/>
      <c r="L9" s="4"/>
      <c r="M9" s="8" t="s">
        <v>36</v>
      </c>
      <c r="N9" s="4"/>
      <c r="O9" s="4"/>
      <c r="P9" s="4"/>
      <c r="Q9" s="8" t="s">
        <v>36</v>
      </c>
      <c r="R9" s="4"/>
      <c r="S9" s="4"/>
      <c r="T9" s="4"/>
      <c r="U9" s="8" t="s">
        <v>36</v>
      </c>
      <c r="V9" s="4"/>
      <c r="W9" s="4"/>
      <c r="X9" s="4"/>
      <c r="Y9" s="8" t="s">
        <v>36</v>
      </c>
      <c r="Z9" s="4"/>
      <c r="AA9" s="4"/>
      <c r="AB9" s="4"/>
      <c r="AC9" s="8" t="s">
        <v>36</v>
      </c>
      <c r="AD9" s="5" t="s">
        <v>37</v>
      </c>
      <c r="AE9" s="4"/>
      <c r="AF9" s="4"/>
      <c r="AG9" s="8" t="s">
        <v>36</v>
      </c>
      <c r="AH9" s="5" t="s">
        <v>37</v>
      </c>
      <c r="AI9" s="4"/>
      <c r="AJ9" s="4"/>
      <c r="AK9" s="8" t="s">
        <v>36</v>
      </c>
      <c r="AL9" s="4"/>
      <c r="AM9" s="4"/>
      <c r="AN9" s="4"/>
      <c r="AO9" s="8" t="s">
        <v>36</v>
      </c>
      <c r="AP9" s="4"/>
      <c r="AQ9" s="4"/>
      <c r="AR9" s="4"/>
      <c r="AS9" s="8" t="s">
        <v>36</v>
      </c>
      <c r="AT9" s="4"/>
      <c r="AU9" s="4"/>
      <c r="AV9" s="4"/>
      <c r="AW9" s="8" t="s">
        <v>36</v>
      </c>
      <c r="AX9" s="4"/>
      <c r="AY9" s="4"/>
      <c r="AZ9" s="4"/>
      <c r="BA9" s="8" t="s">
        <v>36</v>
      </c>
      <c r="BB9" s="4"/>
      <c r="BC9" s="4"/>
      <c r="BD9" s="4"/>
      <c r="BE9" s="8" t="s">
        <v>36</v>
      </c>
      <c r="BF9" s="4"/>
      <c r="BG9" s="4"/>
      <c r="BH9" s="4"/>
      <c r="BI9" s="8" t="s">
        <v>36</v>
      </c>
      <c r="BJ9" s="4"/>
      <c r="BK9" s="4"/>
      <c r="BL9" s="4"/>
      <c r="BM9" s="8" t="s">
        <v>36</v>
      </c>
      <c r="BN9" s="4"/>
      <c r="BO9" s="4"/>
      <c r="BP9" s="4"/>
      <c r="BQ9" s="8" t="s">
        <v>36</v>
      </c>
      <c r="BR9" s="4"/>
      <c r="BS9" s="4"/>
      <c r="BT9" s="4"/>
      <c r="BU9" s="8" t="s">
        <v>36</v>
      </c>
      <c r="BV9" s="4"/>
      <c r="BW9" s="4"/>
      <c r="BX9" s="4"/>
      <c r="BY9" s="8" t="s">
        <v>36</v>
      </c>
      <c r="BZ9" s="4"/>
      <c r="CA9" s="8" t="s">
        <v>33</v>
      </c>
      <c r="CB9" s="8" t="s">
        <v>31</v>
      </c>
      <c r="CC9" s="8" t="s">
        <v>31</v>
      </c>
      <c r="CD9" s="4"/>
      <c r="CE9" s="8" t="s">
        <v>33</v>
      </c>
      <c r="CF9" s="8" t="s">
        <v>31</v>
      </c>
      <c r="CG9" s="8" t="s">
        <v>31</v>
      </c>
      <c r="CH9" s="4"/>
      <c r="CI9" s="8" t="s">
        <v>33</v>
      </c>
      <c r="CJ9" s="8" t="s">
        <v>31</v>
      </c>
      <c r="CK9" s="8" t="s">
        <v>31</v>
      </c>
      <c r="CL9" s="4"/>
      <c r="CM9" s="8" t="s">
        <v>33</v>
      </c>
      <c r="CN9" s="8" t="s">
        <v>31</v>
      </c>
      <c r="CO9" s="8" t="s">
        <v>31</v>
      </c>
      <c r="CP9" s="4"/>
      <c r="CQ9" s="21"/>
    </row>
    <row r="10" spans="1:95" ht="16.5" thickBot="1">
      <c r="A10" s="51"/>
      <c r="B10" s="51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92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8" t="s">
        <v>36</v>
      </c>
      <c r="CD10" s="4"/>
      <c r="CE10" s="4"/>
      <c r="CF10" s="4"/>
      <c r="CG10" s="8" t="s">
        <v>36</v>
      </c>
      <c r="CH10" s="4"/>
      <c r="CI10" s="4"/>
      <c r="CJ10" s="4"/>
      <c r="CK10" s="8" t="s">
        <v>36</v>
      </c>
      <c r="CL10" s="4"/>
      <c r="CM10" s="4"/>
      <c r="CN10" s="4"/>
      <c r="CO10" s="8" t="s">
        <v>36</v>
      </c>
      <c r="CP10" s="4"/>
      <c r="CQ10" s="21"/>
    </row>
    <row r="11" spans="1:95" ht="16.5" thickTop="1">
      <c r="A11" s="61" t="s">
        <v>3</v>
      </c>
      <c r="B11" s="58"/>
      <c r="C11" s="31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21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21"/>
    </row>
    <row r="12" spans="1:95" ht="15.75">
      <c r="A12" s="63">
        <v>1</v>
      </c>
      <c r="B12" s="64" t="s">
        <v>38</v>
      </c>
      <c r="C12" s="43">
        <v>2.3113</v>
      </c>
      <c r="D12" s="44">
        <v>64.42</v>
      </c>
      <c r="E12" s="44">
        <f>D$34/C12</f>
        <v>64.41829273568986</v>
      </c>
      <c r="F12" s="4">
        <v>64.66</v>
      </c>
      <c r="G12" s="4">
        <v>2.3026</v>
      </c>
      <c r="H12" s="4">
        <v>64.6</v>
      </c>
      <c r="I12" s="16">
        <f>H$34/G12</f>
        <v>64.59654303830453</v>
      </c>
      <c r="J12" s="4">
        <v>64.61</v>
      </c>
      <c r="K12" s="4">
        <v>2.3119</v>
      </c>
      <c r="L12" s="16">
        <v>64.37</v>
      </c>
      <c r="M12" s="16">
        <f>L$34/K12</f>
        <v>64.37129633634672</v>
      </c>
      <c r="N12" s="4">
        <v>64.6</v>
      </c>
      <c r="O12" s="4">
        <v>2.322</v>
      </c>
      <c r="P12" s="16">
        <v>64.4</v>
      </c>
      <c r="Q12" s="16">
        <f>P$34/O12</f>
        <v>64.39707149009475</v>
      </c>
      <c r="R12" s="4">
        <v>64.53</v>
      </c>
      <c r="S12" s="4">
        <v>2.325</v>
      </c>
      <c r="T12" s="16">
        <v>64.22</v>
      </c>
      <c r="U12" s="16">
        <f>T$34/S12</f>
        <v>64.21505376344086</v>
      </c>
      <c r="V12" s="4">
        <v>64.31</v>
      </c>
      <c r="W12" s="12">
        <v>2.3072</v>
      </c>
      <c r="X12" s="16">
        <v>64.28</v>
      </c>
      <c r="Y12" s="16">
        <f>X$34/W12</f>
        <v>64.28571428571429</v>
      </c>
      <c r="Z12" s="4">
        <v>64.46</v>
      </c>
      <c r="AA12" s="4">
        <v>2.2878</v>
      </c>
      <c r="AB12" s="16">
        <v>64.81</v>
      </c>
      <c r="AC12" s="16">
        <f>AB$34/AA12</f>
        <v>64.80898679954542</v>
      </c>
      <c r="AD12" s="4">
        <v>64.64</v>
      </c>
      <c r="AE12" s="4">
        <v>2.2726</v>
      </c>
      <c r="AF12" s="16">
        <v>65.06</v>
      </c>
      <c r="AG12" s="16">
        <f>AF$34/AE12</f>
        <v>65.05764322802077</v>
      </c>
      <c r="AH12" s="4">
        <v>64.96</v>
      </c>
      <c r="AI12" s="23">
        <v>2.2889</v>
      </c>
      <c r="AJ12" s="16">
        <v>64.9</v>
      </c>
      <c r="AK12" s="16">
        <f>AJ$34/AI12</f>
        <v>64.90453929835293</v>
      </c>
      <c r="AL12" s="4">
        <v>64.9</v>
      </c>
      <c r="AM12" s="4">
        <v>2.2891</v>
      </c>
      <c r="AN12" s="16">
        <v>64.99</v>
      </c>
      <c r="AO12" s="16">
        <f>AN$34/AM12</f>
        <v>64.99497619151632</v>
      </c>
      <c r="AP12" s="4">
        <v>64.85</v>
      </c>
      <c r="AQ12" s="4">
        <v>2.2827</v>
      </c>
      <c r="AR12" s="16">
        <v>65.02</v>
      </c>
      <c r="AS12" s="16">
        <f>AR$34/AQ12</f>
        <v>65.02387523546678</v>
      </c>
      <c r="AT12" s="4">
        <v>64.9</v>
      </c>
      <c r="AU12" s="4">
        <v>2.295</v>
      </c>
      <c r="AV12" s="16">
        <v>64.55</v>
      </c>
      <c r="AW12" s="16">
        <f>AV$34/AU12</f>
        <v>64.55337690631809</v>
      </c>
      <c r="AX12" s="4">
        <v>64.77</v>
      </c>
      <c r="AY12" s="4">
        <v>2.2655</v>
      </c>
      <c r="AZ12" s="16">
        <v>65.21</v>
      </c>
      <c r="BA12" s="16">
        <f>AZ$34/AY12</f>
        <v>65.20856323107482</v>
      </c>
      <c r="BB12" s="4">
        <v>64.98</v>
      </c>
      <c r="BC12" s="4">
        <v>2.2478</v>
      </c>
      <c r="BD12" s="16">
        <v>65.6</v>
      </c>
      <c r="BE12" s="16">
        <f>BD$34/BC12</f>
        <v>65.59747308479402</v>
      </c>
      <c r="BF12" s="4">
        <v>65.48</v>
      </c>
      <c r="BG12" s="4">
        <v>2.234</v>
      </c>
      <c r="BH12" s="16">
        <v>65.88</v>
      </c>
      <c r="BI12" s="16">
        <f>BH$34/BG12</f>
        <v>65.87735004476275</v>
      </c>
      <c r="BJ12" s="4">
        <v>65.56</v>
      </c>
      <c r="BK12" s="4">
        <v>2.252</v>
      </c>
      <c r="BL12" s="16">
        <v>65.46</v>
      </c>
      <c r="BM12" s="16">
        <f>BL$34/BK12</f>
        <v>65.46181172291297</v>
      </c>
      <c r="BN12" s="4">
        <v>65.25</v>
      </c>
      <c r="BO12" s="4">
        <v>2.246</v>
      </c>
      <c r="BP12" s="16">
        <v>65.51</v>
      </c>
      <c r="BQ12" s="16">
        <f>BP$34/BO12</f>
        <v>65.5120213713268</v>
      </c>
      <c r="BR12" s="4">
        <v>65.27</v>
      </c>
      <c r="BS12" s="4">
        <v>2.2388</v>
      </c>
      <c r="BT12" s="16">
        <v>65.76</v>
      </c>
      <c r="BU12" s="16">
        <f>BT$34/BS12</f>
        <v>65.75844202251206</v>
      </c>
      <c r="BV12" s="4">
        <v>65.36</v>
      </c>
      <c r="BW12" s="4">
        <v>2.2279</v>
      </c>
      <c r="BX12" s="16">
        <v>65.72</v>
      </c>
      <c r="BY12" s="16">
        <f>BX$34/BW12</f>
        <v>65.72108263387045</v>
      </c>
      <c r="BZ12" s="4">
        <v>65.57</v>
      </c>
      <c r="CA12" s="4">
        <v>2.236</v>
      </c>
      <c r="CB12" s="16">
        <v>65.45</v>
      </c>
      <c r="CC12" s="16">
        <f>CB$34/CA12</f>
        <v>65.45169946332736</v>
      </c>
      <c r="CD12" s="4">
        <v>65.42</v>
      </c>
      <c r="CE12" s="4">
        <v>2.2363</v>
      </c>
      <c r="CF12" s="16">
        <v>65.36</v>
      </c>
      <c r="CG12" s="16">
        <f>CF$34/CE12</f>
        <v>65.35348566829138</v>
      </c>
      <c r="CH12" s="4">
        <v>64.9</v>
      </c>
      <c r="CI12" s="4">
        <v>2.2342</v>
      </c>
      <c r="CJ12" s="16">
        <v>65.08</v>
      </c>
      <c r="CK12" s="16">
        <f>CJ$34/CI12</f>
        <v>65.0747471130606</v>
      </c>
      <c r="CL12" s="4">
        <v>64.86</v>
      </c>
      <c r="CM12" s="4">
        <f aca="true" t="shared" si="0" ref="CM12:CM34">(C12+G12+K12+O12+S12+W12+AA12+AE12+AI12+AM12+AQ12+AU12+AY12+BC12+BG12+BK12+BO12+BS12+BW12+CA12+CE12+CI12)/22</f>
        <v>2.2733909090909097</v>
      </c>
      <c r="CN12" s="90">
        <f aca="true" t="shared" si="1" ref="CN12:CP27">(D12+H12+L12+P12+T12+X12+AB12+AF12+AJ12+AN12+AR12+AV12+AZ12+BD12+BH12+BL12+BP12+BT12+BX12+CB12+CF12+CJ12)/22</f>
        <v>65.02954545454544</v>
      </c>
      <c r="CO12" s="90">
        <f t="shared" si="1"/>
        <v>65.02927480294294</v>
      </c>
      <c r="CP12" s="90">
        <f t="shared" si="1"/>
        <v>64.94727272727272</v>
      </c>
      <c r="CQ12" s="21"/>
    </row>
    <row r="13" spans="1:95" ht="15.75">
      <c r="A13" s="63">
        <v>2</v>
      </c>
      <c r="B13" s="64" t="s">
        <v>39</v>
      </c>
      <c r="C13" s="43">
        <v>124.33</v>
      </c>
      <c r="D13" s="44">
        <v>119.75</v>
      </c>
      <c r="E13" s="44">
        <f>D$34/C13*100</f>
        <v>119.75388080109386</v>
      </c>
      <c r="F13" s="4"/>
      <c r="G13" s="4">
        <v>124.1</v>
      </c>
      <c r="H13" s="4">
        <v>119.85</v>
      </c>
      <c r="I13" s="16">
        <f>H$34/G13*100</f>
        <v>119.85495568090252</v>
      </c>
      <c r="J13" s="4"/>
      <c r="K13" s="4">
        <v>124.45</v>
      </c>
      <c r="L13" s="16">
        <v>119.58</v>
      </c>
      <c r="M13" s="16">
        <f>L$34/K13*100</f>
        <v>119.58216151064684</v>
      </c>
      <c r="N13" s="4"/>
      <c r="O13" s="4">
        <v>125.52</v>
      </c>
      <c r="P13" s="16">
        <v>119.13</v>
      </c>
      <c r="Q13" s="16">
        <f>P$34/O13*100</f>
        <v>119.12842574888465</v>
      </c>
      <c r="R13" s="4"/>
      <c r="S13" s="4">
        <v>125.72</v>
      </c>
      <c r="T13" s="16">
        <v>118.76</v>
      </c>
      <c r="U13" s="16">
        <f>T$34/S13*100</f>
        <v>118.75596563792557</v>
      </c>
      <c r="V13" s="4"/>
      <c r="W13" s="4">
        <v>125.43</v>
      </c>
      <c r="X13" s="16">
        <v>118.25</v>
      </c>
      <c r="Y13" s="16">
        <f>X$34/W13*100</f>
        <v>118.24922267400142</v>
      </c>
      <c r="Z13" s="4"/>
      <c r="AA13" s="4">
        <v>125.55</v>
      </c>
      <c r="AB13" s="16">
        <v>118.1</v>
      </c>
      <c r="AC13" s="16">
        <f>AB$34/AA13*100</f>
        <v>118.09637594583833</v>
      </c>
      <c r="AD13" s="4"/>
      <c r="AE13" s="4">
        <v>124.66</v>
      </c>
      <c r="AF13" s="16">
        <v>118.61</v>
      </c>
      <c r="AG13" s="16">
        <f>AF$34/AE13*100</f>
        <v>118.60259906946895</v>
      </c>
      <c r="AH13" s="4"/>
      <c r="AI13" s="4">
        <v>124.27</v>
      </c>
      <c r="AJ13" s="16">
        <v>119.54</v>
      </c>
      <c r="AK13" s="16">
        <f>AJ$34/AI13*100</f>
        <v>119.54614951315685</v>
      </c>
      <c r="AL13" s="4"/>
      <c r="AM13" s="4">
        <v>124.11</v>
      </c>
      <c r="AN13" s="16">
        <v>119.88</v>
      </c>
      <c r="AO13" s="16">
        <f>AN$34/AM13*100</f>
        <v>119.87752799935541</v>
      </c>
      <c r="AP13" s="4"/>
      <c r="AQ13" s="4">
        <v>124.84</v>
      </c>
      <c r="AR13" s="16">
        <v>118.9</v>
      </c>
      <c r="AS13" s="16">
        <f>AR$34/AQ13*100</f>
        <v>118.89618711951297</v>
      </c>
      <c r="AT13" s="4"/>
      <c r="AU13" s="4">
        <v>124.96</v>
      </c>
      <c r="AV13" s="16">
        <v>118.55</v>
      </c>
      <c r="AW13" s="16">
        <f>AV$34/AU13*100</f>
        <v>118.55793854033291</v>
      </c>
      <c r="AX13" s="4"/>
      <c r="AY13" s="4">
        <v>124.88</v>
      </c>
      <c r="AZ13" s="16">
        <v>118.3</v>
      </c>
      <c r="BA13" s="16">
        <f>AZ$34/AY13*100</f>
        <v>118.29756566303651</v>
      </c>
      <c r="BB13" s="4"/>
      <c r="BC13" s="4">
        <v>123.33</v>
      </c>
      <c r="BD13" s="16">
        <v>119.56</v>
      </c>
      <c r="BE13" s="16">
        <f>BD$34/BC13*100</f>
        <v>119.557285332036</v>
      </c>
      <c r="BF13" s="4"/>
      <c r="BG13" s="4">
        <v>123.56</v>
      </c>
      <c r="BH13" s="16">
        <v>119.11</v>
      </c>
      <c r="BI13" s="16">
        <f>BH$34/BG13*100</f>
        <v>119.10812560699253</v>
      </c>
      <c r="BJ13" s="4"/>
      <c r="BK13" s="4">
        <v>124.24</v>
      </c>
      <c r="BL13" s="16">
        <v>118.65</v>
      </c>
      <c r="BM13" s="16">
        <f>BL$34/BK13*100</f>
        <v>118.65743721828719</v>
      </c>
      <c r="BN13" s="4"/>
      <c r="BO13" s="4">
        <v>124.09</v>
      </c>
      <c r="BP13" s="16">
        <v>118.57</v>
      </c>
      <c r="BQ13" s="16">
        <f>BP$34/BO13*100</f>
        <v>118.57522765734545</v>
      </c>
      <c r="BR13" s="4"/>
      <c r="BS13" s="4">
        <v>124.31</v>
      </c>
      <c r="BT13" s="16">
        <v>118.43</v>
      </c>
      <c r="BU13" s="16">
        <f>BT$34/BS13*100</f>
        <v>118.42973212130963</v>
      </c>
      <c r="BV13" s="4"/>
      <c r="BW13" s="4">
        <v>123.72</v>
      </c>
      <c r="BX13" s="16">
        <v>118.34</v>
      </c>
      <c r="BY13" s="16">
        <f>BX$34/BW13*100</f>
        <v>118.34788231490461</v>
      </c>
      <c r="BZ13" s="4"/>
      <c r="CA13" s="4">
        <v>123.75</v>
      </c>
      <c r="CB13" s="16">
        <v>118.26</v>
      </c>
      <c r="CC13" s="16">
        <f>CB$34/CA13*100</f>
        <v>118.26262626262624</v>
      </c>
      <c r="CD13" s="4"/>
      <c r="CE13" s="4">
        <v>125.17</v>
      </c>
      <c r="CF13" s="16">
        <v>116.76</v>
      </c>
      <c r="CG13" s="16">
        <f>CF$34/CE13*100</f>
        <v>116.76120476152434</v>
      </c>
      <c r="CH13" s="4"/>
      <c r="CI13" s="4">
        <v>124.71</v>
      </c>
      <c r="CJ13" s="16">
        <v>116.58</v>
      </c>
      <c r="CK13" s="16">
        <f>CJ$34/CI13*100</f>
        <v>116.58247133349371</v>
      </c>
      <c r="CL13" s="4"/>
      <c r="CM13" s="4">
        <f t="shared" si="0"/>
        <v>124.53181818181815</v>
      </c>
      <c r="CN13" s="90">
        <f t="shared" si="1"/>
        <v>118.7027272727273</v>
      </c>
      <c r="CO13" s="90">
        <f t="shared" si="1"/>
        <v>118.70367947784892</v>
      </c>
      <c r="CP13" s="90"/>
      <c r="CQ13" s="21"/>
    </row>
    <row r="14" spans="1:95" ht="15.75">
      <c r="A14" s="63">
        <v>3</v>
      </c>
      <c r="B14" s="64" t="s">
        <v>40</v>
      </c>
      <c r="C14" s="43">
        <f>1/1.4163</f>
        <v>0.7060650992021464</v>
      </c>
      <c r="D14" s="44">
        <v>210.87</v>
      </c>
      <c r="E14" s="44">
        <f>D$34/C14</f>
        <v>210.87290699999997</v>
      </c>
      <c r="F14" s="4"/>
      <c r="G14" s="4">
        <f>1/1.4114</f>
        <v>0.7085163667280714</v>
      </c>
      <c r="H14" s="4">
        <v>209.93</v>
      </c>
      <c r="I14" s="16">
        <f>H$34/G14</f>
        <v>209.93163600000003</v>
      </c>
      <c r="J14" s="4"/>
      <c r="K14" s="4">
        <f>1/1.4042</f>
        <v>0.7121492664862555</v>
      </c>
      <c r="L14" s="16">
        <v>208.97</v>
      </c>
      <c r="M14" s="16">
        <f>L$34/K14</f>
        <v>208.973044</v>
      </c>
      <c r="N14" s="4"/>
      <c r="O14" s="4">
        <f>1/1.4052</f>
        <v>0.7116424708226587</v>
      </c>
      <c r="P14" s="16">
        <v>210.12</v>
      </c>
      <c r="Q14" s="16">
        <f>P$34/O14</f>
        <v>210.119556</v>
      </c>
      <c r="R14" s="4"/>
      <c r="S14" s="4">
        <f>1/1.404</f>
        <v>0.7122507122507123</v>
      </c>
      <c r="T14" s="16">
        <v>209.62</v>
      </c>
      <c r="U14" s="16">
        <f>T$34/S14</f>
        <v>209.6172</v>
      </c>
      <c r="V14" s="4"/>
      <c r="W14" s="4">
        <f>1/1.408</f>
        <v>0.7102272727272728</v>
      </c>
      <c r="X14" s="16">
        <v>208.83</v>
      </c>
      <c r="Y14" s="16">
        <f>X$34/W14</f>
        <v>208.83455999999995</v>
      </c>
      <c r="Z14" s="4"/>
      <c r="AA14" s="4">
        <f>1/1.4119</f>
        <v>0.7082654578936186</v>
      </c>
      <c r="AB14" s="16">
        <v>209.34</v>
      </c>
      <c r="AC14" s="16">
        <f>AB$34/AA14</f>
        <v>209.342413</v>
      </c>
      <c r="AD14" s="4"/>
      <c r="AE14" s="4">
        <f>1/1.4164</f>
        <v>0.7060152499293985</v>
      </c>
      <c r="AF14" s="16">
        <v>209.42</v>
      </c>
      <c r="AG14" s="16">
        <f>AF$34/AE14</f>
        <v>209.41474</v>
      </c>
      <c r="AH14" s="4"/>
      <c r="AI14" s="4">
        <f>1/1.4073</f>
        <v>0.710580544304697</v>
      </c>
      <c r="AJ14" s="16">
        <v>209.06</v>
      </c>
      <c r="AK14" s="16">
        <f>AJ$34/AI14</f>
        <v>209.068488</v>
      </c>
      <c r="AL14" s="4"/>
      <c r="AM14" s="4">
        <f>1/1.4026</f>
        <v>0.7129616426636247</v>
      </c>
      <c r="AN14" s="16">
        <v>208.68</v>
      </c>
      <c r="AO14" s="16">
        <f>AN$34/AM14</f>
        <v>208.67882799999998</v>
      </c>
      <c r="AP14" s="4"/>
      <c r="AQ14" s="4">
        <f>1/1.4002</f>
        <v>0.7141836880445651</v>
      </c>
      <c r="AR14" s="16">
        <v>207.83</v>
      </c>
      <c r="AS14" s="16">
        <f>AR$34/AQ14</f>
        <v>207.831686</v>
      </c>
      <c r="AT14" s="4"/>
      <c r="AU14" s="4">
        <f>1/1.4018</f>
        <v>0.713368526180625</v>
      </c>
      <c r="AV14" s="16">
        <v>207.67</v>
      </c>
      <c r="AW14" s="16">
        <f>AV$34/AU14</f>
        <v>207.67667</v>
      </c>
      <c r="AX14" s="4"/>
      <c r="AY14" s="4">
        <f>1/1.4065</f>
        <v>0.7109847138286527</v>
      </c>
      <c r="AZ14" s="16">
        <v>207.78</v>
      </c>
      <c r="BA14" s="16">
        <f>AZ$34/AY14</f>
        <v>207.782245</v>
      </c>
      <c r="BB14" s="4"/>
      <c r="BC14" s="4">
        <f>1/1.4143</f>
        <v>0.7070635650144949</v>
      </c>
      <c r="BD14" s="16">
        <v>208.54</v>
      </c>
      <c r="BE14" s="16">
        <f>BD$34/BC14</f>
        <v>208.53853499999997</v>
      </c>
      <c r="BF14" s="4"/>
      <c r="BG14" s="4">
        <f>1/1.4311</f>
        <v>0.6987631891551953</v>
      </c>
      <c r="BH14" s="16">
        <v>210.62</v>
      </c>
      <c r="BI14" s="16">
        <f>BH$34/BG14</f>
        <v>210.61498699999999</v>
      </c>
      <c r="BJ14" s="4"/>
      <c r="BK14" s="4">
        <f>1/1.4211</f>
        <v>0.7036802476954471</v>
      </c>
      <c r="BL14" s="16">
        <v>209.49</v>
      </c>
      <c r="BM14" s="16">
        <f>BL$34/BK14</f>
        <v>209.498562</v>
      </c>
      <c r="BN14" s="4"/>
      <c r="BO14" s="4">
        <f>1/1.418</f>
        <v>0.7052186177715092</v>
      </c>
      <c r="BP14" s="16">
        <v>208.64</v>
      </c>
      <c r="BQ14" s="16">
        <f>BP$34/BO14</f>
        <v>208.64451999999997</v>
      </c>
      <c r="BR14" s="4"/>
      <c r="BS14" s="4">
        <f>1/1.4205</f>
        <v>0.7039774727208729</v>
      </c>
      <c r="BT14" s="16">
        <v>209.12</v>
      </c>
      <c r="BU14" s="16">
        <f>BT$34/BS14</f>
        <v>209.12601</v>
      </c>
      <c r="BV14" s="4"/>
      <c r="BW14" s="4">
        <f>1/1.4278</f>
        <v>0.7003782042302844</v>
      </c>
      <c r="BX14" s="16">
        <v>209.05</v>
      </c>
      <c r="BY14" s="16">
        <f>BX$34/BW14</f>
        <v>209.05847599999996</v>
      </c>
      <c r="BZ14" s="4"/>
      <c r="CA14" s="4">
        <f>1/1.4247</f>
        <v>0.7019021548396153</v>
      </c>
      <c r="CB14" s="16">
        <v>208.51</v>
      </c>
      <c r="CC14" s="16">
        <f>CB$34/CA14</f>
        <v>208.50484500000002</v>
      </c>
      <c r="CD14" s="4"/>
      <c r="CE14" s="4">
        <f>1/1.4258</f>
        <v>0.7013606396409033</v>
      </c>
      <c r="CF14" s="16">
        <v>208.39</v>
      </c>
      <c r="CG14" s="16">
        <f>CF$34/CE14</f>
        <v>208.38067</v>
      </c>
      <c r="CH14" s="4"/>
      <c r="CI14" s="4">
        <f>1/1.4254</f>
        <v>0.7015574575557738</v>
      </c>
      <c r="CJ14" s="16">
        <v>207.24</v>
      </c>
      <c r="CK14" s="16">
        <f>CJ$34/CI14</f>
        <v>207.238906</v>
      </c>
      <c r="CL14" s="4"/>
      <c r="CM14" s="4">
        <f t="shared" si="0"/>
        <v>0.7073232981675635</v>
      </c>
      <c r="CN14" s="90">
        <f t="shared" si="1"/>
        <v>208.9872727272727</v>
      </c>
      <c r="CO14" s="90">
        <f t="shared" si="1"/>
        <v>208.98861290909088</v>
      </c>
      <c r="CP14" s="90"/>
      <c r="CQ14" s="21"/>
    </row>
    <row r="15" spans="1:95" ht="15.75">
      <c r="A15" s="63">
        <v>4</v>
      </c>
      <c r="B15" s="64" t="s">
        <v>41</v>
      </c>
      <c r="C15" s="43">
        <v>1.7972</v>
      </c>
      <c r="D15" s="44">
        <v>82.84</v>
      </c>
      <c r="E15" s="44">
        <f>D$34/C15</f>
        <v>82.84553750278211</v>
      </c>
      <c r="F15" s="4"/>
      <c r="G15" s="4">
        <v>1.7931</v>
      </c>
      <c r="H15" s="4">
        <v>82.95</v>
      </c>
      <c r="I15" s="16">
        <f>H$34/G15</f>
        <v>82.95131336791033</v>
      </c>
      <c r="J15" s="4"/>
      <c r="K15" s="4">
        <v>1.7968</v>
      </c>
      <c r="L15" s="16">
        <v>82.83</v>
      </c>
      <c r="M15" s="16">
        <f>L$34/K15</f>
        <v>82.82502226179875</v>
      </c>
      <c r="N15" s="4"/>
      <c r="O15" s="4">
        <v>1.8062</v>
      </c>
      <c r="P15" s="16">
        <v>82.79</v>
      </c>
      <c r="Q15" s="16">
        <f>P$34/O15</f>
        <v>82.78706677001439</v>
      </c>
      <c r="R15" s="4"/>
      <c r="S15" s="4">
        <v>1.8051</v>
      </c>
      <c r="T15" s="16">
        <v>82.71</v>
      </c>
      <c r="U15" s="16">
        <f>T$34/S15</f>
        <v>82.71009916348126</v>
      </c>
      <c r="V15" s="4"/>
      <c r="W15" s="4">
        <v>1.795</v>
      </c>
      <c r="X15" s="16">
        <v>82.63</v>
      </c>
      <c r="Y15" s="16">
        <f>X$34/W15</f>
        <v>82.62952646239555</v>
      </c>
      <c r="Z15" s="4"/>
      <c r="AA15" s="4">
        <v>1.7822</v>
      </c>
      <c r="AB15" s="16">
        <v>83.2</v>
      </c>
      <c r="AC15" s="16">
        <f>AB$34/AA15</f>
        <v>83.19492761755134</v>
      </c>
      <c r="AD15" s="4"/>
      <c r="AE15" s="4">
        <v>1.7647</v>
      </c>
      <c r="AF15" s="16">
        <v>83.78</v>
      </c>
      <c r="AG15" s="16">
        <f>AF$34/AE15</f>
        <v>83.7819459398198</v>
      </c>
      <c r="AH15" s="4"/>
      <c r="AI15" s="4">
        <v>1.7756</v>
      </c>
      <c r="AJ15" s="16">
        <v>83.67</v>
      </c>
      <c r="AK15" s="16">
        <f>AJ$34/AI15</f>
        <v>83.6674926785312</v>
      </c>
      <c r="AL15" s="4"/>
      <c r="AM15" s="4">
        <v>1.7674</v>
      </c>
      <c r="AN15" s="16">
        <v>84.18</v>
      </c>
      <c r="AO15" s="16">
        <f>AN$34/AM15</f>
        <v>84.1801516351703</v>
      </c>
      <c r="AP15" s="4"/>
      <c r="AQ15" s="4">
        <v>1.7365</v>
      </c>
      <c r="AR15" s="16">
        <v>85.48</v>
      </c>
      <c r="AS15" s="16">
        <f>AR$34/AQ15</f>
        <v>85.47653325655054</v>
      </c>
      <c r="AT15" s="4"/>
      <c r="AU15" s="4">
        <v>1.7746</v>
      </c>
      <c r="AV15" s="16">
        <v>83.48</v>
      </c>
      <c r="AW15" s="16">
        <f>AV$34/AU15</f>
        <v>83.48360193846501</v>
      </c>
      <c r="AX15" s="4"/>
      <c r="AY15" s="4">
        <v>1.7432</v>
      </c>
      <c r="AZ15" s="16">
        <v>84.75</v>
      </c>
      <c r="BA15" s="16">
        <f>AZ$34/AY15</f>
        <v>84.74644332262504</v>
      </c>
      <c r="BB15" s="4"/>
      <c r="BC15" s="4">
        <v>1.7296</v>
      </c>
      <c r="BD15" s="16">
        <v>85.25</v>
      </c>
      <c r="BE15" s="16">
        <f>BD$34/BC15</f>
        <v>85.2509250693802</v>
      </c>
      <c r="BF15" s="4"/>
      <c r="BG15" s="4">
        <v>1.7217</v>
      </c>
      <c r="BH15" s="16">
        <v>85.48</v>
      </c>
      <c r="BI15" s="16">
        <f>BH$34/BG15</f>
        <v>85.47946796770633</v>
      </c>
      <c r="BJ15" s="4"/>
      <c r="BK15" s="4">
        <v>1.7344</v>
      </c>
      <c r="BL15" s="16">
        <v>85</v>
      </c>
      <c r="BM15" s="16">
        <f>BL$34/BK15</f>
        <v>84.99769372693727</v>
      </c>
      <c r="BN15" s="4"/>
      <c r="BO15" s="4">
        <v>1.7288</v>
      </c>
      <c r="BP15" s="16">
        <v>85.11</v>
      </c>
      <c r="BQ15" s="16">
        <f>BP$34/BO15</f>
        <v>85.11105969458583</v>
      </c>
      <c r="BR15" s="4"/>
      <c r="BS15" s="4">
        <v>1.724</v>
      </c>
      <c r="BT15" s="16">
        <v>85.39</v>
      </c>
      <c r="BU15" s="16">
        <f>BT$34/BS15</f>
        <v>85.39443155452436</v>
      </c>
      <c r="BV15" s="4"/>
      <c r="BW15" s="4">
        <v>1.7202</v>
      </c>
      <c r="BX15" s="16">
        <v>85.12</v>
      </c>
      <c r="BY15" s="16">
        <f>BX$34/BW15</f>
        <v>85.11800953377514</v>
      </c>
      <c r="BZ15" s="4"/>
      <c r="CA15" s="4">
        <v>1.7235</v>
      </c>
      <c r="CB15" s="16">
        <v>84.91</v>
      </c>
      <c r="CC15" s="16">
        <f>CB$34/CA15</f>
        <v>84.91441833478386</v>
      </c>
      <c r="CD15" s="4"/>
      <c r="CE15" s="4">
        <v>1.7264</v>
      </c>
      <c r="CF15" s="16">
        <v>84.66</v>
      </c>
      <c r="CG15" s="16">
        <f>CF$34/CE15</f>
        <v>84.65593141797962</v>
      </c>
      <c r="CH15" s="4"/>
      <c r="CI15" s="4">
        <v>1.7246</v>
      </c>
      <c r="CJ15" s="16">
        <v>84.31</v>
      </c>
      <c r="CK15" s="16">
        <f>CJ$34/CI15</f>
        <v>84.30360663342223</v>
      </c>
      <c r="CL15" s="4"/>
      <c r="CM15" s="4">
        <f t="shared" si="0"/>
        <v>1.7577636363636364</v>
      </c>
      <c r="CN15" s="90">
        <f t="shared" si="1"/>
        <v>84.11454545454545</v>
      </c>
      <c r="CO15" s="90">
        <f t="shared" si="1"/>
        <v>84.11387299319048</v>
      </c>
      <c r="CP15" s="90"/>
      <c r="CQ15" s="21"/>
    </row>
    <row r="16" spans="1:95" ht="15.75">
      <c r="A16" s="63">
        <v>5</v>
      </c>
      <c r="B16" s="64" t="s">
        <v>42</v>
      </c>
      <c r="C16" s="43">
        <v>7.7518</v>
      </c>
      <c r="D16" s="44">
        <v>19.21</v>
      </c>
      <c r="E16" s="44">
        <f>D$34/C16</f>
        <v>19.207151887303592</v>
      </c>
      <c r="F16" s="4"/>
      <c r="G16" s="4">
        <v>7.7226</v>
      </c>
      <c r="H16" s="4">
        <v>19.26</v>
      </c>
      <c r="I16" s="16">
        <f>H$34/G16</f>
        <v>19.260352730945538</v>
      </c>
      <c r="J16" s="4"/>
      <c r="K16" s="4">
        <v>7.7536</v>
      </c>
      <c r="L16" s="16">
        <v>19.19</v>
      </c>
      <c r="M16" s="16">
        <f>L$34/K16</f>
        <v>19.193664878250104</v>
      </c>
      <c r="N16" s="4"/>
      <c r="O16" s="4">
        <v>7.7877</v>
      </c>
      <c r="P16" s="16">
        <v>19.2</v>
      </c>
      <c r="Q16" s="16">
        <f>P$34/O16</f>
        <v>19.200790990921583</v>
      </c>
      <c r="R16" s="4"/>
      <c r="S16" s="4">
        <v>7.7979</v>
      </c>
      <c r="T16" s="16">
        <v>19.15</v>
      </c>
      <c r="U16" s="16">
        <f>T$34/S16</f>
        <v>19.14618038189769</v>
      </c>
      <c r="V16" s="4"/>
      <c r="W16" s="4">
        <v>7.7381</v>
      </c>
      <c r="X16" s="16">
        <v>19.17</v>
      </c>
      <c r="Y16" s="16">
        <f>X$34/W16</f>
        <v>19.1674958969256</v>
      </c>
      <c r="Z16" s="4"/>
      <c r="AA16" s="4">
        <v>7.6729</v>
      </c>
      <c r="AB16" s="16">
        <v>19.32</v>
      </c>
      <c r="AC16" s="16">
        <f>AB$34/AA16</f>
        <v>19.323854083853565</v>
      </c>
      <c r="AD16" s="4"/>
      <c r="AE16" s="4">
        <v>7.6221</v>
      </c>
      <c r="AF16" s="16">
        <v>19.4</v>
      </c>
      <c r="AG16" s="16">
        <f>AF$34/AE16</f>
        <v>19.397541359992655</v>
      </c>
      <c r="AH16" s="4"/>
      <c r="AI16" s="4">
        <v>7.6765</v>
      </c>
      <c r="AJ16" s="16">
        <v>19.35</v>
      </c>
      <c r="AK16" s="16">
        <f>AJ$34/AI16</f>
        <v>19.35256953038494</v>
      </c>
      <c r="AL16" s="4"/>
      <c r="AM16" s="4">
        <v>7.6774</v>
      </c>
      <c r="AN16" s="16">
        <v>19.38</v>
      </c>
      <c r="AO16" s="16">
        <f>AN$34/AM16</f>
        <v>19.37895641753719</v>
      </c>
      <c r="AP16" s="4"/>
      <c r="AQ16" s="4">
        <v>7.6559</v>
      </c>
      <c r="AR16" s="16">
        <v>19.39</v>
      </c>
      <c r="AS16" s="16">
        <f>AR$34/AQ16</f>
        <v>19.38766180331509</v>
      </c>
      <c r="AT16" s="4"/>
      <c r="AU16" s="4">
        <v>7.6972</v>
      </c>
      <c r="AV16" s="16">
        <v>19.25</v>
      </c>
      <c r="AW16" s="16">
        <f>AV$34/AU16</f>
        <v>19.247258743439176</v>
      </c>
      <c r="AX16" s="4"/>
      <c r="AY16" s="4">
        <v>7.5983</v>
      </c>
      <c r="AZ16" s="16">
        <v>19.44</v>
      </c>
      <c r="BA16" s="16">
        <f>AZ$34/AY16</f>
        <v>19.44250687653817</v>
      </c>
      <c r="BB16" s="4"/>
      <c r="BC16" s="4">
        <v>7.5389</v>
      </c>
      <c r="BD16" s="16">
        <v>19.56</v>
      </c>
      <c r="BE16" s="16">
        <f>BD$34/BC16</f>
        <v>19.558556288052632</v>
      </c>
      <c r="BF16" s="4"/>
      <c r="BG16" s="4">
        <v>7.4924</v>
      </c>
      <c r="BH16" s="16">
        <v>19.64</v>
      </c>
      <c r="BI16" s="16">
        <f>BH$34/BG16</f>
        <v>19.642571138753937</v>
      </c>
      <c r="BJ16" s="4"/>
      <c r="BK16" s="4">
        <v>7.5528</v>
      </c>
      <c r="BL16" s="16">
        <v>19.52</v>
      </c>
      <c r="BM16" s="16">
        <f>BL$34/BK16</f>
        <v>19.518589132507145</v>
      </c>
      <c r="BN16" s="4"/>
      <c r="BO16" s="4">
        <v>7.5328</v>
      </c>
      <c r="BP16" s="16">
        <v>19.53</v>
      </c>
      <c r="BQ16" s="16">
        <f>BP$34/BO16</f>
        <v>19.53324129141886</v>
      </c>
      <c r="BR16" s="4"/>
      <c r="BS16" s="4">
        <v>7.5087</v>
      </c>
      <c r="BT16" s="16">
        <v>19.61</v>
      </c>
      <c r="BU16" s="16">
        <f>BT$34/BS16</f>
        <v>19.606589689293752</v>
      </c>
      <c r="BV16" s="4"/>
      <c r="BW16" s="4">
        <v>7.4719</v>
      </c>
      <c r="BX16" s="16">
        <v>19.6</v>
      </c>
      <c r="BY16" s="16">
        <f>BX$34/BW16</f>
        <v>19.596086671395494</v>
      </c>
      <c r="BZ16" s="4"/>
      <c r="CA16" s="4">
        <v>7.4992</v>
      </c>
      <c r="CB16" s="16">
        <v>19.52</v>
      </c>
      <c r="CC16" s="16">
        <f>CB$34/CA16</f>
        <v>19.515414977597608</v>
      </c>
      <c r="CD16" s="4"/>
      <c r="CE16" s="4">
        <v>7.5001</v>
      </c>
      <c r="CF16" s="16">
        <v>19.49</v>
      </c>
      <c r="CG16" s="16">
        <f>CF$34/CE16</f>
        <v>19.486406847908697</v>
      </c>
      <c r="CH16" s="4"/>
      <c r="CI16" s="4">
        <v>7.4932</v>
      </c>
      <c r="CJ16" s="16">
        <v>19.4</v>
      </c>
      <c r="CK16" s="16">
        <f>CJ$34/CI16</f>
        <v>19.40292531895585</v>
      </c>
      <c r="CL16" s="4"/>
      <c r="CM16" s="4">
        <f t="shared" si="0"/>
        <v>7.624636363636364</v>
      </c>
      <c r="CN16" s="90">
        <f t="shared" si="1"/>
        <v>19.389999999999997</v>
      </c>
      <c r="CO16" s="90">
        <f t="shared" si="1"/>
        <v>19.389380315326765</v>
      </c>
      <c r="CP16" s="90"/>
      <c r="CQ16" s="21"/>
    </row>
    <row r="17" spans="1:95" ht="15.75">
      <c r="A17" s="63">
        <v>6</v>
      </c>
      <c r="B17" s="64" t="s">
        <v>43</v>
      </c>
      <c r="C17" s="43">
        <v>2.60442</v>
      </c>
      <c r="D17" s="44">
        <v>57.17</v>
      </c>
      <c r="E17" s="44">
        <f>D$34/C17</f>
        <v>57.16819867763263</v>
      </c>
      <c r="F17" s="4"/>
      <c r="G17" s="4">
        <v>2.5944</v>
      </c>
      <c r="H17" s="4">
        <v>57.33</v>
      </c>
      <c r="I17" s="16">
        <f>H$34/G17</f>
        <v>57.331174838112865</v>
      </c>
      <c r="J17" s="4"/>
      <c r="K17" s="4">
        <v>2.6049</v>
      </c>
      <c r="L17" s="16">
        <v>57.13</v>
      </c>
      <c r="M17" s="16">
        <f>L$34/K17</f>
        <v>57.13079196898153</v>
      </c>
      <c r="N17" s="4"/>
      <c r="O17" s="4">
        <v>2.6163</v>
      </c>
      <c r="P17" s="16">
        <v>57.15</v>
      </c>
      <c r="Q17" s="16">
        <f>P$34/O17</f>
        <v>57.15323166303559</v>
      </c>
      <c r="R17" s="4"/>
      <c r="S17" s="4">
        <v>2.6197</v>
      </c>
      <c r="T17" s="16">
        <v>56.99</v>
      </c>
      <c r="U17" s="16">
        <f>T$34/S17</f>
        <v>56.99125854105433</v>
      </c>
      <c r="V17" s="4"/>
      <c r="W17" s="4">
        <v>2.5996</v>
      </c>
      <c r="X17" s="16">
        <v>57.05</v>
      </c>
      <c r="Y17" s="16">
        <f>X$34/W17</f>
        <v>57.054931527927366</v>
      </c>
      <c r="Z17" s="4"/>
      <c r="AA17" s="4">
        <v>2.577</v>
      </c>
      <c r="AB17" s="16">
        <v>57.52</v>
      </c>
      <c r="AC17" s="16">
        <f>AB$34/AA17</f>
        <v>57.53589445091192</v>
      </c>
      <c r="AD17" s="4"/>
      <c r="AE17" s="4">
        <v>2.5607</v>
      </c>
      <c r="AF17" s="16">
        <v>57.74</v>
      </c>
      <c r="AG17" s="16">
        <f>AF$34/AE17</f>
        <v>57.73811848322723</v>
      </c>
      <c r="AH17" s="4"/>
      <c r="AI17" s="4">
        <v>2.5789</v>
      </c>
      <c r="AJ17" s="16">
        <v>57.6</v>
      </c>
      <c r="AK17" s="16">
        <f>AJ$34/AI17</f>
        <v>57.605956027763774</v>
      </c>
      <c r="AL17" s="4"/>
      <c r="AM17" s="4">
        <v>2.5792</v>
      </c>
      <c r="AN17" s="16">
        <v>57.68</v>
      </c>
      <c r="AO17" s="16">
        <f>AN$34/AM17</f>
        <v>57.68455334987593</v>
      </c>
      <c r="AP17" s="4"/>
      <c r="AQ17" s="4">
        <v>2.572</v>
      </c>
      <c r="AR17" s="16">
        <v>57.71</v>
      </c>
      <c r="AS17" s="16">
        <f>AR$34/AQ17</f>
        <v>57.7099533437014</v>
      </c>
      <c r="AT17" s="4"/>
      <c r="AU17" s="4">
        <v>2.5859</v>
      </c>
      <c r="AV17" s="16">
        <v>57.29</v>
      </c>
      <c r="AW17" s="16">
        <f>AV$34/AU17</f>
        <v>57.291465253876794</v>
      </c>
      <c r="AX17" s="4"/>
      <c r="AY17" s="4">
        <v>2.5527</v>
      </c>
      <c r="AZ17" s="16">
        <v>57.87</v>
      </c>
      <c r="BA17" s="16">
        <f>AZ$34/AY17</f>
        <v>57.87205703764641</v>
      </c>
      <c r="BB17" s="4"/>
      <c r="BC17" s="4">
        <v>2.5327</v>
      </c>
      <c r="BD17" s="16">
        <v>58.22</v>
      </c>
      <c r="BE17" s="16">
        <f>BD$34/BC17</f>
        <v>58.218501993919524</v>
      </c>
      <c r="BF17" s="4"/>
      <c r="BG17" s="4">
        <v>2.5171</v>
      </c>
      <c r="BH17" s="16">
        <v>58.47</v>
      </c>
      <c r="BI17" s="16">
        <f>BH$34/BG17</f>
        <v>58.46807834412617</v>
      </c>
      <c r="BJ17" s="4"/>
      <c r="BK17" s="4">
        <v>2.5374</v>
      </c>
      <c r="BL17" s="16">
        <v>58.1</v>
      </c>
      <c r="BM17" s="16">
        <f>BL$34/BK17</f>
        <v>58.098841333648615</v>
      </c>
      <c r="BN17" s="4"/>
      <c r="BO17" s="4">
        <v>2.5307</v>
      </c>
      <c r="BP17" s="16">
        <v>58.14</v>
      </c>
      <c r="BQ17" s="16">
        <f>BP$34/BO17</f>
        <v>58.142016042992054</v>
      </c>
      <c r="BR17" s="4"/>
      <c r="BS17" s="4">
        <v>2.5226</v>
      </c>
      <c r="BT17" s="16">
        <v>58.36</v>
      </c>
      <c r="BU17" s="16">
        <f>BT$34/BS17</f>
        <v>58.360421787045105</v>
      </c>
      <c r="BV17" s="4"/>
      <c r="BW17" s="4">
        <v>2.5102</v>
      </c>
      <c r="BX17" s="16">
        <v>58.33</v>
      </c>
      <c r="BY17" s="16">
        <f>BX$34/BW17</f>
        <v>58.33001354473746</v>
      </c>
      <c r="BZ17" s="4"/>
      <c r="CA17" s="4">
        <v>2.5194</v>
      </c>
      <c r="CB17" s="16">
        <v>58.09</v>
      </c>
      <c r="CC17" s="16">
        <f>CB$34/CA17</f>
        <v>58.089227593871556</v>
      </c>
      <c r="CD17" s="4"/>
      <c r="CE17" s="4">
        <v>2.5197</v>
      </c>
      <c r="CF17" s="16">
        <v>58</v>
      </c>
      <c r="CG17" s="16">
        <f>CF$34/CE17</f>
        <v>58.00293685756242</v>
      </c>
      <c r="CH17" s="4"/>
      <c r="CI17" s="4">
        <v>2.5174</v>
      </c>
      <c r="CJ17" s="16">
        <v>57.76</v>
      </c>
      <c r="CK17" s="16">
        <f>CJ$34/CI17</f>
        <v>57.75403193771351</v>
      </c>
      <c r="CL17" s="4"/>
      <c r="CM17" s="4">
        <f t="shared" si="0"/>
        <v>2.5614963636363637</v>
      </c>
      <c r="CN17" s="90">
        <f t="shared" si="1"/>
        <v>57.713636363636354</v>
      </c>
      <c r="CO17" s="90">
        <f t="shared" si="1"/>
        <v>57.71507520906202</v>
      </c>
      <c r="CP17" s="90"/>
      <c r="CQ17" s="21"/>
    </row>
    <row r="18" spans="1:95" ht="15.75">
      <c r="A18" s="63">
        <v>7</v>
      </c>
      <c r="B18" s="64" t="s">
        <v>44</v>
      </c>
      <c r="C18" s="43">
        <v>2288.1943</v>
      </c>
      <c r="D18" s="44">
        <v>65.07</v>
      </c>
      <c r="E18" s="44">
        <f>D$34/C18*1000</f>
        <v>65.06877497247501</v>
      </c>
      <c r="F18" s="4">
        <v>65.06</v>
      </c>
      <c r="G18" s="4">
        <v>2279.5738</v>
      </c>
      <c r="H18" s="4">
        <v>65.25</v>
      </c>
      <c r="I18" s="16">
        <f>H$34/G18*1000</f>
        <v>65.2490390966943</v>
      </c>
      <c r="J18" s="4">
        <v>65.06</v>
      </c>
      <c r="K18" s="4">
        <v>2288.7352</v>
      </c>
      <c r="L18" s="16">
        <v>65.02</v>
      </c>
      <c r="M18" s="16">
        <f>L$34/K18*1000</f>
        <v>65.02281259972756</v>
      </c>
      <c r="N18" s="4">
        <v>65.1</v>
      </c>
      <c r="O18" s="4">
        <v>2298.789</v>
      </c>
      <c r="P18" s="16">
        <v>65.05</v>
      </c>
      <c r="Q18" s="16">
        <f>P$34/O18*1000</f>
        <v>65.04729229172402</v>
      </c>
      <c r="R18" s="4">
        <v>65.02</v>
      </c>
      <c r="S18" s="4">
        <v>2301.7951</v>
      </c>
      <c r="T18" s="16">
        <v>64.86</v>
      </c>
      <c r="U18" s="16">
        <f>T$34/S18*1000</f>
        <v>64.86241976968326</v>
      </c>
      <c r="V18" s="4">
        <v>64.74</v>
      </c>
      <c r="W18" s="4">
        <v>2284.1453</v>
      </c>
      <c r="X18" s="16">
        <v>64.93</v>
      </c>
      <c r="Y18" s="16">
        <f>X$34/W18*1000</f>
        <v>64.9345731201951</v>
      </c>
      <c r="Z18" s="4">
        <v>64.86</v>
      </c>
      <c r="AA18" s="4">
        <v>2264.9082</v>
      </c>
      <c r="AB18" s="16">
        <v>65.46</v>
      </c>
      <c r="AC18" s="16">
        <f>AB$34/AA18*1000</f>
        <v>65.46402189722305</v>
      </c>
      <c r="AD18" s="4">
        <v>65.11</v>
      </c>
      <c r="AE18" s="4">
        <v>2249.907</v>
      </c>
      <c r="AF18" s="16">
        <v>65.72</v>
      </c>
      <c r="AG18" s="16">
        <f>AF$34/AE18*1000</f>
        <v>65.71382728263879</v>
      </c>
      <c r="AH18" s="4">
        <v>65.48</v>
      </c>
      <c r="AI18" s="4">
        <v>2265.9684</v>
      </c>
      <c r="AJ18" s="16">
        <v>65.56</v>
      </c>
      <c r="AK18" s="16">
        <f>AJ$34/AI18*1000</f>
        <v>65.56137323009446</v>
      </c>
      <c r="AL18" s="4">
        <v>65.4</v>
      </c>
      <c r="AM18" s="4">
        <v>2266.2336</v>
      </c>
      <c r="AN18" s="16">
        <v>65.65</v>
      </c>
      <c r="AO18" s="16">
        <f>AN$34/AM18*1000</f>
        <v>65.65077845461298</v>
      </c>
      <c r="AP18" s="4">
        <v>65.34</v>
      </c>
      <c r="AQ18" s="4">
        <v>2259.8856</v>
      </c>
      <c r="AR18" s="16">
        <v>65.68</v>
      </c>
      <c r="AS18" s="16">
        <f>AR$34/AQ18*1000</f>
        <v>65.68031585315647</v>
      </c>
      <c r="AT18" s="4">
        <v>65.35</v>
      </c>
      <c r="AU18" s="4">
        <v>2272.084</v>
      </c>
      <c r="AV18" s="16">
        <v>65.2</v>
      </c>
      <c r="AW18" s="16">
        <f>AV$34/AU18*1000</f>
        <v>65.20445546907598</v>
      </c>
      <c r="AX18" s="4">
        <v>65.17</v>
      </c>
      <c r="AY18" s="4">
        <v>2242.8704</v>
      </c>
      <c r="AZ18" s="16">
        <v>65.87</v>
      </c>
      <c r="BA18" s="16">
        <f>AZ$34/AY18*1000</f>
        <v>65.86648965539872</v>
      </c>
      <c r="BB18" s="4">
        <v>65.38</v>
      </c>
      <c r="BC18" s="4">
        <v>2225.3419</v>
      </c>
      <c r="BD18" s="16">
        <v>66.26</v>
      </c>
      <c r="BE18" s="16">
        <f>BD$34/BC18*1000</f>
        <v>66.25948129588537</v>
      </c>
      <c r="BF18" s="4">
        <v>65.98</v>
      </c>
      <c r="BG18" s="4">
        <v>2211.6162</v>
      </c>
      <c r="BH18" s="16">
        <v>66.55</v>
      </c>
      <c r="BI18" s="16">
        <f>BH$34/BG18*1000</f>
        <v>66.54409567084922</v>
      </c>
      <c r="BJ18" s="4">
        <v>66.07</v>
      </c>
      <c r="BK18" s="4">
        <v>2229.4416</v>
      </c>
      <c r="BL18" s="16">
        <v>66.12</v>
      </c>
      <c r="BM18" s="16">
        <f>BL$34/BK18*1000</f>
        <v>66.1241810505375</v>
      </c>
      <c r="BN18" s="4">
        <v>65.7</v>
      </c>
      <c r="BO18" s="4">
        <v>2223.5531</v>
      </c>
      <c r="BP18" s="16">
        <v>66.17</v>
      </c>
      <c r="BQ18" s="16">
        <f>BP$34/BO18*1000</f>
        <v>66.17336910011278</v>
      </c>
      <c r="BR18" s="4">
        <v>65.75</v>
      </c>
      <c r="BS18" s="4">
        <v>2216.4263</v>
      </c>
      <c r="BT18" s="16">
        <v>66.42</v>
      </c>
      <c r="BU18" s="16">
        <f>BT$34/BS18*1000</f>
        <v>66.42224016201214</v>
      </c>
      <c r="BV18" s="4">
        <v>66.9</v>
      </c>
      <c r="BW18" s="4">
        <v>2205.5701</v>
      </c>
      <c r="BX18" s="16">
        <v>66.38</v>
      </c>
      <c r="BY18" s="16">
        <f>BX$34/BW18*1000</f>
        <v>66.38646398044659</v>
      </c>
      <c r="BZ18" s="4">
        <v>66.16</v>
      </c>
      <c r="CA18" s="4">
        <v>2213.639</v>
      </c>
      <c r="CB18" s="16">
        <v>66.11</v>
      </c>
      <c r="CC18" s="16">
        <f>CB$34/CA18*1000</f>
        <v>66.11285760686363</v>
      </c>
      <c r="CD18" s="4">
        <v>65.92</v>
      </c>
      <c r="CE18" s="4">
        <v>2213.8921</v>
      </c>
      <c r="CF18" s="16">
        <v>66.02</v>
      </c>
      <c r="CG18" s="16">
        <f>CF$34/CE18*1000</f>
        <v>66.0149607110482</v>
      </c>
      <c r="CH18" s="4">
        <v>65.3</v>
      </c>
      <c r="CI18" s="4">
        <v>2211.8689</v>
      </c>
      <c r="CJ18" s="16">
        <v>65.73</v>
      </c>
      <c r="CK18" s="16">
        <f>CJ$34/CI18*1000</f>
        <v>65.73174386601303</v>
      </c>
      <c r="CL18" s="4">
        <v>65.19</v>
      </c>
      <c r="CM18" s="4">
        <f t="shared" si="0"/>
        <v>2250.6563227272727</v>
      </c>
      <c r="CN18" s="90">
        <f t="shared" si="1"/>
        <v>65.68545454545455</v>
      </c>
      <c r="CO18" s="90">
        <f t="shared" si="1"/>
        <v>65.6861621425667</v>
      </c>
      <c r="CP18" s="90">
        <f t="shared" si="1"/>
        <v>65.45636363636366</v>
      </c>
      <c r="CQ18" s="21"/>
    </row>
    <row r="19" spans="1:95" ht="15.75">
      <c r="A19" s="63">
        <v>8</v>
      </c>
      <c r="B19" s="64" t="s">
        <v>45</v>
      </c>
      <c r="C19" s="43">
        <v>47.6718</v>
      </c>
      <c r="D19" s="44">
        <v>3.12</v>
      </c>
      <c r="E19" s="44">
        <f>D$34/C19</f>
        <v>3.1232300857110493</v>
      </c>
      <c r="F19" s="4"/>
      <c r="G19" s="4">
        <v>47.4922</v>
      </c>
      <c r="H19" s="4">
        <v>3.13</v>
      </c>
      <c r="I19" s="16">
        <f>H$34/G19</f>
        <v>3.1318827091606627</v>
      </c>
      <c r="J19" s="4"/>
      <c r="K19" s="4">
        <v>47.6831</v>
      </c>
      <c r="L19" s="16">
        <v>3.12</v>
      </c>
      <c r="M19" s="16">
        <f>L$34/K19</f>
        <v>3.1210219134242525</v>
      </c>
      <c r="N19" s="4"/>
      <c r="O19" s="4">
        <v>47.8926</v>
      </c>
      <c r="P19" s="16">
        <v>3.12</v>
      </c>
      <c r="Q19" s="16">
        <f>P$34/O19</f>
        <v>3.122194242951938</v>
      </c>
      <c r="R19" s="4"/>
      <c r="S19" s="4">
        <v>47.9552</v>
      </c>
      <c r="T19" s="16">
        <v>3.11</v>
      </c>
      <c r="U19" s="16">
        <f>T$34/S19</f>
        <v>3.1133224342719874</v>
      </c>
      <c r="V19" s="4"/>
      <c r="W19" s="4">
        <v>47.5875</v>
      </c>
      <c r="X19" s="16">
        <v>3.12</v>
      </c>
      <c r="Y19" s="16">
        <f>X$34/W19</f>
        <v>3.1167848699763594</v>
      </c>
      <c r="Z19" s="4"/>
      <c r="AA19" s="4">
        <v>47.1867</v>
      </c>
      <c r="AB19" s="16">
        <v>3.14</v>
      </c>
      <c r="AC19" s="16">
        <f>AB$34/AA19</f>
        <v>3.142198967081826</v>
      </c>
      <c r="AD19" s="4"/>
      <c r="AE19" s="4">
        <v>46.8742</v>
      </c>
      <c r="AF19" s="16">
        <v>3.15</v>
      </c>
      <c r="AG19" s="16">
        <f>AF$34/AE19</f>
        <v>3.154187164794279</v>
      </c>
      <c r="AH19" s="4"/>
      <c r="AI19" s="4">
        <v>47.2088</v>
      </c>
      <c r="AJ19" s="16">
        <v>3.15</v>
      </c>
      <c r="AK19" s="16">
        <f>AJ$34/AI19</f>
        <v>3.1468709223704057</v>
      </c>
      <c r="AL19" s="4"/>
      <c r="AM19" s="4">
        <v>47.2143</v>
      </c>
      <c r="AN19" s="16">
        <v>3.15</v>
      </c>
      <c r="AO19" s="16">
        <f>AN$34/AM19</f>
        <v>3.1511639482106055</v>
      </c>
      <c r="AP19" s="4"/>
      <c r="AQ19" s="4">
        <v>47.082</v>
      </c>
      <c r="AR19" s="16">
        <v>3.15</v>
      </c>
      <c r="AS19" s="16">
        <f>AR$34/AQ19</f>
        <v>3.1525848519604094</v>
      </c>
      <c r="AT19" s="4"/>
      <c r="AU19" s="4">
        <v>47.3362</v>
      </c>
      <c r="AV19" s="16">
        <v>3.13</v>
      </c>
      <c r="AW19" s="16">
        <f>AV$34/AU19</f>
        <v>3.1297400298291795</v>
      </c>
      <c r="AX19" s="4"/>
      <c r="AY19" s="4">
        <v>46.7276</v>
      </c>
      <c r="AZ19" s="16">
        <v>3.16</v>
      </c>
      <c r="BA19" s="16">
        <f>AZ$34/AY19</f>
        <v>3.161514822075176</v>
      </c>
      <c r="BB19" s="4"/>
      <c r="BC19" s="4">
        <v>46.3624</v>
      </c>
      <c r="BD19" s="16">
        <v>3.18</v>
      </c>
      <c r="BE19" s="16">
        <f>BD$34/BC19</f>
        <v>3.1803789277517986</v>
      </c>
      <c r="BF19" s="4"/>
      <c r="BG19" s="4">
        <v>46.0764</v>
      </c>
      <c r="BH19" s="16">
        <v>3.19</v>
      </c>
      <c r="BI19" s="16">
        <f>BH$34/BG19</f>
        <v>3.1940429373822603</v>
      </c>
      <c r="BJ19" s="4"/>
      <c r="BK19" s="4">
        <v>46.4478</v>
      </c>
      <c r="BL19" s="16">
        <v>3.17</v>
      </c>
      <c r="BM19" s="16">
        <f>BL$34/BK19</f>
        <v>3.1738855231033543</v>
      </c>
      <c r="BN19" s="4"/>
      <c r="BO19" s="4">
        <v>46.3251</v>
      </c>
      <c r="BP19" s="16">
        <v>3.18</v>
      </c>
      <c r="BQ19" s="16">
        <f>BP$34/BO19</f>
        <v>3.1762478656279205</v>
      </c>
      <c r="BR19" s="4"/>
      <c r="BS19" s="4">
        <v>46.1766</v>
      </c>
      <c r="BT19" s="16">
        <v>3.19</v>
      </c>
      <c r="BU19" s="16">
        <f>BT$34/BS19</f>
        <v>3.188194886587579</v>
      </c>
      <c r="BV19" s="4"/>
      <c r="BW19" s="4">
        <v>45.9504</v>
      </c>
      <c r="BX19" s="16">
        <v>3.19</v>
      </c>
      <c r="BY19" s="16">
        <f>BX$34/BW19</f>
        <v>3.186479334238657</v>
      </c>
      <c r="BZ19" s="4"/>
      <c r="CA19" s="4">
        <v>46.1186</v>
      </c>
      <c r="CB19" s="16">
        <v>3.17</v>
      </c>
      <c r="CC19" s="16">
        <f>CB$34/CA19</f>
        <v>3.1733400406777306</v>
      </c>
      <c r="CD19" s="4"/>
      <c r="CE19" s="4">
        <v>46.1238</v>
      </c>
      <c r="CF19" s="16">
        <v>3.17</v>
      </c>
      <c r="CG19" s="16">
        <f>CF$34/CE19</f>
        <v>3.1686461219587283</v>
      </c>
      <c r="CH19" s="4"/>
      <c r="CI19" s="4">
        <v>46.0817</v>
      </c>
      <c r="CJ19" s="16">
        <v>3.16</v>
      </c>
      <c r="CK19" s="16">
        <f>CJ$34/CI19</f>
        <v>3.1550485333657394</v>
      </c>
      <c r="CL19" s="4"/>
      <c r="CM19" s="4">
        <f t="shared" si="0"/>
        <v>46.88977272727273</v>
      </c>
      <c r="CN19" s="90">
        <f t="shared" si="1"/>
        <v>3.152272727272727</v>
      </c>
      <c r="CO19" s="90">
        <f t="shared" si="1"/>
        <v>3.152861869659631</v>
      </c>
      <c r="CP19" s="90"/>
      <c r="CQ19" s="21"/>
    </row>
    <row r="20" spans="1:95" ht="15.75">
      <c r="A20" s="63">
        <v>9</v>
      </c>
      <c r="B20" s="64" t="s">
        <v>46</v>
      </c>
      <c r="C20" s="43">
        <f>1/0.8462</f>
        <v>1.181753722524226</v>
      </c>
      <c r="D20" s="44">
        <v>125.99</v>
      </c>
      <c r="E20" s="44">
        <f>D$34/C20</f>
        <v>125.99071799999997</v>
      </c>
      <c r="F20" s="4"/>
      <c r="G20" s="4">
        <f>1/0.8494</f>
        <v>1.177301624676242</v>
      </c>
      <c r="H20" s="4">
        <v>126.34</v>
      </c>
      <c r="I20" s="16">
        <f>H$34/G20</f>
        <v>126.33975600000001</v>
      </c>
      <c r="J20" s="4"/>
      <c r="K20" s="4">
        <f>1/0.846</f>
        <v>1.1820330969267139</v>
      </c>
      <c r="L20" s="16">
        <v>125.9</v>
      </c>
      <c r="M20" s="16">
        <f>L$34/K20</f>
        <v>125.90172</v>
      </c>
      <c r="N20" s="4"/>
      <c r="O20" s="4">
        <f>1/0.8423</f>
        <v>1.1872254541137361</v>
      </c>
      <c r="P20" s="16">
        <v>125.95</v>
      </c>
      <c r="Q20" s="16">
        <f>P$34/O20</f>
        <v>125.94911900000001</v>
      </c>
      <c r="R20" s="4"/>
      <c r="S20" s="4">
        <f>1/0.8412</f>
        <v>1.1887779362815027</v>
      </c>
      <c r="T20" s="16">
        <v>125.6</v>
      </c>
      <c r="U20" s="16">
        <f>T$34/S20</f>
        <v>125.59116</v>
      </c>
      <c r="V20" s="4"/>
      <c r="W20" s="4">
        <f>1/0.8477</f>
        <v>1.1796626164916835</v>
      </c>
      <c r="X20" s="16">
        <v>125.73</v>
      </c>
      <c r="Y20" s="16">
        <f>X$34/W20</f>
        <v>125.73086399999998</v>
      </c>
      <c r="Z20" s="4"/>
      <c r="AA20" s="4">
        <f>1/0.85449</f>
        <v>1.1702887102248125</v>
      </c>
      <c r="AB20" s="16">
        <v>126.76</v>
      </c>
      <c r="AC20" s="16">
        <f>AB$34/AA20</f>
        <v>126.6952323</v>
      </c>
      <c r="AD20" s="4"/>
      <c r="AE20" s="4">
        <f>1/0.8606</f>
        <v>1.1619800139437602</v>
      </c>
      <c r="AF20" s="16">
        <v>127.24</v>
      </c>
      <c r="AG20" s="16">
        <f>AF$34/AE20</f>
        <v>127.23971</v>
      </c>
      <c r="AH20" s="4"/>
      <c r="AI20" s="4">
        <f>1/0.8545</f>
        <v>1.1702750146284375</v>
      </c>
      <c r="AJ20" s="16">
        <v>126.94</v>
      </c>
      <c r="AK20" s="16">
        <f>AJ$34/AI20</f>
        <v>126.94452000000003</v>
      </c>
      <c r="AL20" s="4"/>
      <c r="AM20" s="4">
        <f>1/0.8544</f>
        <v>1.1704119850187265</v>
      </c>
      <c r="AN20" s="16">
        <v>127.12</v>
      </c>
      <c r="AO20" s="16">
        <f>AN$34/AM20</f>
        <v>127.11763200000001</v>
      </c>
      <c r="AP20" s="4"/>
      <c r="AQ20" s="4">
        <f>1/0.8568</f>
        <v>1.1671335200746966</v>
      </c>
      <c r="AR20" s="16">
        <v>127.17</v>
      </c>
      <c r="AS20" s="16">
        <f>AR$34/AQ20</f>
        <v>127.174824</v>
      </c>
      <c r="AT20" s="4"/>
      <c r="AU20" s="4">
        <f>1/0.8522</f>
        <v>1.1734334663224595</v>
      </c>
      <c r="AV20" s="16">
        <v>126.25</v>
      </c>
      <c r="AW20" s="16">
        <f>AV$34/AU20</f>
        <v>126.25343000000001</v>
      </c>
      <c r="AX20" s="4"/>
      <c r="AY20" s="25">
        <f>1/0.8633</f>
        <v>1.1583458820803894</v>
      </c>
      <c r="AZ20" s="16">
        <v>127.54</v>
      </c>
      <c r="BA20" s="16">
        <f>AZ$34/AY20</f>
        <v>127.53530899999997</v>
      </c>
      <c r="BB20" s="4"/>
      <c r="BC20" s="25">
        <f>1/0.8701</f>
        <v>1.1492931846914147</v>
      </c>
      <c r="BD20" s="16">
        <v>128.3</v>
      </c>
      <c r="BE20" s="16">
        <f>BD$34/BC20</f>
        <v>128.296245</v>
      </c>
      <c r="BF20" s="4"/>
      <c r="BG20" s="4">
        <f>1/0.8755</f>
        <v>1.142204454597373</v>
      </c>
      <c r="BH20" s="16">
        <v>128.85</v>
      </c>
      <c r="BI20" s="16">
        <f>BH$34/BG20</f>
        <v>128.84733499999996</v>
      </c>
      <c r="BJ20" s="4"/>
      <c r="BK20" s="4">
        <f>1/0.8685</f>
        <v>1.1514104778353482</v>
      </c>
      <c r="BL20" s="16">
        <v>128.03</v>
      </c>
      <c r="BM20" s="16">
        <f>BL$34/BK20</f>
        <v>128.03427</v>
      </c>
      <c r="BN20" s="4"/>
      <c r="BO20" s="4">
        <f>1/0.8708</f>
        <v>1.148369315571888</v>
      </c>
      <c r="BP20" s="16">
        <v>128.13</v>
      </c>
      <c r="BQ20" s="16">
        <f>BP$34/BO20</f>
        <v>128.12951199999998</v>
      </c>
      <c r="BR20" s="4"/>
      <c r="BS20" s="4">
        <f>1/0.8736</f>
        <v>1.1446886446886446</v>
      </c>
      <c r="BT20" s="16">
        <v>128.61</v>
      </c>
      <c r="BU20" s="16">
        <f>BT$34/BS20</f>
        <v>128.611392</v>
      </c>
      <c r="BV20" s="4"/>
      <c r="BW20" s="4">
        <f>1/0.8779</f>
        <v>1.1390818999886092</v>
      </c>
      <c r="BX20" s="16">
        <v>128.54</v>
      </c>
      <c r="BY20" s="16">
        <f>BX$34/BW20</f>
        <v>128.542118</v>
      </c>
      <c r="BZ20" s="4"/>
      <c r="CA20" s="4">
        <f>1/0.8747</f>
        <v>1.1432491139819365</v>
      </c>
      <c r="CB20" s="16">
        <v>128.01</v>
      </c>
      <c r="CC20" s="16">
        <f>CB$34/CA20</f>
        <v>128.012345</v>
      </c>
      <c r="CD20" s="4"/>
      <c r="CE20" s="4">
        <f>1/0.8746</f>
        <v>1.143379830779785</v>
      </c>
      <c r="CF20" s="16">
        <v>127.83</v>
      </c>
      <c r="CG20" s="16">
        <f>CF$34/CE20</f>
        <v>127.82279000000003</v>
      </c>
      <c r="CH20" s="4"/>
      <c r="CI20" s="4">
        <f>1/0.8754</f>
        <v>1.142334932602239</v>
      </c>
      <c r="CJ20" s="16">
        <v>127.28</v>
      </c>
      <c r="CK20" s="16">
        <f>CJ$34/CI20</f>
        <v>127.27440599999998</v>
      </c>
      <c r="CL20" s="4"/>
      <c r="CM20" s="4">
        <f t="shared" si="0"/>
        <v>1.1623924953656648</v>
      </c>
      <c r="CN20" s="90">
        <f t="shared" si="1"/>
        <v>127.18681818181818</v>
      </c>
      <c r="CO20" s="90">
        <f t="shared" si="1"/>
        <v>127.18338214999999</v>
      </c>
      <c r="CP20" s="90"/>
      <c r="CQ20" s="21"/>
    </row>
    <row r="21" spans="1:95" ht="15.75">
      <c r="A21" s="63">
        <v>10</v>
      </c>
      <c r="B21" s="64" t="s">
        <v>47</v>
      </c>
      <c r="C21" s="43">
        <v>268.2</v>
      </c>
      <c r="D21" s="44">
        <v>39931.05</v>
      </c>
      <c r="E21" s="44">
        <f>D$34*C21</f>
        <v>39932.297999999995</v>
      </c>
      <c r="F21" s="4"/>
      <c r="G21" s="4">
        <v>268.9</v>
      </c>
      <c r="H21" s="4">
        <v>39996.16</v>
      </c>
      <c r="I21" s="16">
        <f>H$34*G21</f>
        <v>39996.186</v>
      </c>
      <c r="J21" s="4"/>
      <c r="K21" s="4">
        <v>267.45</v>
      </c>
      <c r="L21" s="16">
        <v>39802.08</v>
      </c>
      <c r="M21" s="16">
        <f>L$34*K21</f>
        <v>39801.909</v>
      </c>
      <c r="N21" s="4"/>
      <c r="O21" s="4">
        <v>266.6</v>
      </c>
      <c r="P21" s="16">
        <v>39864.21</v>
      </c>
      <c r="Q21" s="16">
        <f>P$34*O21</f>
        <v>39864.698000000004</v>
      </c>
      <c r="R21" s="4"/>
      <c r="S21" s="4">
        <v>265.4</v>
      </c>
      <c r="T21" s="16">
        <v>39625.46</v>
      </c>
      <c r="U21" s="16">
        <f>T$34*S21</f>
        <v>39624.22</v>
      </c>
      <c r="V21" s="4"/>
      <c r="W21" s="4">
        <v>266.2</v>
      </c>
      <c r="X21" s="16">
        <v>39482</v>
      </c>
      <c r="Y21" s="16">
        <f>X$34*W21</f>
        <v>39482.784</v>
      </c>
      <c r="Z21" s="4"/>
      <c r="AA21" s="4">
        <v>267.1</v>
      </c>
      <c r="AB21" s="16">
        <v>39603.01</v>
      </c>
      <c r="AC21" s="16">
        <f>AB$34*AA21</f>
        <v>39602.91700000001</v>
      </c>
      <c r="AD21" s="4"/>
      <c r="AE21" s="4">
        <v>267.2</v>
      </c>
      <c r="AF21" s="16">
        <v>39506.46</v>
      </c>
      <c r="AG21" s="16">
        <f>AF$34*AE21</f>
        <v>39505.52</v>
      </c>
      <c r="AH21" s="4"/>
      <c r="AI21" s="4">
        <v>267.75</v>
      </c>
      <c r="AJ21" s="16">
        <v>39776.03</v>
      </c>
      <c r="AK21" s="16">
        <f>AJ$34*AI21</f>
        <v>39776.94</v>
      </c>
      <c r="AL21" s="4"/>
      <c r="AM21" s="4">
        <v>266.4</v>
      </c>
      <c r="AN21" s="16">
        <v>39634.58</v>
      </c>
      <c r="AO21" s="16">
        <f>AN$34*AM21</f>
        <v>39634.992</v>
      </c>
      <c r="AP21" s="4"/>
      <c r="AQ21" s="4">
        <v>267.7</v>
      </c>
      <c r="AR21" s="16">
        <v>39734.55</v>
      </c>
      <c r="AS21" s="16">
        <f>AR$34*AQ21</f>
        <v>39734.711</v>
      </c>
      <c r="AT21" s="4"/>
      <c r="AU21" s="4">
        <v>267.6</v>
      </c>
      <c r="AV21" s="16">
        <v>39643.78</v>
      </c>
      <c r="AW21" s="16">
        <f>AV$34*AU21</f>
        <v>39644.94</v>
      </c>
      <c r="AX21" s="4"/>
      <c r="AY21" s="4">
        <v>268.5</v>
      </c>
      <c r="AZ21" s="16">
        <v>39665.74</v>
      </c>
      <c r="BA21" s="16">
        <f>AZ$34*AY21</f>
        <v>39665.505</v>
      </c>
      <c r="BB21" s="4"/>
      <c r="BC21" s="4">
        <v>270.5</v>
      </c>
      <c r="BD21" s="16">
        <v>39885.5</v>
      </c>
      <c r="BE21" s="16">
        <f>BD$34*BC21</f>
        <v>39885.225</v>
      </c>
      <c r="BF21" s="4"/>
      <c r="BG21" s="4">
        <v>269.4</v>
      </c>
      <c r="BH21" s="16">
        <v>39648.33</v>
      </c>
      <c r="BI21" s="16">
        <f>BH$34*BG21</f>
        <v>39647.59799999999</v>
      </c>
      <c r="BJ21" s="4"/>
      <c r="BK21" s="4">
        <v>268.7</v>
      </c>
      <c r="BL21" s="16">
        <v>39610.72</v>
      </c>
      <c r="BM21" s="16">
        <f>BL$34*BK21</f>
        <v>39611.75399999999</v>
      </c>
      <c r="BN21" s="4"/>
      <c r="BO21" s="4">
        <v>268.8</v>
      </c>
      <c r="BP21" s="16">
        <v>39550.96</v>
      </c>
      <c r="BQ21" s="16">
        <f>BP$34*BO21</f>
        <v>39551.231999999996</v>
      </c>
      <c r="BR21" s="4"/>
      <c r="BS21" s="4">
        <v>269.1</v>
      </c>
      <c r="BT21" s="16">
        <v>39616.37</v>
      </c>
      <c r="BU21" s="16">
        <f>BT$34*BS21</f>
        <v>39616.902</v>
      </c>
      <c r="BV21" s="4"/>
      <c r="BW21" s="4">
        <v>267.4</v>
      </c>
      <c r="BX21" s="16">
        <v>39151.67</v>
      </c>
      <c r="BY21" s="16">
        <f>BX$34*BW21</f>
        <v>39152.70799999999</v>
      </c>
      <c r="BZ21" s="4"/>
      <c r="CA21" s="4">
        <v>265.8</v>
      </c>
      <c r="CB21" s="16">
        <v>38899.95</v>
      </c>
      <c r="CC21" s="16">
        <f>CB$34*CA21</f>
        <v>38899.83</v>
      </c>
      <c r="CD21" s="4"/>
      <c r="CE21" s="4">
        <v>266</v>
      </c>
      <c r="CF21" s="16">
        <v>38876.83</v>
      </c>
      <c r="CG21" s="16">
        <f>CF$34*CE21</f>
        <v>38875.9</v>
      </c>
      <c r="CH21" s="4"/>
      <c r="CI21" s="4">
        <v>265.3</v>
      </c>
      <c r="CJ21" s="16">
        <v>38572.74</v>
      </c>
      <c r="CK21" s="16">
        <f>CJ$34*CI21</f>
        <v>38571.967</v>
      </c>
      <c r="CL21" s="4"/>
      <c r="CM21" s="4">
        <f t="shared" si="0"/>
        <v>267.54545454545456</v>
      </c>
      <c r="CN21" s="90">
        <f t="shared" si="1"/>
        <v>39549.00818181817</v>
      </c>
      <c r="CO21" s="90">
        <f t="shared" si="1"/>
        <v>39549.12436363636</v>
      </c>
      <c r="CP21" s="90"/>
      <c r="CQ21" s="21"/>
    </row>
    <row r="22" spans="1:95" ht="15.75">
      <c r="A22" s="63">
        <v>11</v>
      </c>
      <c r="B22" s="70" t="s">
        <v>48</v>
      </c>
      <c r="C22" s="43">
        <v>4.26</v>
      </c>
      <c r="D22" s="44">
        <v>634.25</v>
      </c>
      <c r="E22" s="44">
        <f>D$34*C22</f>
        <v>634.2713999999999</v>
      </c>
      <c r="F22" s="4"/>
      <c r="G22" s="4">
        <v>4.28</v>
      </c>
      <c r="H22" s="4">
        <v>636.61</v>
      </c>
      <c r="I22" s="16">
        <f>H$34*G22</f>
        <v>636.6072</v>
      </c>
      <c r="J22" s="4"/>
      <c r="K22" s="4">
        <v>4.27</v>
      </c>
      <c r="L22" s="16">
        <v>635.46</v>
      </c>
      <c r="M22" s="16">
        <f>L$34*K22</f>
        <v>635.4613999999999</v>
      </c>
      <c r="N22" s="4"/>
      <c r="O22" s="4">
        <v>4.25</v>
      </c>
      <c r="P22" s="16">
        <v>635.49</v>
      </c>
      <c r="Q22" s="16">
        <f>P$34*O22</f>
        <v>635.5025</v>
      </c>
      <c r="R22" s="4"/>
      <c r="S22" s="4">
        <v>4.22</v>
      </c>
      <c r="T22" s="16">
        <v>630.07</v>
      </c>
      <c r="U22" s="16">
        <f>T$34*S22</f>
        <v>630.046</v>
      </c>
      <c r="V22" s="4"/>
      <c r="W22" s="4">
        <v>4.23</v>
      </c>
      <c r="X22" s="16">
        <v>627.38</v>
      </c>
      <c r="Y22" s="16">
        <f>X$34*W22</f>
        <v>627.3936</v>
      </c>
      <c r="Z22" s="4"/>
      <c r="AA22" s="4">
        <v>4.24</v>
      </c>
      <c r="AB22" s="16">
        <v>628.67</v>
      </c>
      <c r="AC22" s="16">
        <f>AB$34*AA22</f>
        <v>628.6648000000001</v>
      </c>
      <c r="AD22" s="4"/>
      <c r="AE22" s="4">
        <v>4.25</v>
      </c>
      <c r="AF22" s="16">
        <v>628.38</v>
      </c>
      <c r="AG22" s="16">
        <f>AF$34*AE22</f>
        <v>628.3625</v>
      </c>
      <c r="AH22" s="4"/>
      <c r="AI22" s="4">
        <v>4.26</v>
      </c>
      <c r="AJ22" s="16">
        <v>632.85</v>
      </c>
      <c r="AK22" s="16">
        <f>AJ$34*AI22</f>
        <v>632.8656</v>
      </c>
      <c r="AL22" s="4"/>
      <c r="AM22" s="4">
        <v>4.26</v>
      </c>
      <c r="AN22" s="1">
        <v>633.8</v>
      </c>
      <c r="AO22" s="16">
        <f>AN$34*AM22</f>
        <v>633.8027999999999</v>
      </c>
      <c r="AP22" s="4"/>
      <c r="AQ22" s="4">
        <v>4.3</v>
      </c>
      <c r="AR22" s="16">
        <v>638.25</v>
      </c>
      <c r="AS22" s="16">
        <f>AR$34*AQ22</f>
        <v>638.249</v>
      </c>
      <c r="AT22" s="4"/>
      <c r="AU22" s="4">
        <v>4.23</v>
      </c>
      <c r="AV22" s="16">
        <v>626.66</v>
      </c>
      <c r="AW22" s="16">
        <f>AV$34*AU22</f>
        <v>626.6745000000001</v>
      </c>
      <c r="AX22" s="4"/>
      <c r="AY22" s="4">
        <v>4.23</v>
      </c>
      <c r="AZ22" s="16">
        <v>624.9</v>
      </c>
      <c r="BA22" s="16">
        <f>AZ$34*AY22</f>
        <v>624.8979</v>
      </c>
      <c r="BB22" s="4"/>
      <c r="BC22" s="4">
        <v>4.23</v>
      </c>
      <c r="BD22" s="16">
        <v>623.72</v>
      </c>
      <c r="BE22" s="16">
        <f>BD$34*BC22</f>
        <v>623.7135000000001</v>
      </c>
      <c r="BF22" s="4"/>
      <c r="BG22" s="4">
        <v>4.21</v>
      </c>
      <c r="BH22" s="16">
        <v>619.6</v>
      </c>
      <c r="BI22" s="16">
        <f>BH$34*BG22</f>
        <v>619.5857</v>
      </c>
      <c r="BJ22" s="4"/>
      <c r="BK22" s="4">
        <v>4.28</v>
      </c>
      <c r="BL22" s="16">
        <v>630.94</v>
      </c>
      <c r="BM22" s="16">
        <f>BL$34*BK22</f>
        <v>630.9576</v>
      </c>
      <c r="BN22" s="4"/>
      <c r="BO22" s="4">
        <v>4.26</v>
      </c>
      <c r="BP22" s="16">
        <v>626.81</v>
      </c>
      <c r="BQ22" s="16">
        <f>BP$34*BO22</f>
        <v>626.8163999999999</v>
      </c>
      <c r="BR22" s="4"/>
      <c r="BS22" s="4">
        <v>4.24</v>
      </c>
      <c r="BT22" s="16">
        <v>624.2</v>
      </c>
      <c r="BU22" s="16">
        <f>BT$34*BS22</f>
        <v>624.2128</v>
      </c>
      <c r="BV22" s="4"/>
      <c r="BW22" s="4">
        <v>4.26</v>
      </c>
      <c r="BX22" s="16">
        <v>623.73</v>
      </c>
      <c r="BY22" s="16">
        <f>BX$34*BW22</f>
        <v>623.7491999999999</v>
      </c>
      <c r="BZ22" s="4"/>
      <c r="CA22" s="4">
        <v>4.22</v>
      </c>
      <c r="CB22" s="16">
        <v>617.6</v>
      </c>
      <c r="CC22" s="16">
        <f>CB$34*CA22</f>
        <v>617.597</v>
      </c>
      <c r="CD22" s="4"/>
      <c r="CE22" s="4">
        <v>4.24</v>
      </c>
      <c r="CF22" s="16">
        <v>619.69</v>
      </c>
      <c r="CG22" s="16">
        <f>CF$34*CE22</f>
        <v>619.676</v>
      </c>
      <c r="CH22" s="4"/>
      <c r="CI22" s="4">
        <v>4.21</v>
      </c>
      <c r="CJ22" s="16">
        <v>612.1</v>
      </c>
      <c r="CK22" s="16">
        <f>CJ$34*CI22</f>
        <v>612.0918999999999</v>
      </c>
      <c r="CL22" s="4"/>
      <c r="CM22" s="4">
        <f t="shared" si="0"/>
        <v>4.246818181818181</v>
      </c>
      <c r="CN22" s="90">
        <f t="shared" si="1"/>
        <v>627.7800000000001</v>
      </c>
      <c r="CO22" s="90">
        <f t="shared" si="1"/>
        <v>627.7817863636363</v>
      </c>
      <c r="CP22" s="90"/>
      <c r="CQ22" s="21"/>
    </row>
    <row r="23" spans="1:95" ht="15.75">
      <c r="A23" s="63">
        <v>12</v>
      </c>
      <c r="B23" s="64" t="s">
        <v>49</v>
      </c>
      <c r="C23" s="43">
        <f>1/0.51</f>
        <v>1.9607843137254901</v>
      </c>
      <c r="D23" s="44">
        <v>75.93</v>
      </c>
      <c r="E23" s="44">
        <f>D$34/C23</f>
        <v>75.9339</v>
      </c>
      <c r="F23" s="4"/>
      <c r="G23" s="4">
        <f>1/0.5162</f>
        <v>1.9372336303758233</v>
      </c>
      <c r="H23" s="4">
        <v>76.78</v>
      </c>
      <c r="I23" s="16">
        <f>H$34/G23</f>
        <v>76.779588</v>
      </c>
      <c r="J23" s="4"/>
      <c r="K23" s="4">
        <f>1/0.5188</f>
        <v>1.9275250578257517</v>
      </c>
      <c r="L23" s="16">
        <v>77.21</v>
      </c>
      <c r="M23" s="16">
        <f>L$34/K23</f>
        <v>77.207816</v>
      </c>
      <c r="N23" s="4"/>
      <c r="O23" s="4">
        <f>1/0.5172</f>
        <v>1.9334880123743232</v>
      </c>
      <c r="P23" s="16">
        <v>77.34</v>
      </c>
      <c r="Q23" s="16">
        <f>P$34/O23</f>
        <v>77.336916</v>
      </c>
      <c r="R23" s="4"/>
      <c r="S23" s="4">
        <f>1/0.5075</f>
        <v>1.9704433497536948</v>
      </c>
      <c r="T23" s="16">
        <v>75.77</v>
      </c>
      <c r="U23" s="16">
        <f>T$34/S23</f>
        <v>75.76975</v>
      </c>
      <c r="V23" s="4"/>
      <c r="W23" s="4">
        <f>1/0.5096</f>
        <v>1.9623233908948192</v>
      </c>
      <c r="X23" s="16">
        <v>75.58</v>
      </c>
      <c r="Y23" s="16">
        <f>X$34/W23</f>
        <v>75.583872</v>
      </c>
      <c r="Z23" s="4"/>
      <c r="AA23" s="4">
        <f>1/0.5107</f>
        <v>1.9580967299784608</v>
      </c>
      <c r="AB23" s="16">
        <v>75.72</v>
      </c>
      <c r="AC23" s="16">
        <f>AB$34/AA23</f>
        <v>75.721489</v>
      </c>
      <c r="AD23" s="4"/>
      <c r="AE23" s="4">
        <f>1/0.5098</f>
        <v>1.9615535504119261</v>
      </c>
      <c r="AF23" s="16">
        <v>75.38</v>
      </c>
      <c r="AG23" s="16">
        <f>AF$34/AE23</f>
        <v>75.37393</v>
      </c>
      <c r="AH23" s="4"/>
      <c r="AI23" s="4">
        <v>0.5056</v>
      </c>
      <c r="AJ23" s="16">
        <v>75.11</v>
      </c>
      <c r="AK23" s="16">
        <f>AJ$34/AI23</f>
        <v>293.8291139240506</v>
      </c>
      <c r="AL23" s="4"/>
      <c r="AM23" s="4">
        <v>0.5064</v>
      </c>
      <c r="AN23" s="16">
        <v>75.34</v>
      </c>
      <c r="AO23" s="16">
        <f>AN$34/AM23</f>
        <v>293.79936808846765</v>
      </c>
      <c r="AP23" s="4"/>
      <c r="AQ23" s="4">
        <f>0.5094</f>
        <v>0.5094</v>
      </c>
      <c r="AR23" s="16">
        <v>75.61</v>
      </c>
      <c r="AS23" s="16">
        <f>AR$34/AQ23</f>
        <v>291.38201806046334</v>
      </c>
      <c r="AT23" s="4"/>
      <c r="AU23" s="4">
        <f>1/0.5062</f>
        <v>1.9755037534571316</v>
      </c>
      <c r="AV23" s="16">
        <v>74.99</v>
      </c>
      <c r="AW23" s="16">
        <f>AV$34/AU23</f>
        <v>74.99353</v>
      </c>
      <c r="AX23" s="4"/>
      <c r="AY23" s="4">
        <v>1.0962</v>
      </c>
      <c r="AZ23" s="16">
        <v>75.37</v>
      </c>
      <c r="BA23" s="16">
        <f>AZ$34/AY23</f>
        <v>134.76555373107095</v>
      </c>
      <c r="BB23" s="4"/>
      <c r="BC23" s="4">
        <f>1/0.5146</f>
        <v>1.94325689856199</v>
      </c>
      <c r="BD23" s="16">
        <v>75.88</v>
      </c>
      <c r="BE23" s="16">
        <f>BD$34/BC23</f>
        <v>75.87776999999998</v>
      </c>
      <c r="BF23" s="4"/>
      <c r="BG23" s="4">
        <f>1/0.5118</f>
        <v>1.9538882375928095</v>
      </c>
      <c r="BH23" s="16">
        <v>75.32</v>
      </c>
      <c r="BI23" s="16">
        <f>BH$34/BG23</f>
        <v>75.321606</v>
      </c>
      <c r="BJ23" s="4"/>
      <c r="BK23" s="4">
        <f>1/0.5072</f>
        <v>1.971608832807571</v>
      </c>
      <c r="BL23" s="16">
        <v>74.77</v>
      </c>
      <c r="BM23" s="16">
        <f>BL$34/BK23</f>
        <v>74.771424</v>
      </c>
      <c r="BN23" s="4"/>
      <c r="BO23" s="4">
        <f>1/0.5075</f>
        <v>1.9704433497536948</v>
      </c>
      <c r="BP23" s="16">
        <v>74.67</v>
      </c>
      <c r="BQ23" s="16">
        <f>BP$34/BO23</f>
        <v>74.67354999999998</v>
      </c>
      <c r="BR23" s="4"/>
      <c r="BS23" s="4">
        <f>1/0.5079</f>
        <v>1.9688915140775742</v>
      </c>
      <c r="BT23" s="16">
        <v>74.77</v>
      </c>
      <c r="BU23" s="16">
        <f>BT$34/BS23</f>
        <v>74.773038</v>
      </c>
      <c r="BV23" s="4"/>
      <c r="BW23" s="4">
        <f>1/0.5082</f>
        <v>1.9677292404565132</v>
      </c>
      <c r="BX23" s="16">
        <v>74.41</v>
      </c>
      <c r="BY23" s="16">
        <f>BX$34/BW23</f>
        <v>74.41064399999999</v>
      </c>
      <c r="BZ23" s="4"/>
      <c r="CA23" s="4">
        <f>1/0.5057</f>
        <v>1.9774569903104606</v>
      </c>
      <c r="CB23" s="16">
        <v>74.01</v>
      </c>
      <c r="CC23" s="16">
        <f>CB$34/CA23</f>
        <v>74.009195</v>
      </c>
      <c r="CD23" s="4"/>
      <c r="CE23" s="4">
        <f>1/0.5055</f>
        <v>1.9782393669634029</v>
      </c>
      <c r="CF23" s="16">
        <v>73.88</v>
      </c>
      <c r="CG23" s="16">
        <f>CF$34/CE23</f>
        <v>73.87882499999999</v>
      </c>
      <c r="CH23" s="4"/>
      <c r="CI23" s="4">
        <f>1/0.5054</f>
        <v>1.9786307874950535</v>
      </c>
      <c r="CJ23" s="16">
        <v>73.48</v>
      </c>
      <c r="CK23" s="16">
        <f>CJ$34/CI23</f>
        <v>73.48010599999999</v>
      </c>
      <c r="CL23" s="4"/>
      <c r="CM23" s="4">
        <f t="shared" si="0"/>
        <v>1.7233953184916586</v>
      </c>
      <c r="CN23" s="90">
        <f t="shared" si="1"/>
        <v>75.33272727272728</v>
      </c>
      <c r="CO23" s="90">
        <f t="shared" si="1"/>
        <v>107.712409218366</v>
      </c>
      <c r="CP23" s="90"/>
      <c r="CQ23" s="21"/>
    </row>
    <row r="24" spans="1:95" ht="15.75">
      <c r="A24" s="63">
        <v>13</v>
      </c>
      <c r="B24" s="64" t="s">
        <v>50</v>
      </c>
      <c r="C24" s="43">
        <v>1.5144</v>
      </c>
      <c r="D24" s="44">
        <v>98.31</v>
      </c>
      <c r="E24" s="44">
        <f>D$34/C24</f>
        <v>98.3161648177496</v>
      </c>
      <c r="F24" s="4"/>
      <c r="G24" s="4">
        <v>1.511</v>
      </c>
      <c r="H24" s="4">
        <v>98.44</v>
      </c>
      <c r="I24" s="16">
        <f>H$34/G24</f>
        <v>98.4381204500331</v>
      </c>
      <c r="J24" s="4"/>
      <c r="K24" s="4">
        <v>1.5115</v>
      </c>
      <c r="L24" s="16">
        <v>98.46</v>
      </c>
      <c r="M24" s="16">
        <f>L$34/K24</f>
        <v>98.45848494872642</v>
      </c>
      <c r="N24" s="4"/>
      <c r="O24" s="4">
        <v>1.5091</v>
      </c>
      <c r="P24" s="16">
        <v>99.08</v>
      </c>
      <c r="Q24" s="16">
        <f>P$34/O24</f>
        <v>99.08554767742362</v>
      </c>
      <c r="R24" s="4"/>
      <c r="S24" s="4">
        <v>1.5156</v>
      </c>
      <c r="T24" s="16">
        <v>98.51</v>
      </c>
      <c r="U24" s="16">
        <f>T$34/S24</f>
        <v>98.50884138295065</v>
      </c>
      <c r="V24" s="4"/>
      <c r="W24" s="4">
        <v>1.5196</v>
      </c>
      <c r="X24" s="16">
        <v>97.6</v>
      </c>
      <c r="Y24" s="16">
        <f>X$34/W24</f>
        <v>97.60463279810476</v>
      </c>
      <c r="Z24" s="4"/>
      <c r="AA24" s="4">
        <v>1.5212</v>
      </c>
      <c r="AB24" s="16">
        <v>97.47</v>
      </c>
      <c r="AC24" s="16">
        <f>AB$34/AA24</f>
        <v>97.46910333946884</v>
      </c>
      <c r="AD24" s="4"/>
      <c r="AE24" s="4">
        <v>1.52</v>
      </c>
      <c r="AF24" s="16">
        <v>97.27</v>
      </c>
      <c r="AG24" s="16">
        <f>AF$34/AE24</f>
        <v>97.26973684210526</v>
      </c>
      <c r="AH24" s="4"/>
      <c r="AI24" s="4">
        <v>1.5259</v>
      </c>
      <c r="AJ24" s="16">
        <v>97.36</v>
      </c>
      <c r="AK24" s="16">
        <f>AJ$34/AI24</f>
        <v>97.35893571007274</v>
      </c>
      <c r="AL24" s="4"/>
      <c r="AM24" s="4">
        <v>1.5335</v>
      </c>
      <c r="AN24" s="16">
        <v>97.02</v>
      </c>
      <c r="AO24" s="16">
        <f>AN$34/AM24</f>
        <v>97.0198891424845</v>
      </c>
      <c r="AP24" s="4"/>
      <c r="AQ24" s="4">
        <v>1.537</v>
      </c>
      <c r="AR24" s="16">
        <v>96.57</v>
      </c>
      <c r="AS24" s="16">
        <f>AR$34/AQ24</f>
        <v>96.57124268054653</v>
      </c>
      <c r="AT24" s="4"/>
      <c r="AU24" s="4">
        <v>1.5382</v>
      </c>
      <c r="AV24" s="16">
        <v>96.31</v>
      </c>
      <c r="AW24" s="16">
        <f>AV$34/AU24</f>
        <v>96.31387335847094</v>
      </c>
      <c r="AX24" s="4"/>
      <c r="AY24" s="4">
        <v>1.5356</v>
      </c>
      <c r="AZ24" s="16">
        <v>96.2</v>
      </c>
      <c r="BA24" s="16">
        <f>AZ$34/AY24</f>
        <v>96.20343839541546</v>
      </c>
      <c r="BB24" s="4"/>
      <c r="BC24" s="4">
        <v>1.5414</v>
      </c>
      <c r="BD24" s="16">
        <v>95.66</v>
      </c>
      <c r="BE24" s="16">
        <f>BD$34/BC24</f>
        <v>95.65978980147916</v>
      </c>
      <c r="BF24" s="4"/>
      <c r="BG24" s="4">
        <v>1.542</v>
      </c>
      <c r="BH24" s="16">
        <v>95.44</v>
      </c>
      <c r="BI24" s="16">
        <f>BH$34/BG24</f>
        <v>95.44098573281451</v>
      </c>
      <c r="BJ24" s="4"/>
      <c r="BK24" s="4">
        <v>1.5458</v>
      </c>
      <c r="BL24" s="16">
        <v>95.37</v>
      </c>
      <c r="BM24" s="16">
        <f>BL$34/BK24</f>
        <v>95.3680941907103</v>
      </c>
      <c r="BN24" s="4"/>
      <c r="BO24" s="4">
        <v>1.5404</v>
      </c>
      <c r="BP24" s="16">
        <v>95.52</v>
      </c>
      <c r="BQ24" s="16">
        <f>BP$34/BO24</f>
        <v>95.52064398857439</v>
      </c>
      <c r="BR24" s="4"/>
      <c r="BS24" s="4">
        <v>1.537</v>
      </c>
      <c r="BT24" s="16">
        <v>95.78</v>
      </c>
      <c r="BU24" s="16">
        <f>BT$34/BS24</f>
        <v>95.7839947950553</v>
      </c>
      <c r="BV24" s="4"/>
      <c r="BW24" s="4">
        <v>1.5344</v>
      </c>
      <c r="BX24" s="16">
        <v>95.42</v>
      </c>
      <c r="BY24" s="16">
        <f>BX$34/BW24</f>
        <v>95.42492179353492</v>
      </c>
      <c r="BZ24" s="4"/>
      <c r="CA24" s="4">
        <v>1.5333</v>
      </c>
      <c r="CB24" s="16">
        <v>95.45</v>
      </c>
      <c r="CC24" s="16">
        <f>CB$34/CA24</f>
        <v>95.44772712450269</v>
      </c>
      <c r="CD24" s="4"/>
      <c r="CE24" s="4">
        <v>1.5306</v>
      </c>
      <c r="CF24" s="16">
        <v>95.49</v>
      </c>
      <c r="CG24" s="16">
        <f>CF$34/CE24</f>
        <v>95.48543055011108</v>
      </c>
      <c r="CH24" s="4"/>
      <c r="CI24" s="4">
        <v>1.527</v>
      </c>
      <c r="CJ24" s="16">
        <v>95.21</v>
      </c>
      <c r="CK24" s="16">
        <f>CJ$34/CI24</f>
        <v>95.2128356254093</v>
      </c>
      <c r="CL24" s="4"/>
      <c r="CM24" s="4">
        <f t="shared" si="0"/>
        <v>1.528386363636364</v>
      </c>
      <c r="CN24" s="90">
        <f t="shared" si="1"/>
        <v>96.72454545454546</v>
      </c>
      <c r="CO24" s="90">
        <f t="shared" si="1"/>
        <v>96.72556523389746</v>
      </c>
      <c r="CP24" s="90"/>
      <c r="CQ24" s="21"/>
    </row>
    <row r="25" spans="1:95" ht="15.75">
      <c r="A25" s="63">
        <v>14</v>
      </c>
      <c r="B25" s="64" t="s">
        <v>51</v>
      </c>
      <c r="C25" s="43">
        <v>16.2613</v>
      </c>
      <c r="D25" s="44">
        <v>9.16</v>
      </c>
      <c r="E25" s="44">
        <f>D$34/C25</f>
        <v>9.156094531187543</v>
      </c>
      <c r="F25" s="4"/>
      <c r="G25" s="4">
        <v>16.2</v>
      </c>
      <c r="H25" s="4">
        <v>9.18</v>
      </c>
      <c r="I25" s="16">
        <f>H$34/G25</f>
        <v>9.181481481481482</v>
      </c>
      <c r="J25" s="4"/>
      <c r="K25" s="4">
        <v>16.2651</v>
      </c>
      <c r="L25" s="16">
        <v>9.15</v>
      </c>
      <c r="M25" s="16">
        <f>L$34/K25</f>
        <v>9.149651708258787</v>
      </c>
      <c r="N25" s="4"/>
      <c r="O25" s="4">
        <v>16.3366</v>
      </c>
      <c r="P25" s="16">
        <v>9.15</v>
      </c>
      <c r="Q25" s="16">
        <f>P$34/O25</f>
        <v>9.15306734571453</v>
      </c>
      <c r="R25" s="4"/>
      <c r="S25" s="4">
        <v>16.3579</v>
      </c>
      <c r="T25" s="16">
        <v>9.13</v>
      </c>
      <c r="U25" s="16">
        <f>T$34/S25</f>
        <v>9.127088440447736</v>
      </c>
      <c r="V25" s="4"/>
      <c r="W25" s="4">
        <v>16.2325</v>
      </c>
      <c r="X25" s="16">
        <v>9.14</v>
      </c>
      <c r="Y25" s="16">
        <f>X$34/W25</f>
        <v>9.137224703526874</v>
      </c>
      <c r="Z25" s="4"/>
      <c r="AA25" s="4">
        <v>16.0958</v>
      </c>
      <c r="AB25" s="16">
        <v>9.21</v>
      </c>
      <c r="AC25" s="16">
        <f>AB$34/AA25</f>
        <v>9.211719827532649</v>
      </c>
      <c r="AD25" s="4"/>
      <c r="AE25" s="4">
        <v>15.989</v>
      </c>
      <c r="AF25" s="41">
        <v>9.25</v>
      </c>
      <c r="AG25" s="16">
        <f>AF$34/AE25</f>
        <v>9.246982300331478</v>
      </c>
      <c r="AH25" s="4"/>
      <c r="AI25" s="4">
        <v>16.1033</v>
      </c>
      <c r="AJ25" s="16">
        <v>9.23</v>
      </c>
      <c r="AK25" s="16">
        <f>AJ$34/AI25</f>
        <v>9.225438264206716</v>
      </c>
      <c r="AL25" s="4"/>
      <c r="AM25" s="4">
        <v>16.1052</v>
      </c>
      <c r="AN25" s="16">
        <v>9.24</v>
      </c>
      <c r="AO25" s="16">
        <f>AN$34/AM25</f>
        <v>9.238010083699674</v>
      </c>
      <c r="AP25" s="4"/>
      <c r="AQ25" s="4">
        <v>16.0601</v>
      </c>
      <c r="AR25" s="16">
        <v>9.24</v>
      </c>
      <c r="AS25" s="16">
        <f>AR$34/AQ25</f>
        <v>9.242159139731385</v>
      </c>
      <c r="AT25" s="4"/>
      <c r="AU25" s="4">
        <v>16.1468</v>
      </c>
      <c r="AV25" s="16">
        <v>9.17</v>
      </c>
      <c r="AW25" s="16">
        <f>AV$34/AU25</f>
        <v>9.175192607823224</v>
      </c>
      <c r="AX25" s="4"/>
      <c r="AY25" s="4">
        <v>15.9392</v>
      </c>
      <c r="AZ25" s="16">
        <v>9.27</v>
      </c>
      <c r="BA25" s="16">
        <f>AZ$34/AY25</f>
        <v>9.26834470989761</v>
      </c>
      <c r="BB25" s="4"/>
      <c r="BC25" s="4">
        <v>15.8146</v>
      </c>
      <c r="BD25" s="16">
        <v>9.32</v>
      </c>
      <c r="BE25" s="16">
        <f>BD$34/BC25</f>
        <v>9.323662944367861</v>
      </c>
      <c r="BF25" s="4"/>
      <c r="BG25" s="4">
        <v>15.7171</v>
      </c>
      <c r="BH25" s="16">
        <v>9.36</v>
      </c>
      <c r="BI25" s="16">
        <f>BH$34/BG25</f>
        <v>9.36368668520274</v>
      </c>
      <c r="BJ25" s="4"/>
      <c r="BK25" s="4">
        <v>15.8438</v>
      </c>
      <c r="BL25" s="16">
        <v>9.3</v>
      </c>
      <c r="BM25" s="16">
        <f>BL$34/BK25</f>
        <v>9.304586021030307</v>
      </c>
      <c r="BN25" s="4"/>
      <c r="BO25" s="4">
        <v>15.8019</v>
      </c>
      <c r="BP25" s="16">
        <v>9.31</v>
      </c>
      <c r="BQ25" s="16">
        <f>BP$34/BO25</f>
        <v>9.31153848587828</v>
      </c>
      <c r="BR25" s="4"/>
      <c r="BS25" s="4">
        <v>15.7513</v>
      </c>
      <c r="BT25" s="16">
        <v>9.35</v>
      </c>
      <c r="BU25" s="16">
        <f>BT$34/BS25</f>
        <v>9.346530127672</v>
      </c>
      <c r="BV25" s="4"/>
      <c r="BW25" s="4">
        <v>15.6741</v>
      </c>
      <c r="BX25" s="16">
        <v>9.34</v>
      </c>
      <c r="BY25" s="16">
        <f>BX$34/BW25</f>
        <v>9.34152519123905</v>
      </c>
      <c r="BZ25" s="4"/>
      <c r="CA25" s="4">
        <v>15.7315</v>
      </c>
      <c r="CB25" s="16">
        <v>9.3</v>
      </c>
      <c r="CC25" s="16">
        <f>CB$34/CA25</f>
        <v>9.302990814607634</v>
      </c>
      <c r="CD25" s="4"/>
      <c r="CE25" s="4">
        <v>15.7332</v>
      </c>
      <c r="CF25" s="16">
        <v>9.29</v>
      </c>
      <c r="CG25" s="16">
        <f>CF$34/CE25</f>
        <v>9.289273637912187</v>
      </c>
      <c r="CH25" s="4"/>
      <c r="CI25" s="4">
        <v>15.7189</v>
      </c>
      <c r="CJ25" s="16">
        <v>9.25</v>
      </c>
      <c r="CK25" s="16">
        <f>CJ$34/CI25</f>
        <v>9.249374956262843</v>
      </c>
      <c r="CL25" s="4"/>
      <c r="CM25" s="4">
        <f t="shared" si="0"/>
        <v>15.994509090909093</v>
      </c>
      <c r="CN25" s="90">
        <f t="shared" si="1"/>
        <v>9.242727272727272</v>
      </c>
      <c r="CO25" s="90">
        <f t="shared" si="1"/>
        <v>9.242982909455115</v>
      </c>
      <c r="CP25" s="90"/>
      <c r="CQ25" s="21"/>
    </row>
    <row r="26" spans="1:95" ht="15.75">
      <c r="A26" s="63">
        <v>15</v>
      </c>
      <c r="B26" s="64" t="s">
        <v>52</v>
      </c>
      <c r="C26" s="43">
        <v>196.6273</v>
      </c>
      <c r="D26" s="44">
        <v>75.72</v>
      </c>
      <c r="E26" s="44">
        <f>D$34/C26*100</f>
        <v>75.72193688262006</v>
      </c>
      <c r="F26" s="4"/>
      <c r="G26" s="4">
        <v>195.8865</v>
      </c>
      <c r="H26" s="4">
        <v>75.93</v>
      </c>
      <c r="I26" s="16">
        <f>H$34/G26*100</f>
        <v>75.93172576976974</v>
      </c>
      <c r="J26" s="4"/>
      <c r="K26" s="4">
        <v>196.6738</v>
      </c>
      <c r="L26" s="16">
        <v>75.67</v>
      </c>
      <c r="M26" s="16">
        <f>L$34/K26*100</f>
        <v>75.66844185651571</v>
      </c>
      <c r="N26" s="4"/>
      <c r="O26" s="4">
        <v>197.5377</v>
      </c>
      <c r="P26" s="16">
        <v>75.7</v>
      </c>
      <c r="Q26" s="16">
        <f>P$34/O26*100</f>
        <v>75.69694291266933</v>
      </c>
      <c r="R26" s="4"/>
      <c r="S26" s="4">
        <v>197.796</v>
      </c>
      <c r="T26" s="16">
        <v>75.48</v>
      </c>
      <c r="U26" s="16">
        <f>T$34/S26*100</f>
        <v>75.4818095411434</v>
      </c>
      <c r="V26" s="4"/>
      <c r="W26" s="4">
        <v>196.2793</v>
      </c>
      <c r="X26" s="16">
        <v>75.56</v>
      </c>
      <c r="Y26" s="16">
        <f>X$34/W26*100</f>
        <v>75.56578813965609</v>
      </c>
      <c r="Z26" s="4"/>
      <c r="AA26" s="4">
        <v>194.6263</v>
      </c>
      <c r="AB26" s="16">
        <v>76.18</v>
      </c>
      <c r="AC26" s="16">
        <f>AB$34/AA26*100</f>
        <v>76.18189319737364</v>
      </c>
      <c r="AD26" s="4"/>
      <c r="AE26" s="4">
        <v>193.3372</v>
      </c>
      <c r="AF26" s="16">
        <v>76.47</v>
      </c>
      <c r="AG26" s="16">
        <f>AF$34/AE26*100</f>
        <v>76.4726084788649</v>
      </c>
      <c r="AH26" s="4"/>
      <c r="AI26" s="4">
        <v>194.7174</v>
      </c>
      <c r="AJ26" s="16">
        <v>76.29</v>
      </c>
      <c r="AK26" s="16">
        <f>AJ$34/AI26*100</f>
        <v>76.29518471384684</v>
      </c>
      <c r="AL26" s="4"/>
      <c r="AM26" s="4">
        <v>194.7402</v>
      </c>
      <c r="AN26" s="16">
        <v>76.4</v>
      </c>
      <c r="AO26" s="16">
        <f>AN$34/AM26*100</f>
        <v>76.39922317015183</v>
      </c>
      <c r="AP26" s="4"/>
      <c r="AQ26" s="4">
        <v>194.1947</v>
      </c>
      <c r="AR26" s="16">
        <v>76.43</v>
      </c>
      <c r="AS26" s="16">
        <f>AR$34/AQ26*100</f>
        <v>76.43359988712359</v>
      </c>
      <c r="AT26" s="4"/>
      <c r="AU26" s="4">
        <v>195.2429</v>
      </c>
      <c r="AV26" s="16">
        <v>75.88</v>
      </c>
      <c r="AW26" s="16">
        <f>AV$34/AU26*100</f>
        <v>75.8798399327197</v>
      </c>
      <c r="AX26" s="4"/>
      <c r="AY26" s="4">
        <v>192.7325</v>
      </c>
      <c r="AZ26" s="16">
        <v>76.65</v>
      </c>
      <c r="BA26" s="16">
        <f>AZ$34/AY26*100</f>
        <v>76.65027953251268</v>
      </c>
      <c r="BB26" s="4"/>
      <c r="BC26" s="4">
        <v>191.2263</v>
      </c>
      <c r="BD26" s="16">
        <v>77.11</v>
      </c>
      <c r="BE26" s="16">
        <f>BD$34/BC26*100</f>
        <v>77.107594509751</v>
      </c>
      <c r="BF26" s="4"/>
      <c r="BG26" s="4">
        <v>190.0468</v>
      </c>
      <c r="BH26" s="16">
        <v>77.14</v>
      </c>
      <c r="BI26" s="16">
        <f>BH$34/BG26*100</f>
        <v>77.43882033267595</v>
      </c>
      <c r="BJ26" s="4"/>
      <c r="BK26" s="4">
        <v>191.5786</v>
      </c>
      <c r="BL26" s="16">
        <v>76.95</v>
      </c>
      <c r="BM26" s="16">
        <f>BL$34/BK26*100</f>
        <v>76.95013952497825</v>
      </c>
      <c r="BN26" s="4"/>
      <c r="BO26" s="4">
        <v>191.0726</v>
      </c>
      <c r="BP26" s="16">
        <v>77.01</v>
      </c>
      <c r="BQ26" s="16">
        <f>BP$34/BO26*100</f>
        <v>77.00737834728788</v>
      </c>
      <c r="BR26" s="4"/>
      <c r="BS26" s="4">
        <v>190.4602</v>
      </c>
      <c r="BT26" s="16">
        <v>77.3</v>
      </c>
      <c r="BU26" s="16">
        <f>BT$34/BS26*100</f>
        <v>77.29698908223345</v>
      </c>
      <c r="BV26" s="4"/>
      <c r="BW26" s="4">
        <v>189.5273</v>
      </c>
      <c r="BX26" s="16">
        <v>77.25</v>
      </c>
      <c r="BY26" s="16">
        <f>BX$34/BW26*100</f>
        <v>77.25536110101288</v>
      </c>
      <c r="BZ26" s="4"/>
      <c r="CA26" s="4">
        <v>190.2206</v>
      </c>
      <c r="CB26" s="16">
        <v>76.94</v>
      </c>
      <c r="CC26" s="16">
        <f>CB$34/CA26*100</f>
        <v>76.93698789720987</v>
      </c>
      <c r="CD26" s="4"/>
      <c r="CE26" s="4">
        <v>190.2424</v>
      </c>
      <c r="CF26" s="16">
        <v>76.82</v>
      </c>
      <c r="CG26" s="16">
        <f>CF$34/CE26*100</f>
        <v>76.8230426024903</v>
      </c>
      <c r="CH26" s="4"/>
      <c r="CI26" s="4">
        <v>190.0685</v>
      </c>
      <c r="CJ26" s="16">
        <v>76.49</v>
      </c>
      <c r="CK26" s="16">
        <f>CJ$34/CI26*100</f>
        <v>76.49347472095586</v>
      </c>
      <c r="CL26" s="4"/>
      <c r="CM26" s="4">
        <f t="shared" si="0"/>
        <v>193.40159545454546</v>
      </c>
      <c r="CN26" s="90">
        <f t="shared" si="1"/>
        <v>76.42590909090909</v>
      </c>
      <c r="CO26" s="90">
        <f t="shared" si="1"/>
        <v>76.44041191516195</v>
      </c>
      <c r="CP26" s="90"/>
      <c r="CQ26" s="21"/>
    </row>
    <row r="27" spans="1:95" ht="15.75">
      <c r="A27" s="63">
        <v>16</v>
      </c>
      <c r="B27" s="64" t="s">
        <v>53</v>
      </c>
      <c r="C27" s="43">
        <v>10.918</v>
      </c>
      <c r="D27" s="44">
        <v>13.64</v>
      </c>
      <c r="E27" s="44">
        <f>D$34/C27</f>
        <v>13.637113024363437</v>
      </c>
      <c r="F27" s="4"/>
      <c r="G27" s="4">
        <v>10.878</v>
      </c>
      <c r="H27" s="4">
        <v>13.67</v>
      </c>
      <c r="I27" s="16">
        <f>H$34/G27</f>
        <v>13.673469387755103</v>
      </c>
      <c r="J27" s="4"/>
      <c r="K27" s="4">
        <v>10.8795</v>
      </c>
      <c r="L27" s="16">
        <v>13.68</v>
      </c>
      <c r="M27" s="16">
        <f>L$34/K27</f>
        <v>13.678937451169631</v>
      </c>
      <c r="N27" s="4"/>
      <c r="O27" s="4">
        <v>10.9405</v>
      </c>
      <c r="P27" s="16">
        <v>13.67</v>
      </c>
      <c r="Q27" s="16">
        <f>P$34/O27</f>
        <v>13.667565467757415</v>
      </c>
      <c r="R27" s="4"/>
      <c r="S27" s="4">
        <v>11.0074</v>
      </c>
      <c r="T27" s="16">
        <v>13.56</v>
      </c>
      <c r="U27" s="16">
        <f>T$34/S27</f>
        <v>13.563602667296546</v>
      </c>
      <c r="V27" s="4"/>
      <c r="W27" s="4">
        <v>10.966</v>
      </c>
      <c r="X27" s="16">
        <v>13.53</v>
      </c>
      <c r="Y27" s="16">
        <f>X$34/W27</f>
        <v>13.525442276126208</v>
      </c>
      <c r="Z27" s="4"/>
      <c r="AA27" s="4">
        <v>10.856</v>
      </c>
      <c r="AB27" s="16">
        <v>13.66</v>
      </c>
      <c r="AC27" s="16">
        <f>AB$34/AA27</f>
        <v>13.657885040530584</v>
      </c>
      <c r="AD27" s="4"/>
      <c r="AE27" s="4">
        <v>10.83</v>
      </c>
      <c r="AF27" s="16">
        <v>13.65</v>
      </c>
      <c r="AG27" s="16">
        <f>AF$34/AE27</f>
        <v>13.651892890120036</v>
      </c>
      <c r="AH27" s="4"/>
      <c r="AI27" s="4">
        <v>10.8516</v>
      </c>
      <c r="AJ27" s="16">
        <v>13.69</v>
      </c>
      <c r="AK27" s="16">
        <f>AJ$34/AI27</f>
        <v>13.690147075085703</v>
      </c>
      <c r="AL27" s="4"/>
      <c r="AM27" s="4">
        <v>10.7943</v>
      </c>
      <c r="AN27" s="16">
        <v>13.78</v>
      </c>
      <c r="AO27" s="16">
        <f>AN$34/AM27</f>
        <v>13.783200392799904</v>
      </c>
      <c r="AP27" s="4"/>
      <c r="AQ27" s="4">
        <v>10.7376</v>
      </c>
      <c r="AR27" s="16">
        <v>13.82</v>
      </c>
      <c r="AS27" s="16">
        <f>AR$34/AQ27</f>
        <v>13.823386976605573</v>
      </c>
      <c r="AT27" s="4"/>
      <c r="AU27" s="4">
        <v>10.806</v>
      </c>
      <c r="AV27" s="16">
        <v>13.71</v>
      </c>
      <c r="AW27" s="16">
        <f>AV$34/AU27</f>
        <v>13.709975939292987</v>
      </c>
      <c r="AX27" s="4"/>
      <c r="AY27" s="4">
        <v>10.6678</v>
      </c>
      <c r="AZ27" s="16">
        <v>13.85</v>
      </c>
      <c r="BA27" s="16">
        <f>AZ$34/AY27</f>
        <v>13.848216127036501</v>
      </c>
      <c r="BB27" s="4"/>
      <c r="BC27" s="4">
        <v>10.6246</v>
      </c>
      <c r="BD27" s="1">
        <v>13.88</v>
      </c>
      <c r="BE27" s="16">
        <f>BD$34/BC27</f>
        <v>13.87816953108823</v>
      </c>
      <c r="BF27" s="4"/>
      <c r="BG27" s="4">
        <v>10.5755</v>
      </c>
      <c r="BH27" s="16">
        <v>13.92</v>
      </c>
      <c r="BI27" s="16">
        <f>BH$34/BG27</f>
        <v>13.916126897073424</v>
      </c>
      <c r="BJ27" s="4"/>
      <c r="BK27" s="4">
        <v>10.7</v>
      </c>
      <c r="BL27" s="16">
        <v>13.78</v>
      </c>
      <c r="BM27" s="16">
        <f>BL$34/BK27</f>
        <v>13.777570093457944</v>
      </c>
      <c r="BN27" s="4"/>
      <c r="BO27" s="4">
        <v>10.68</v>
      </c>
      <c r="BP27" s="16">
        <v>13.78</v>
      </c>
      <c r="BQ27" s="16">
        <f>BP$34/BO27</f>
        <v>13.777153558052433</v>
      </c>
      <c r="BR27" s="4"/>
      <c r="BS27" s="4">
        <v>10.6657</v>
      </c>
      <c r="BT27" s="16">
        <v>13.8</v>
      </c>
      <c r="BU27" s="16">
        <f>BT$34/BS27</f>
        <v>13.80312590828544</v>
      </c>
      <c r="BV27" s="4"/>
      <c r="BW27" s="4">
        <v>10.604</v>
      </c>
      <c r="BX27" s="16">
        <v>13.81</v>
      </c>
      <c r="BY27" s="16">
        <f>BX$34/BW27</f>
        <v>13.807996982270842</v>
      </c>
      <c r="BZ27" s="4"/>
      <c r="CA27" s="4">
        <v>10.5918</v>
      </c>
      <c r="CB27" s="16">
        <v>13.82</v>
      </c>
      <c r="CC27" s="16">
        <f>CB$34/CA27</f>
        <v>13.817292622594838</v>
      </c>
      <c r="CD27" s="4"/>
      <c r="CE27" s="4">
        <v>10.592</v>
      </c>
      <c r="CF27" s="16">
        <v>13.8</v>
      </c>
      <c r="CG27" s="16">
        <f>CF$34/CE27</f>
        <v>13.798149546827794</v>
      </c>
      <c r="CH27" s="4"/>
      <c r="CI27" s="4">
        <v>10.5501</v>
      </c>
      <c r="CJ27" s="16">
        <v>13.78</v>
      </c>
      <c r="CK27" s="16">
        <f>CJ$34/CI27</f>
        <v>13.780912029269864</v>
      </c>
      <c r="CL27" s="4"/>
      <c r="CM27" s="4">
        <f t="shared" si="0"/>
        <v>10.759836363636362</v>
      </c>
      <c r="CN27" s="90">
        <f t="shared" si="1"/>
        <v>13.739999999999998</v>
      </c>
      <c r="CO27" s="90">
        <f t="shared" si="1"/>
        <v>13.739424176584562</v>
      </c>
      <c r="CP27" s="90"/>
      <c r="CQ27" s="21"/>
    </row>
    <row r="28" spans="1:95" ht="15.75">
      <c r="A28" s="63">
        <v>17</v>
      </c>
      <c r="B28" s="64" t="s">
        <v>54</v>
      </c>
      <c r="C28" s="43">
        <v>9.372</v>
      </c>
      <c r="D28" s="44">
        <v>15.89</v>
      </c>
      <c r="E28" s="44">
        <f>D$34/C28</f>
        <v>15.886683738796414</v>
      </c>
      <c r="F28" s="4"/>
      <c r="G28" s="4">
        <v>9.3582</v>
      </c>
      <c r="H28" s="4">
        <v>15.89</v>
      </c>
      <c r="I28" s="16">
        <f>H$34/G28</f>
        <v>15.894082195293967</v>
      </c>
      <c r="J28" s="4"/>
      <c r="K28" s="4">
        <v>9.3626</v>
      </c>
      <c r="L28" s="16">
        <v>15.9</v>
      </c>
      <c r="M28" s="16">
        <f>L$34/K28</f>
        <v>15.895157328092623</v>
      </c>
      <c r="N28" s="4"/>
      <c r="O28" s="4">
        <v>9.3861</v>
      </c>
      <c r="P28" s="16">
        <v>15.93</v>
      </c>
      <c r="Q28" s="16">
        <f>P$34/O28</f>
        <v>15.931004357507376</v>
      </c>
      <c r="R28" s="4"/>
      <c r="S28" s="4">
        <v>9.4152</v>
      </c>
      <c r="T28" s="16">
        <v>15.86</v>
      </c>
      <c r="U28" s="16">
        <f>T$34/S28</f>
        <v>15.857337071968733</v>
      </c>
      <c r="V28" s="4"/>
      <c r="W28" s="4">
        <v>9.3522</v>
      </c>
      <c r="X28" s="16">
        <v>15.86</v>
      </c>
      <c r="Y28" s="16">
        <f>X$34/W28</f>
        <v>15.859369987810354</v>
      </c>
      <c r="Z28" s="4"/>
      <c r="AA28" s="4">
        <v>9.2744</v>
      </c>
      <c r="AB28" s="16">
        <v>15.99</v>
      </c>
      <c r="AC28" s="16">
        <f>AB$34/AA28</f>
        <v>15.987018028120419</v>
      </c>
      <c r="AD28" s="4"/>
      <c r="AE28" s="4">
        <v>9.277</v>
      </c>
      <c r="AF28" s="16">
        <v>15.94</v>
      </c>
      <c r="AG28" s="16">
        <f>AF$34/AE28</f>
        <v>15.937264201789372</v>
      </c>
      <c r="AH28" s="4"/>
      <c r="AI28" s="4">
        <v>9.3294</v>
      </c>
      <c r="AJ28" s="16">
        <v>15.92</v>
      </c>
      <c r="AK28" s="16">
        <f>AJ$34/AI28</f>
        <v>15.92385362402727</v>
      </c>
      <c r="AL28" s="4"/>
      <c r="AM28" s="4">
        <v>9.314</v>
      </c>
      <c r="AN28" s="16">
        <v>15.97</v>
      </c>
      <c r="AO28" s="16">
        <f>AN$34/AM28</f>
        <v>15.973802877388877</v>
      </c>
      <c r="AP28" s="4"/>
      <c r="AQ28" s="4">
        <v>9.295</v>
      </c>
      <c r="AR28" s="16">
        <v>15.97</v>
      </c>
      <c r="AS28" s="16">
        <f>AR$34/AQ28</f>
        <v>15.968800430338893</v>
      </c>
      <c r="AT28" s="4"/>
      <c r="AU28" s="4">
        <v>9.3678</v>
      </c>
      <c r="AV28" s="16">
        <v>15.81</v>
      </c>
      <c r="AW28" s="16">
        <f>AV$34/AU28</f>
        <v>15.8148124426226</v>
      </c>
      <c r="AX28" s="4"/>
      <c r="AY28" s="4">
        <v>9.2676</v>
      </c>
      <c r="AZ28" s="16">
        <v>15.94</v>
      </c>
      <c r="BA28" s="16">
        <f>AZ$34/AY28</f>
        <v>15.940480814881953</v>
      </c>
      <c r="BB28" s="4"/>
      <c r="BC28" s="4">
        <v>9.1948</v>
      </c>
      <c r="BD28" s="16">
        <v>16.04</v>
      </c>
      <c r="BE28" s="16">
        <f>BD$34/BC28</f>
        <v>16.036237873580717</v>
      </c>
      <c r="BF28" s="4"/>
      <c r="BG28" s="4">
        <v>9.1432</v>
      </c>
      <c r="BH28" s="16">
        <v>16.1</v>
      </c>
      <c r="BI28" s="16">
        <f>BH$34/BG28</f>
        <v>16.096115145682035</v>
      </c>
      <c r="BJ28" s="4"/>
      <c r="BK28" s="4">
        <v>9.2018</v>
      </c>
      <c r="BL28" s="16">
        <v>16.02</v>
      </c>
      <c r="BM28" s="16">
        <f>BL$34/BK28</f>
        <v>16.020778543328476</v>
      </c>
      <c r="BN28" s="4"/>
      <c r="BO28" s="4">
        <v>9.1755</v>
      </c>
      <c r="BP28" s="16">
        <v>16.04</v>
      </c>
      <c r="BQ28" s="16">
        <f>BP$34/BO28</f>
        <v>16.036183314260803</v>
      </c>
      <c r="BR28" s="4"/>
      <c r="BS28" s="4">
        <v>9.1686</v>
      </c>
      <c r="BT28" s="16">
        <v>16.06</v>
      </c>
      <c r="BU28" s="16">
        <f>BT$34/BS28</f>
        <v>16.056977073926227</v>
      </c>
      <c r="BV28" s="4"/>
      <c r="BW28" s="4">
        <v>9.1139</v>
      </c>
      <c r="BX28" s="16">
        <v>16.07</v>
      </c>
      <c r="BY28" s="16">
        <f>BX$34/BW28</f>
        <v>16.065570173032402</v>
      </c>
      <c r="BZ28" s="4"/>
      <c r="CA28" s="4">
        <v>9.1264</v>
      </c>
      <c r="CB28" s="16">
        <v>16.04</v>
      </c>
      <c r="CC28" s="16">
        <f>CB$34/CA28</f>
        <v>16.035895862552593</v>
      </c>
      <c r="CD28" s="4"/>
      <c r="CE28" s="4">
        <v>9.1292</v>
      </c>
      <c r="CF28" s="16">
        <v>16.01</v>
      </c>
      <c r="CG28" s="16">
        <f>CF$34/CE28</f>
        <v>16.009069798010778</v>
      </c>
      <c r="CH28" s="4"/>
      <c r="CI28" s="4">
        <v>9.1175</v>
      </c>
      <c r="CJ28" s="16">
        <v>15.95</v>
      </c>
      <c r="CK28" s="16">
        <f>CJ$34/CI28</f>
        <v>15.946257197696736</v>
      </c>
      <c r="CL28" s="4"/>
      <c r="CM28" s="4">
        <f t="shared" si="0"/>
        <v>9.261018181818182</v>
      </c>
      <c r="CN28" s="90">
        <f aca="true" t="shared" si="2" ref="CN28:CO34">(D28+H28+L28+P28+T28+X28+AB28+AF28+AJ28+AN28+AR28+AV28+AZ28+BD28+BH28+BL28+BP28+BT28+BX28+CB28+CF28+CJ28)/22</f>
        <v>15.963636363636363</v>
      </c>
      <c r="CO28" s="90">
        <f t="shared" si="2"/>
        <v>15.962397821850441</v>
      </c>
      <c r="CP28" s="90"/>
      <c r="CQ28" s="21"/>
    </row>
    <row r="29" spans="1:95" ht="15.75">
      <c r="A29" s="63">
        <v>18</v>
      </c>
      <c r="B29" s="64" t="s">
        <v>55</v>
      </c>
      <c r="C29" s="43">
        <v>8.7936</v>
      </c>
      <c r="D29" s="44">
        <v>16.93</v>
      </c>
      <c r="E29" s="44">
        <f>D$34/C29</f>
        <v>16.93163209606987</v>
      </c>
      <c r="F29" s="4"/>
      <c r="G29" s="4">
        <v>8.7635</v>
      </c>
      <c r="H29" s="4">
        <v>16.97</v>
      </c>
      <c r="I29" s="16">
        <f>H$34/G29</f>
        <v>16.97267073657785</v>
      </c>
      <c r="J29" s="4"/>
      <c r="K29" s="4">
        <v>8.794</v>
      </c>
      <c r="L29" s="16">
        <v>16.92</v>
      </c>
      <c r="M29" s="16">
        <f>L$34/K29</f>
        <v>16.922901978621788</v>
      </c>
      <c r="N29" s="4"/>
      <c r="O29" s="4">
        <v>8.8316</v>
      </c>
      <c r="P29" s="16">
        <v>16.93</v>
      </c>
      <c r="Q29" s="16">
        <f>P$34/O29</f>
        <v>16.93124688618144</v>
      </c>
      <c r="R29" s="4"/>
      <c r="S29" s="4">
        <v>8.8406</v>
      </c>
      <c r="T29" s="16">
        <v>16.89</v>
      </c>
      <c r="U29" s="16">
        <f>T$34/S29</f>
        <v>16.88799402755469</v>
      </c>
      <c r="V29" s="4"/>
      <c r="W29" s="4">
        <v>8.779</v>
      </c>
      <c r="X29" s="16">
        <v>16.89</v>
      </c>
      <c r="Y29" s="16">
        <f>X$34/W29</f>
        <v>16.89486274063105</v>
      </c>
      <c r="Z29" s="4"/>
      <c r="AA29" s="4">
        <v>8.7049</v>
      </c>
      <c r="AB29" s="16">
        <v>17.03</v>
      </c>
      <c r="AC29" s="16">
        <f>AB$34/AA29</f>
        <v>17.032935473124333</v>
      </c>
      <c r="AD29" s="4"/>
      <c r="AE29" s="4">
        <v>8.641</v>
      </c>
      <c r="AF29" s="16">
        <v>17.11</v>
      </c>
      <c r="AG29" s="16">
        <f>AF$34/AE29</f>
        <v>17.110288161092466</v>
      </c>
      <c r="AH29" s="4"/>
      <c r="AI29" s="4">
        <v>8.707</v>
      </c>
      <c r="AJ29" s="16">
        <v>17.06</v>
      </c>
      <c r="AK29" s="16">
        <f>AJ$34/AI29</f>
        <v>17.06213391524061</v>
      </c>
      <c r="AL29" s="4"/>
      <c r="AM29" s="4">
        <v>8.7069</v>
      </c>
      <c r="AN29" s="16">
        <v>17.09</v>
      </c>
      <c r="AO29" s="16">
        <f>AN$34/AM29</f>
        <v>17.087597193030817</v>
      </c>
      <c r="AP29" s="4"/>
      <c r="AQ29" s="4">
        <v>8.6829</v>
      </c>
      <c r="AR29" s="16">
        <v>17.09</v>
      </c>
      <c r="AS29" s="16">
        <f>AR$34/AQ29</f>
        <v>17.094519112278157</v>
      </c>
      <c r="AT29" s="4"/>
      <c r="AU29" s="4">
        <v>8.7323</v>
      </c>
      <c r="AV29" s="16">
        <v>16.97</v>
      </c>
      <c r="AW29" s="16">
        <f>AV$34/AU29</f>
        <v>16.96574785566231</v>
      </c>
      <c r="AX29" s="4"/>
      <c r="AY29" s="4">
        <v>8.6208</v>
      </c>
      <c r="AZ29" s="16">
        <v>17.14</v>
      </c>
      <c r="BA29" s="16">
        <f>AZ$34/AY29</f>
        <v>17.136460653303637</v>
      </c>
      <c r="BB29" s="4"/>
      <c r="BC29" s="4">
        <v>8.5532</v>
      </c>
      <c r="BD29" s="16">
        <v>17.24</v>
      </c>
      <c r="BE29" s="16">
        <f>BD$34/BC29</f>
        <v>17.239161951082632</v>
      </c>
      <c r="BF29" s="4"/>
      <c r="BG29" s="4">
        <v>8.5075</v>
      </c>
      <c r="BH29" s="16">
        <v>17.3</v>
      </c>
      <c r="BI29" s="16">
        <f>BH$34/BG29</f>
        <v>17.298853952394943</v>
      </c>
      <c r="BJ29" s="4"/>
      <c r="BK29" s="4">
        <v>8.5735</v>
      </c>
      <c r="BL29" s="16">
        <v>17.19</v>
      </c>
      <c r="BM29" s="16">
        <f>BL$34/BK29</f>
        <v>17.194844579226686</v>
      </c>
      <c r="BN29" s="4"/>
      <c r="BO29" s="4">
        <v>8.5434</v>
      </c>
      <c r="BP29" s="16">
        <v>17.22</v>
      </c>
      <c r="BQ29" s="16">
        <f>BP$34/BO29</f>
        <v>17.222651403422525</v>
      </c>
      <c r="BR29" s="4"/>
      <c r="BS29" s="4">
        <v>8.5196</v>
      </c>
      <c r="BT29" s="16">
        <v>17.28</v>
      </c>
      <c r="BU29" s="16">
        <f>BT$34/BS29</f>
        <v>17.280153997840273</v>
      </c>
      <c r="BV29" s="4"/>
      <c r="BW29" s="4">
        <v>8.4769</v>
      </c>
      <c r="BX29" s="16">
        <v>17.27</v>
      </c>
      <c r="BY29" s="16">
        <f>BX$34/BW29</f>
        <v>17.27282379171631</v>
      </c>
      <c r="BZ29" s="4"/>
      <c r="CA29" s="4">
        <v>8.5089</v>
      </c>
      <c r="CB29" s="16">
        <v>17.2</v>
      </c>
      <c r="CC29" s="16">
        <f>CB$34/CA29</f>
        <v>17.199638026066822</v>
      </c>
      <c r="CD29" s="4"/>
      <c r="CE29" s="4">
        <v>8.5097</v>
      </c>
      <c r="CF29" s="16">
        <v>17.17</v>
      </c>
      <c r="CG29" s="16">
        <f>CF$34/CE29</f>
        <v>17.174518490663594</v>
      </c>
      <c r="CH29" s="4"/>
      <c r="CI29" s="4">
        <v>8.5025</v>
      </c>
      <c r="CJ29" s="16">
        <v>17.1</v>
      </c>
      <c r="CK29" s="16">
        <f>CJ$34/CI29</f>
        <v>17.099676565715967</v>
      </c>
      <c r="CL29" s="4"/>
      <c r="CM29" s="4">
        <f t="shared" si="0"/>
        <v>8.649695454545455</v>
      </c>
      <c r="CN29" s="90">
        <f t="shared" si="2"/>
        <v>17.090454545454545</v>
      </c>
      <c r="CO29" s="90">
        <f t="shared" si="2"/>
        <v>17.091514253977216</v>
      </c>
      <c r="CP29" s="90"/>
      <c r="CQ29" s="21"/>
    </row>
    <row r="30" spans="1:95" ht="15.75">
      <c r="A30" s="63">
        <v>19</v>
      </c>
      <c r="B30" s="64" t="s">
        <v>56</v>
      </c>
      <c r="C30" s="43">
        <v>7.0264</v>
      </c>
      <c r="D30" s="44">
        <v>21.19</v>
      </c>
      <c r="E30" s="44">
        <f>D$34/C30</f>
        <v>21.19008311510873</v>
      </c>
      <c r="F30" s="4"/>
      <c r="G30" s="4">
        <v>6.9999</v>
      </c>
      <c r="H30" s="4">
        <v>21.25</v>
      </c>
      <c r="I30" s="16">
        <f>H$34/G30</f>
        <v>21.248874983928342</v>
      </c>
      <c r="J30" s="4"/>
      <c r="K30" s="4">
        <v>7.028</v>
      </c>
      <c r="L30" s="16">
        <v>21.18</v>
      </c>
      <c r="M30" s="16">
        <f>L$34/K30</f>
        <v>21.175298804780876</v>
      </c>
      <c r="N30" s="4"/>
      <c r="O30" s="4">
        <v>7.0589</v>
      </c>
      <c r="P30" s="16">
        <v>21.18</v>
      </c>
      <c r="Q30" s="16">
        <f>P$34/O30</f>
        <v>21.18318718213886</v>
      </c>
      <c r="R30" s="4"/>
      <c r="S30" s="4">
        <v>7.0682</v>
      </c>
      <c r="T30" s="16">
        <v>21.12</v>
      </c>
      <c r="U30" s="16">
        <f>T$34/S30</f>
        <v>21.122775246880394</v>
      </c>
      <c r="V30" s="4"/>
      <c r="W30" s="4">
        <v>7.014</v>
      </c>
      <c r="X30" s="16">
        <v>21.15</v>
      </c>
      <c r="Y30" s="16">
        <f>X$34/W30</f>
        <v>21.146278870829768</v>
      </c>
      <c r="Z30" s="4"/>
      <c r="AA30" s="4">
        <v>6.9549</v>
      </c>
      <c r="AB30" s="16">
        <v>21.32</v>
      </c>
      <c r="AC30" s="16">
        <f>AB$34/AA30</f>
        <v>21.318782441156596</v>
      </c>
      <c r="AD30" s="4"/>
      <c r="AE30" s="4">
        <v>6.9088</v>
      </c>
      <c r="AF30" s="16">
        <v>21.4</v>
      </c>
      <c r="AG30" s="16">
        <f>AF$34/AE30</f>
        <v>21.400243168133393</v>
      </c>
      <c r="AH30" s="4"/>
      <c r="AI30" s="4">
        <v>6.9581</v>
      </c>
      <c r="AJ30" s="16">
        <v>21.35</v>
      </c>
      <c r="AK30" s="16">
        <f>AJ$34/AI30</f>
        <v>21.35065606990414</v>
      </c>
      <c r="AL30" s="4"/>
      <c r="AM30" s="4">
        <v>6.959</v>
      </c>
      <c r="AN30" s="16">
        <v>21.38</v>
      </c>
      <c r="AO30" s="16">
        <f>AN$34/AM30</f>
        <v>21.379508550079034</v>
      </c>
      <c r="AP30" s="4"/>
      <c r="AQ30" s="4">
        <v>6.9395</v>
      </c>
      <c r="AR30" s="16">
        <v>21.39</v>
      </c>
      <c r="AS30" s="16">
        <f>AR$34/AQ30</f>
        <v>21.38914907414079</v>
      </c>
      <c r="AT30" s="4"/>
      <c r="AU30" s="4">
        <v>6.9769</v>
      </c>
      <c r="AV30" s="16">
        <v>21.23</v>
      </c>
      <c r="AW30" s="16">
        <f>AV$34/AU30</f>
        <v>21.23435909931345</v>
      </c>
      <c r="AX30" s="4"/>
      <c r="AY30" s="4">
        <v>6.8872</v>
      </c>
      <c r="AZ30" s="16">
        <v>21.45</v>
      </c>
      <c r="BA30" s="16">
        <f>AZ$34/AY30</f>
        <v>21.449936113369727</v>
      </c>
      <c r="BB30" s="4"/>
      <c r="BC30" s="4">
        <v>6.8334</v>
      </c>
      <c r="BD30" s="16">
        <v>21.58</v>
      </c>
      <c r="BE30" s="16">
        <f>BD$34/BC30</f>
        <v>21.577838264992536</v>
      </c>
      <c r="BF30" s="4"/>
      <c r="BG30" s="4">
        <v>6.7912</v>
      </c>
      <c r="BH30" s="16">
        <v>21.67</v>
      </c>
      <c r="BI30" s="16">
        <f>BH$34/BG30</f>
        <v>21.67069148309577</v>
      </c>
      <c r="BJ30" s="4"/>
      <c r="BK30" s="4">
        <v>6.846</v>
      </c>
      <c r="BL30" s="16">
        <v>21.53</v>
      </c>
      <c r="BM30" s="16">
        <f>BL$34/BK30</f>
        <v>21.53374233128834</v>
      </c>
      <c r="BN30" s="4"/>
      <c r="BO30" s="4">
        <v>6.8279</v>
      </c>
      <c r="BP30" s="16">
        <v>21.55</v>
      </c>
      <c r="BQ30" s="16">
        <f>BP$34/BO30</f>
        <v>21.549817659895428</v>
      </c>
      <c r="BR30" s="4"/>
      <c r="BS30" s="4">
        <v>6.806</v>
      </c>
      <c r="BT30" s="16">
        <v>21.63</v>
      </c>
      <c r="BU30" s="16">
        <f>BT$34/BS30</f>
        <v>21.63091389950044</v>
      </c>
      <c r="BV30" s="4"/>
      <c r="BW30" s="4">
        <v>6.7727</v>
      </c>
      <c r="BX30" s="16">
        <v>21.62</v>
      </c>
      <c r="BY30" s="16">
        <f>BX$34/BW30</f>
        <v>21.619147459654197</v>
      </c>
      <c r="BZ30" s="4"/>
      <c r="CA30" s="4">
        <v>6.7975</v>
      </c>
      <c r="CB30" s="16">
        <v>21.53</v>
      </c>
      <c r="CC30" s="16">
        <f>CB$34/CA30</f>
        <v>21.529974255240894</v>
      </c>
      <c r="CD30" s="4"/>
      <c r="CE30" s="4">
        <v>6.7982</v>
      </c>
      <c r="CF30" s="16">
        <v>21.5</v>
      </c>
      <c r="CG30" s="16">
        <f>CF$34/CE30</f>
        <v>21.498337795298756</v>
      </c>
      <c r="CH30" s="4"/>
      <c r="CI30" s="4">
        <v>6.792</v>
      </c>
      <c r="CJ30" s="16">
        <v>21.41</v>
      </c>
      <c r="CK30" s="16">
        <f>CJ$34/CI30</f>
        <v>21.406065959952883</v>
      </c>
      <c r="CL30" s="4"/>
      <c r="CM30" s="4">
        <f t="shared" si="0"/>
        <v>6.911122727272727</v>
      </c>
      <c r="CN30" s="90">
        <f t="shared" si="2"/>
        <v>21.39136363636364</v>
      </c>
      <c r="CO30" s="90">
        <f t="shared" si="2"/>
        <v>21.391166446758337</v>
      </c>
      <c r="CP30" s="90"/>
      <c r="CQ30" s="21"/>
    </row>
    <row r="31" spans="1:95" ht="15.75">
      <c r="A31" s="63">
        <v>20</v>
      </c>
      <c r="B31" s="64" t="s">
        <v>57</v>
      </c>
      <c r="C31" s="43">
        <v>236.9203</v>
      </c>
      <c r="D31" s="44">
        <v>62.84</v>
      </c>
      <c r="E31" s="44">
        <f>D$34/C31*100</f>
        <v>62.843918397874724</v>
      </c>
      <c r="F31" s="4"/>
      <c r="G31" s="4">
        <v>236.0278</v>
      </c>
      <c r="H31" s="4">
        <v>63.02</v>
      </c>
      <c r="I31" s="16">
        <f>H$34/G31*100</f>
        <v>63.01800042198419</v>
      </c>
      <c r="J31" s="4"/>
      <c r="K31" s="4">
        <v>236.9764</v>
      </c>
      <c r="L31" s="16">
        <v>62.8</v>
      </c>
      <c r="M31" s="16">
        <f>L$34/K31*100</f>
        <v>62.79950239770711</v>
      </c>
      <c r="N31" s="4"/>
      <c r="O31" s="4">
        <v>238.0173</v>
      </c>
      <c r="P31" s="16">
        <v>62.82</v>
      </c>
      <c r="Q31" s="16">
        <f>P$34/O31*100</f>
        <v>62.823164534678774</v>
      </c>
      <c r="R31" s="4"/>
      <c r="S31" s="4">
        <v>238.3286</v>
      </c>
      <c r="T31" s="16">
        <v>62.65</v>
      </c>
      <c r="U31" s="16">
        <f>T$34/S31*100</f>
        <v>62.6446007738895</v>
      </c>
      <c r="V31" s="4"/>
      <c r="W31" s="4">
        <v>236.5011</v>
      </c>
      <c r="X31" s="16">
        <v>62.71</v>
      </c>
      <c r="Y31" s="16">
        <f>X$34/W31*100</f>
        <v>62.71429604344334</v>
      </c>
      <c r="Z31" s="4"/>
      <c r="AA31" s="4">
        <v>234.5093</v>
      </c>
      <c r="AB31" s="16">
        <v>63.23</v>
      </c>
      <c r="AC31" s="16">
        <f>AB$34/AA31*100</f>
        <v>63.225637533351566</v>
      </c>
      <c r="AD31" s="4"/>
      <c r="AE31" s="4">
        <v>232.9561</v>
      </c>
      <c r="AF31" s="16">
        <v>63.47</v>
      </c>
      <c r="AG31" s="16">
        <f>AF$34/AE31*100</f>
        <v>63.466893547754275</v>
      </c>
      <c r="AH31" s="4"/>
      <c r="AI31" s="4">
        <v>243.6191</v>
      </c>
      <c r="AJ31" s="16">
        <v>63.32</v>
      </c>
      <c r="AK31" s="16">
        <f>AJ$34/AI31*100</f>
        <v>60.98044036777084</v>
      </c>
      <c r="AL31" s="4"/>
      <c r="AM31" s="4">
        <v>234.6465</v>
      </c>
      <c r="AN31" s="16">
        <v>63.41</v>
      </c>
      <c r="AO31" s="16">
        <f>AN$34/AM31*100</f>
        <v>63.40601713641584</v>
      </c>
      <c r="AP31" s="4"/>
      <c r="AQ31" s="4">
        <v>233.9893</v>
      </c>
      <c r="AR31" s="16">
        <v>63.43</v>
      </c>
      <c r="AS31" s="16">
        <f>AR$34/AQ31*100</f>
        <v>63.4345245701406</v>
      </c>
      <c r="AT31" s="4"/>
      <c r="AU31" s="4">
        <v>235.2523</v>
      </c>
      <c r="AV31" s="16">
        <v>62.97</v>
      </c>
      <c r="AW31" s="16">
        <f>AV$34/AU31*100</f>
        <v>62.97494222160635</v>
      </c>
      <c r="AX31" s="4"/>
      <c r="AY31" s="4">
        <v>232.2275</v>
      </c>
      <c r="AZ31" s="16">
        <v>63.61</v>
      </c>
      <c r="BA31" s="16">
        <f>AZ$34/AY31*100</f>
        <v>63.61434369314573</v>
      </c>
      <c r="BB31" s="4"/>
      <c r="BC31" s="4">
        <v>230.4126</v>
      </c>
      <c r="BD31" s="16">
        <v>63.99</v>
      </c>
      <c r="BE31" s="16">
        <f>BD$34/BC31*100</f>
        <v>63.99389616713669</v>
      </c>
      <c r="BF31" s="4"/>
      <c r="BG31" s="4">
        <v>228.9914</v>
      </c>
      <c r="BH31" s="16">
        <v>64.27</v>
      </c>
      <c r="BI31" s="16">
        <f>BH$34/BG31*100</f>
        <v>64.2687891335657</v>
      </c>
      <c r="BJ31" s="4"/>
      <c r="BK31" s="4">
        <v>230.8371</v>
      </c>
      <c r="BL31" s="16">
        <v>63.86</v>
      </c>
      <c r="BM31" s="16">
        <f>BL$34/BK31*100</f>
        <v>63.86321782763689</v>
      </c>
      <c r="BN31" s="4"/>
      <c r="BO31" s="4">
        <v>230.2274</v>
      </c>
      <c r="BP31" s="16">
        <v>63.91</v>
      </c>
      <c r="BQ31" s="16">
        <f>BP$34/BO31*100</f>
        <v>63.910724787753324</v>
      </c>
      <c r="BR31" s="4"/>
      <c r="BS31" s="4">
        <v>229.4895</v>
      </c>
      <c r="BT31" s="16">
        <v>64.15</v>
      </c>
      <c r="BU31" s="16">
        <f>BT$34/BS31*100</f>
        <v>64.15108316502499</v>
      </c>
      <c r="BV31" s="4"/>
      <c r="BW31" s="4">
        <v>228.3654</v>
      </c>
      <c r="BX31" s="16">
        <v>64.11</v>
      </c>
      <c r="BY31" s="16">
        <f>BX$34/BW31*100</f>
        <v>64.11654304899078</v>
      </c>
      <c r="BZ31" s="4"/>
      <c r="CA31" s="4">
        <v>229.2009</v>
      </c>
      <c r="CB31" s="16">
        <v>63.85</v>
      </c>
      <c r="CC31" s="16">
        <f>CB$34/CA31*100</f>
        <v>63.852279812164795</v>
      </c>
      <c r="CD31" s="4"/>
      <c r="CE31" s="4">
        <v>229.2271</v>
      </c>
      <c r="CF31" s="16">
        <v>63.76</v>
      </c>
      <c r="CG31" s="16">
        <f>CF$34/CE31*100</f>
        <v>63.75773196101159</v>
      </c>
      <c r="CH31" s="4"/>
      <c r="CI31" s="4">
        <v>229.0176</v>
      </c>
      <c r="CJ31" s="16">
        <v>63.49</v>
      </c>
      <c r="CK31" s="16">
        <f>CJ$34/CI31*100</f>
        <v>63.4842038341158</v>
      </c>
      <c r="CL31" s="4"/>
      <c r="CM31" s="4">
        <f t="shared" si="0"/>
        <v>233.4427545454545</v>
      </c>
      <c r="CN31" s="90">
        <f t="shared" si="2"/>
        <v>63.439545454545446</v>
      </c>
      <c r="CO31" s="90">
        <f t="shared" si="2"/>
        <v>63.33385233532561</v>
      </c>
      <c r="CP31" s="90"/>
      <c r="CQ31" s="21"/>
    </row>
    <row r="32" spans="1:95" ht="15.75">
      <c r="A32" s="63">
        <v>21</v>
      </c>
      <c r="B32" s="64" t="s">
        <v>58</v>
      </c>
      <c r="C32" s="43">
        <f>1/1.24584</f>
        <v>0.8026712900532973</v>
      </c>
      <c r="D32" s="44">
        <v>185.49</v>
      </c>
      <c r="E32" s="44">
        <f>D$34/C32</f>
        <v>185.4931176</v>
      </c>
      <c r="F32" s="4"/>
      <c r="G32" s="4">
        <f>1/1.24544</f>
        <v>0.802929085303186</v>
      </c>
      <c r="H32" s="16">
        <v>185.25</v>
      </c>
      <c r="I32" s="44">
        <f>H$34/G32</f>
        <v>185.24674560000003</v>
      </c>
      <c r="J32" s="4"/>
      <c r="K32" s="4">
        <f>1/1.24544</f>
        <v>0.802929085303186</v>
      </c>
      <c r="L32" s="16">
        <v>185.35</v>
      </c>
      <c r="M32" s="44">
        <f>L$34/K32</f>
        <v>185.3463808</v>
      </c>
      <c r="N32" s="4"/>
      <c r="O32" s="4">
        <f>1/1.24134</f>
        <v>0.8055810656226335</v>
      </c>
      <c r="P32" s="16">
        <v>185.62</v>
      </c>
      <c r="Q32" s="44">
        <f>P$34/O32</f>
        <v>185.61757020000002</v>
      </c>
      <c r="R32" s="4"/>
      <c r="S32" s="4">
        <f>1/1.23916</f>
        <v>0.8069982891636269</v>
      </c>
      <c r="T32" s="16">
        <v>185.01</v>
      </c>
      <c r="U32" s="44">
        <f>T$34/S32</f>
        <v>185.00658800000002</v>
      </c>
      <c r="V32" s="4"/>
      <c r="W32" s="4">
        <f>1/1.23916</f>
        <v>0.8069982891636269</v>
      </c>
      <c r="X32" s="16">
        <v>183.79</v>
      </c>
      <c r="Y32" s="44">
        <f>X$34/W32</f>
        <v>183.7922112</v>
      </c>
      <c r="Z32" s="4"/>
      <c r="AA32" s="4">
        <f>1/1.2467</f>
        <v>0.8021175904387584</v>
      </c>
      <c r="AB32" s="16">
        <v>184.85</v>
      </c>
      <c r="AC32" s="44">
        <f>AB$34/AA32</f>
        <v>184.848209</v>
      </c>
      <c r="AD32" s="4"/>
      <c r="AE32" s="4">
        <f>1/1.25157</f>
        <v>0.7989964604456802</v>
      </c>
      <c r="AF32" s="16">
        <f>185.05</f>
        <v>185.05</v>
      </c>
      <c r="AG32" s="44">
        <f>AF$34/AE32</f>
        <v>185.0446245</v>
      </c>
      <c r="AH32" s="4"/>
      <c r="AI32" s="4">
        <f>1/1.24584</f>
        <v>0.8026712900532973</v>
      </c>
      <c r="AJ32" s="16">
        <v>185.08</v>
      </c>
      <c r="AK32" s="44">
        <f>AJ$34/AI32</f>
        <v>185.08199040000002</v>
      </c>
      <c r="AL32" s="4"/>
      <c r="AM32" s="4">
        <f>1/1.24859</f>
        <v>0.8009034190566959</v>
      </c>
      <c r="AN32" s="16">
        <v>185.76</v>
      </c>
      <c r="AO32" s="44">
        <f>AN$34/AM32</f>
        <v>185.76522020000002</v>
      </c>
      <c r="AP32" s="4"/>
      <c r="AQ32" s="4">
        <f>1/1.24754</f>
        <v>0.8015775045289129</v>
      </c>
      <c r="AR32" s="16">
        <v>185.17</v>
      </c>
      <c r="AS32" s="44">
        <f>AR$34/AQ32</f>
        <v>185.1723622</v>
      </c>
      <c r="AT32" s="4"/>
      <c r="AU32" s="4">
        <f>1/1.24511</f>
        <v>0.8031418910778968</v>
      </c>
      <c r="AV32" s="16">
        <v>184.46</v>
      </c>
      <c r="AW32" s="44">
        <f>AV$34/AU32</f>
        <v>184.4630465</v>
      </c>
      <c r="AX32" s="4"/>
      <c r="AY32" s="4">
        <f>1/1.25137</f>
        <v>0.7991241599207268</v>
      </c>
      <c r="AZ32" s="16">
        <v>184.87</v>
      </c>
      <c r="BA32" s="44">
        <f>AZ$34/AY32</f>
        <v>184.8648901</v>
      </c>
      <c r="BB32" s="4"/>
      <c r="BC32" s="4">
        <f>1/1.25867</f>
        <v>0.7944894213733544</v>
      </c>
      <c r="BD32" s="16">
        <v>185.59</v>
      </c>
      <c r="BE32" s="44">
        <f>BD$34/BC32</f>
        <v>185.59089149999997</v>
      </c>
      <c r="BF32" s="4"/>
      <c r="BG32" s="4">
        <f>1/1.26037</f>
        <v>0.7934178058823996</v>
      </c>
      <c r="BH32" s="16">
        <v>185.49</v>
      </c>
      <c r="BI32" s="44">
        <f>BH$34/BG32</f>
        <v>185.48865289999998</v>
      </c>
      <c r="BJ32" s="4"/>
      <c r="BK32" s="4">
        <f>1/1.25699</f>
        <v>0.7955512772575756</v>
      </c>
      <c r="BL32" s="16">
        <v>185.3</v>
      </c>
      <c r="BM32" s="44">
        <f>BL$34/BK32</f>
        <v>185.3054658</v>
      </c>
      <c r="BN32" s="4"/>
      <c r="BO32" s="4">
        <f>1/1.25701</f>
        <v>0.7955386194222799</v>
      </c>
      <c r="BP32" s="16">
        <v>184.96</v>
      </c>
      <c r="BQ32" s="44">
        <f>BP$34/BO32</f>
        <v>184.95645139999996</v>
      </c>
      <c r="BR32" s="4"/>
      <c r="BS32" s="4">
        <f>1/1.25928</f>
        <v>0.7941045676894734</v>
      </c>
      <c r="BT32" s="16">
        <v>185.39</v>
      </c>
      <c r="BU32" s="44">
        <f>BT$34/BS32</f>
        <v>185.3912016</v>
      </c>
      <c r="BV32" s="4"/>
      <c r="BW32" s="4">
        <f>1/1.25928</f>
        <v>0.7941045676894734</v>
      </c>
      <c r="BX32" s="16">
        <v>184.38</v>
      </c>
      <c r="BY32" s="44">
        <f>BX$34/BW32</f>
        <v>184.38377759999997</v>
      </c>
      <c r="BZ32" s="4"/>
      <c r="CA32" s="4">
        <f>1/1.25928</f>
        <v>0.7941045676894734</v>
      </c>
      <c r="CB32" s="16">
        <v>184.3</v>
      </c>
      <c r="CC32" s="44">
        <f>CB$34/CA32</f>
        <v>184.295628</v>
      </c>
      <c r="CD32" s="4"/>
      <c r="CE32" s="4">
        <f>1/1.25753</f>
        <v>0.7952096570260749</v>
      </c>
      <c r="CF32" s="16">
        <v>183.79</v>
      </c>
      <c r="CG32" s="44">
        <f>CF$34/CE32</f>
        <v>183.78800950000002</v>
      </c>
      <c r="CH32" s="4"/>
      <c r="CI32" s="4">
        <f>1/1.25874</f>
        <v>0.7944452388896833</v>
      </c>
      <c r="CJ32" s="16">
        <v>183.01</v>
      </c>
      <c r="CK32" s="44">
        <f>CJ$34/CI32</f>
        <v>183.0082086</v>
      </c>
      <c r="CL32" s="4"/>
      <c r="CM32" s="4">
        <f t="shared" si="0"/>
        <v>0.799436597411423</v>
      </c>
      <c r="CN32" s="90">
        <f t="shared" si="2"/>
        <v>184.90727272727273</v>
      </c>
      <c r="CO32" s="90">
        <f t="shared" si="2"/>
        <v>184.9068746909091</v>
      </c>
      <c r="CP32" s="90"/>
      <c r="CQ32" s="21"/>
    </row>
    <row r="33" spans="1:95" ht="15.75">
      <c r="A33" s="63">
        <v>22</v>
      </c>
      <c r="B33" s="64" t="s">
        <v>59</v>
      </c>
      <c r="C33" s="43">
        <v>402.6826</v>
      </c>
      <c r="D33" s="44">
        <v>36.97</v>
      </c>
      <c r="E33" s="44">
        <f>D$34/C33*100</f>
        <v>36.97453031245949</v>
      </c>
      <c r="F33" s="4">
        <v>37.04</v>
      </c>
      <c r="G33" s="4">
        <v>401.1655</v>
      </c>
      <c r="H33" s="16">
        <v>37.08</v>
      </c>
      <c r="I33" s="16">
        <f>H$34/G33*100</f>
        <v>37.07696698744034</v>
      </c>
      <c r="J33" s="4">
        <v>37</v>
      </c>
      <c r="K33" s="4">
        <v>402.7778</v>
      </c>
      <c r="L33" s="16">
        <v>36.95</v>
      </c>
      <c r="M33" s="16">
        <f>L$34/K33*100</f>
        <v>36.94841175457038</v>
      </c>
      <c r="N33" s="4">
        <v>37</v>
      </c>
      <c r="O33" s="4">
        <v>404.5471</v>
      </c>
      <c r="P33" s="16">
        <v>36.96</v>
      </c>
      <c r="Q33" s="16">
        <f>P$34/O33*100</f>
        <v>36.96232156898418</v>
      </c>
      <c r="R33" s="4">
        <v>36.92</v>
      </c>
      <c r="S33" s="4">
        <v>405.0761</v>
      </c>
      <c r="T33" s="16">
        <v>36.86</v>
      </c>
      <c r="U33" s="16">
        <f>T$34/S33*100</f>
        <v>36.85727200395185</v>
      </c>
      <c r="V33" s="4">
        <v>36.8</v>
      </c>
      <c r="W33" s="4">
        <v>401.97</v>
      </c>
      <c r="X33" s="16">
        <v>36.9</v>
      </c>
      <c r="Y33" s="16">
        <f>X$34/W33*100</f>
        <v>36.898275990745574</v>
      </c>
      <c r="Z33" s="4">
        <v>36.88</v>
      </c>
      <c r="AA33" s="4">
        <v>398.5846</v>
      </c>
      <c r="AB33" s="16">
        <v>37.2</v>
      </c>
      <c r="AC33" s="16">
        <f>AB$34/AA33*100</f>
        <v>37.19912911838541</v>
      </c>
      <c r="AD33" s="4">
        <v>36.97</v>
      </c>
      <c r="AE33" s="4">
        <v>395.9447</v>
      </c>
      <c r="AF33" s="16">
        <v>37.34</v>
      </c>
      <c r="AG33" s="16">
        <f>AF$34/AE33*100</f>
        <v>37.341073134707955</v>
      </c>
      <c r="AH33" s="4">
        <v>37.14</v>
      </c>
      <c r="AI33" s="4">
        <v>398.7712</v>
      </c>
      <c r="AJ33" s="16">
        <v>37.25</v>
      </c>
      <c r="AK33" s="16">
        <f>AJ$34/AI33*100</f>
        <v>37.25444565705848</v>
      </c>
      <c r="AL33" s="4">
        <v>37.1</v>
      </c>
      <c r="AM33" s="4">
        <v>398.8179</v>
      </c>
      <c r="AN33" s="16">
        <v>37.3</v>
      </c>
      <c r="AO33" s="16">
        <f>AN$34/AM33*100</f>
        <v>37.305246329214405</v>
      </c>
      <c r="AP33" s="4">
        <v>37.02</v>
      </c>
      <c r="AQ33" s="4">
        <v>397.7007</v>
      </c>
      <c r="AR33" s="16">
        <v>37.32</v>
      </c>
      <c r="AS33" s="16">
        <f>AR$34/AQ33*100</f>
        <v>37.322036395711656</v>
      </c>
      <c r="AT33" s="4">
        <v>37.1</v>
      </c>
      <c r="AU33" s="23">
        <v>399.8475</v>
      </c>
      <c r="AV33" s="16">
        <v>37.05</v>
      </c>
      <c r="AW33" s="16">
        <f>AV$34/AU33*100</f>
        <v>37.05162593238672</v>
      </c>
      <c r="AX33" s="4">
        <v>37.05</v>
      </c>
      <c r="AY33" s="4">
        <v>394.7064</v>
      </c>
      <c r="AZ33" s="16">
        <v>37.43</v>
      </c>
      <c r="BA33" s="16">
        <f>AZ$34/AY33*100</f>
        <v>37.427819766793746</v>
      </c>
      <c r="BB33" s="4">
        <v>37.15</v>
      </c>
      <c r="BC33" s="4">
        <v>391.6217</v>
      </c>
      <c r="BD33" s="16">
        <v>37.65</v>
      </c>
      <c r="BE33" s="16">
        <f>BD$34/BC33*100</f>
        <v>37.65113118093303</v>
      </c>
      <c r="BF33" s="4">
        <v>37.43</v>
      </c>
      <c r="BG33" s="4">
        <v>389.2062</v>
      </c>
      <c r="BH33" s="16">
        <v>37.81</v>
      </c>
      <c r="BI33" s="16">
        <f>BH$34/BG33*100</f>
        <v>37.812861151749374</v>
      </c>
      <c r="BJ33" s="4">
        <v>37.44</v>
      </c>
      <c r="BK33" s="4">
        <v>392.3431</v>
      </c>
      <c r="BL33" s="16">
        <v>37.57</v>
      </c>
      <c r="BM33" s="16">
        <f>BL$34/BK33*100</f>
        <v>37.574255798050224</v>
      </c>
      <c r="BN33" s="4">
        <v>37.3</v>
      </c>
      <c r="BO33" s="4">
        <v>391.3068</v>
      </c>
      <c r="BP33" s="16">
        <v>37.6</v>
      </c>
      <c r="BQ33" s="16">
        <f>BP$34/BO33*100</f>
        <v>37.60220880393594</v>
      </c>
      <c r="BR33" s="4">
        <v>37.34</v>
      </c>
      <c r="BS33" s="4">
        <v>390.0527</v>
      </c>
      <c r="BT33" s="16">
        <v>37.74</v>
      </c>
      <c r="BU33" s="16">
        <f>BT$34/BS33*100</f>
        <v>37.743617721400206</v>
      </c>
      <c r="BV33" s="4">
        <v>37.4</v>
      </c>
      <c r="BW33" s="4">
        <v>388.1422</v>
      </c>
      <c r="BX33" s="16">
        <v>37.72</v>
      </c>
      <c r="BY33" s="16">
        <f>BX$34/BW33*100</f>
        <v>37.723288011455594</v>
      </c>
      <c r="BZ33" s="4">
        <v>37.49</v>
      </c>
      <c r="CA33" s="4">
        <v>389.5621</v>
      </c>
      <c r="CB33" s="16">
        <v>37.57</v>
      </c>
      <c r="CC33" s="16">
        <f>CB$34/CA33*100</f>
        <v>37.5678229478689</v>
      </c>
      <c r="CD33" s="4">
        <v>37.45</v>
      </c>
      <c r="CE33" s="4">
        <v>389.6067</v>
      </c>
      <c r="CF33" s="16">
        <v>37.51</v>
      </c>
      <c r="CG33" s="16">
        <f>CF$34/CE33*100</f>
        <v>37.51218857375913</v>
      </c>
      <c r="CH33" s="4">
        <v>37.25</v>
      </c>
      <c r="CI33" s="4">
        <v>389.2506</v>
      </c>
      <c r="CJ33" s="16">
        <v>37.35</v>
      </c>
      <c r="CK33" s="16">
        <f>CJ$34/CI33*100</f>
        <v>37.35125906035854</v>
      </c>
      <c r="CL33" s="4">
        <v>37.17</v>
      </c>
      <c r="CM33" s="4">
        <f t="shared" si="0"/>
        <v>396.07655454545454</v>
      </c>
      <c r="CN33" s="90">
        <f t="shared" si="2"/>
        <v>37.32409090909091</v>
      </c>
      <c r="CO33" s="90">
        <f t="shared" si="2"/>
        <v>37.325354009178234</v>
      </c>
      <c r="CP33" s="90">
        <f>(F33+J33+N33+R33+V33+Z33+AD33+AH33+AL33+AP33+AT33+AX33+BB33+BF33+BJ33+BN33+BR33+BV33+BZ33+CD33+CH33+CL33)/22</f>
        <v>37.156363636363636</v>
      </c>
      <c r="CQ33" s="21"/>
    </row>
    <row r="34" spans="1:95" ht="16.5" thickBot="1">
      <c r="A34" s="72">
        <v>23</v>
      </c>
      <c r="B34" s="73" t="s">
        <v>60</v>
      </c>
      <c r="C34" s="45">
        <v>1</v>
      </c>
      <c r="D34" s="46">
        <v>148.89</v>
      </c>
      <c r="E34" s="47">
        <f>D$34/C34</f>
        <v>148.89</v>
      </c>
      <c r="F34" s="13">
        <v>148.78</v>
      </c>
      <c r="G34" s="13">
        <v>1</v>
      </c>
      <c r="H34" s="39">
        <v>148.74</v>
      </c>
      <c r="I34" s="40">
        <f>H$34/G34</f>
        <v>148.74</v>
      </c>
      <c r="J34" s="13">
        <v>148.66</v>
      </c>
      <c r="K34" s="13">
        <v>1</v>
      </c>
      <c r="L34" s="39">
        <v>148.82</v>
      </c>
      <c r="M34" s="40">
        <f>L$34/K34</f>
        <v>148.82</v>
      </c>
      <c r="N34" s="13">
        <v>149</v>
      </c>
      <c r="O34" s="13">
        <v>1</v>
      </c>
      <c r="P34" s="39">
        <v>149.53</v>
      </c>
      <c r="Q34" s="40">
        <f>P$34/O34</f>
        <v>149.53</v>
      </c>
      <c r="R34" s="13">
        <v>149.37</v>
      </c>
      <c r="S34" s="13">
        <v>1</v>
      </c>
      <c r="T34" s="39">
        <v>149.3</v>
      </c>
      <c r="U34" s="40">
        <f>T$34/S34</f>
        <v>149.3</v>
      </c>
      <c r="V34" s="13">
        <v>149.33</v>
      </c>
      <c r="W34" s="13">
        <v>1</v>
      </c>
      <c r="X34" s="39">
        <v>148.32</v>
      </c>
      <c r="Y34" s="40">
        <f>X$34/W34</f>
        <v>148.32</v>
      </c>
      <c r="Z34" s="13">
        <v>148.54</v>
      </c>
      <c r="AA34" s="13">
        <v>1</v>
      </c>
      <c r="AB34" s="39">
        <v>148.27</v>
      </c>
      <c r="AC34" s="40">
        <f>AB$34/AA34</f>
        <v>148.27</v>
      </c>
      <c r="AD34" s="13">
        <v>148.28</v>
      </c>
      <c r="AE34" s="13">
        <v>1</v>
      </c>
      <c r="AF34" s="39">
        <v>147.85</v>
      </c>
      <c r="AG34" s="40">
        <f>AF$34/AE34</f>
        <v>147.85</v>
      </c>
      <c r="AH34" s="13">
        <v>148.1</v>
      </c>
      <c r="AI34" s="13">
        <v>1</v>
      </c>
      <c r="AJ34" s="39">
        <v>148.56</v>
      </c>
      <c r="AK34" s="40">
        <f>AJ$34/AI34</f>
        <v>148.56</v>
      </c>
      <c r="AL34" s="13">
        <v>148.42</v>
      </c>
      <c r="AM34" s="13">
        <v>1</v>
      </c>
      <c r="AN34" s="39">
        <v>148.78</v>
      </c>
      <c r="AO34" s="40">
        <f>AN$34/AM34</f>
        <v>148.78</v>
      </c>
      <c r="AP34" s="13">
        <v>148.42</v>
      </c>
      <c r="AQ34" s="13">
        <v>1</v>
      </c>
      <c r="AR34" s="39">
        <v>148.43</v>
      </c>
      <c r="AS34" s="40">
        <f>AR$34/AQ34</f>
        <v>148.43</v>
      </c>
      <c r="AT34" s="13">
        <v>148.28</v>
      </c>
      <c r="AU34" s="13">
        <v>1</v>
      </c>
      <c r="AV34" s="39">
        <v>148.15</v>
      </c>
      <c r="AW34" s="40">
        <f>AV$34/AU34</f>
        <v>148.15</v>
      </c>
      <c r="AX34" s="13">
        <v>148.4</v>
      </c>
      <c r="AY34" s="13">
        <v>1</v>
      </c>
      <c r="AZ34" s="39">
        <v>147.73</v>
      </c>
      <c r="BA34" s="40">
        <f>AZ$34/AY34</f>
        <v>147.73</v>
      </c>
      <c r="BB34" s="13">
        <v>148.06</v>
      </c>
      <c r="BC34" s="13">
        <v>1</v>
      </c>
      <c r="BD34" s="39">
        <v>147.45</v>
      </c>
      <c r="BE34" s="40">
        <f>BD$34/BC34</f>
        <v>147.45</v>
      </c>
      <c r="BF34" s="13">
        <v>147.27</v>
      </c>
      <c r="BG34" s="13">
        <v>1</v>
      </c>
      <c r="BH34" s="39">
        <v>147.17</v>
      </c>
      <c r="BI34" s="40">
        <f>BH$34/BG34</f>
        <v>147.17</v>
      </c>
      <c r="BJ34" s="13">
        <v>147.58</v>
      </c>
      <c r="BK34" s="13">
        <v>1</v>
      </c>
      <c r="BL34" s="39">
        <v>147.42</v>
      </c>
      <c r="BM34" s="40">
        <f>BL$34/BK34</f>
        <v>147.42</v>
      </c>
      <c r="BN34" s="13">
        <v>147.54</v>
      </c>
      <c r="BO34" s="13">
        <v>1</v>
      </c>
      <c r="BP34" s="39">
        <v>147.14</v>
      </c>
      <c r="BQ34" s="40">
        <f>BP$34/BO34</f>
        <v>147.14</v>
      </c>
      <c r="BR34" s="13">
        <v>147.2</v>
      </c>
      <c r="BS34" s="13">
        <v>1</v>
      </c>
      <c r="BT34" s="39">
        <v>147.22</v>
      </c>
      <c r="BU34" s="40">
        <f>BT$34/BS34</f>
        <v>147.22</v>
      </c>
      <c r="BV34" s="13">
        <v>146.74</v>
      </c>
      <c r="BW34" s="13">
        <v>1</v>
      </c>
      <c r="BX34" s="39">
        <v>146.42</v>
      </c>
      <c r="BY34" s="40">
        <f>BX$34/BW34</f>
        <v>146.42</v>
      </c>
      <c r="BZ34" s="13">
        <v>146.25</v>
      </c>
      <c r="CA34" s="13">
        <v>1</v>
      </c>
      <c r="CB34" s="39">
        <v>146.35</v>
      </c>
      <c r="CC34" s="40">
        <f>CB$34/CA34</f>
        <v>146.35</v>
      </c>
      <c r="CD34" s="13">
        <v>146.35</v>
      </c>
      <c r="CE34" s="13">
        <v>1</v>
      </c>
      <c r="CF34" s="39">
        <v>146.15</v>
      </c>
      <c r="CG34" s="40">
        <f>CF$34/CE34</f>
        <v>146.15</v>
      </c>
      <c r="CH34" s="13">
        <v>145.74</v>
      </c>
      <c r="CI34" s="13">
        <v>1</v>
      </c>
      <c r="CJ34" s="39">
        <v>145.39</v>
      </c>
      <c r="CK34" s="40">
        <f>CJ$34/CI34</f>
        <v>145.39</v>
      </c>
      <c r="CL34" s="13">
        <v>144.92</v>
      </c>
      <c r="CM34" s="24">
        <f t="shared" si="0"/>
        <v>1</v>
      </c>
      <c r="CN34" s="91">
        <f t="shared" si="2"/>
        <v>147.82181818181814</v>
      </c>
      <c r="CO34" s="91">
        <f t="shared" si="2"/>
        <v>147.82181818181814</v>
      </c>
      <c r="CP34" s="91">
        <f>(F34+J34+N34+R34+V34+Z34+AD34+AH34+AL34+AP34+AT34+AX34+BB34+BF34+BJ34+BN34+BR34+BV34+BZ34+CD34+CH34+CL34)/22</f>
        <v>147.78318181818184</v>
      </c>
      <c r="CQ34" s="21"/>
    </row>
    <row r="35" spans="1:95" ht="15.75">
      <c r="A35" s="81"/>
      <c r="B35" s="8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4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93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34"/>
      <c r="CA35" s="1"/>
      <c r="CB35" s="1"/>
      <c r="CC35" s="1"/>
      <c r="CD35" s="34"/>
      <c r="CE35" s="1"/>
      <c r="CF35" s="1"/>
      <c r="CG35" s="1"/>
      <c r="CH35" s="34"/>
      <c r="CI35" s="1"/>
      <c r="CJ35" s="1"/>
      <c r="CK35" s="1"/>
      <c r="CL35" s="34"/>
      <c r="CM35" s="1"/>
      <c r="CN35" s="1"/>
      <c r="CO35" s="1"/>
      <c r="CP35" s="34"/>
      <c r="CQ35" s="21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1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35"/>
  <sheetViews>
    <sheetView zoomScale="75" zoomScaleNormal="75" zoomScalePageLayoutView="0" workbookViewId="0" topLeftCell="A2">
      <pane xSplit="2" ySplit="9" topLeftCell="CO11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CS19" sqref="CS19"/>
    </sheetView>
  </sheetViews>
  <sheetFormatPr defaultColWidth="9.140625" defaultRowHeight="12.75"/>
  <cols>
    <col min="1" max="1" width="4.421875" style="55" customWidth="1"/>
    <col min="2" max="2" width="32.421875" style="55" customWidth="1"/>
    <col min="3" max="3" width="10.28125" style="55" customWidth="1"/>
    <col min="4" max="4" width="9.8515625" style="55" customWidth="1"/>
    <col min="5" max="5" width="10.421875" style="55" customWidth="1"/>
    <col min="6" max="6" width="9.140625" style="55" customWidth="1"/>
    <col min="7" max="7" width="10.28125" style="55" customWidth="1"/>
    <col min="8" max="8" width="11.00390625" style="55" customWidth="1"/>
    <col min="9" max="9" width="10.421875" style="55" customWidth="1"/>
    <col min="10" max="10" width="9.140625" style="55" customWidth="1"/>
    <col min="11" max="11" width="10.28125" style="55" customWidth="1"/>
    <col min="12" max="12" width="10.140625" style="55" customWidth="1"/>
    <col min="13" max="13" width="10.421875" style="55" customWidth="1"/>
    <col min="14" max="14" width="9.140625" style="55" customWidth="1"/>
    <col min="15" max="15" width="10.28125" style="55" customWidth="1"/>
    <col min="16" max="16" width="11.28125" style="55" customWidth="1"/>
    <col min="17" max="17" width="10.421875" style="55" customWidth="1"/>
    <col min="18" max="18" width="9.140625" style="55" customWidth="1"/>
    <col min="19" max="20" width="10.28125" style="55" customWidth="1"/>
    <col min="21" max="21" width="10.421875" style="55" customWidth="1"/>
    <col min="22" max="22" width="9.140625" style="55" customWidth="1"/>
    <col min="23" max="24" width="10.28125" style="55" customWidth="1"/>
    <col min="25" max="25" width="10.421875" style="55" customWidth="1"/>
    <col min="26" max="26" width="9.140625" style="55" customWidth="1"/>
    <col min="27" max="28" width="10.28125" style="55" customWidth="1"/>
    <col min="29" max="29" width="10.421875" style="55" customWidth="1"/>
    <col min="30" max="30" width="9.140625" style="55" customWidth="1"/>
    <col min="31" max="32" width="10.28125" style="55" customWidth="1"/>
    <col min="33" max="33" width="10.421875" style="55" customWidth="1"/>
    <col min="34" max="34" width="9.140625" style="55" customWidth="1"/>
    <col min="35" max="35" width="11.421875" style="55" customWidth="1"/>
    <col min="36" max="36" width="10.8515625" style="55" customWidth="1"/>
    <col min="37" max="37" width="11.00390625" style="55" customWidth="1"/>
    <col min="38" max="38" width="9.140625" style="55" customWidth="1"/>
    <col min="39" max="41" width="10.28125" style="55" customWidth="1"/>
    <col min="42" max="42" width="9.140625" style="55" customWidth="1"/>
    <col min="43" max="44" width="10.28125" style="55" customWidth="1"/>
    <col min="45" max="45" width="10.7109375" style="55" customWidth="1"/>
    <col min="46" max="46" width="9.140625" style="55" customWidth="1"/>
    <col min="47" max="49" width="10.28125" style="55" customWidth="1"/>
    <col min="50" max="50" width="9.140625" style="55" customWidth="1"/>
    <col min="51" max="52" width="10.28125" style="55" customWidth="1"/>
    <col min="53" max="53" width="10.8515625" style="55" customWidth="1"/>
    <col min="54" max="54" width="9.140625" style="55" customWidth="1"/>
    <col min="55" max="57" width="10.28125" style="55" customWidth="1"/>
    <col min="58" max="58" width="9.140625" style="55" customWidth="1"/>
    <col min="59" max="61" width="10.28125" style="55" customWidth="1"/>
    <col min="62" max="62" width="9.140625" style="55" customWidth="1"/>
    <col min="63" max="64" width="10.28125" style="55" customWidth="1"/>
    <col min="65" max="65" width="10.421875" style="55" customWidth="1"/>
    <col min="66" max="66" width="9.140625" style="55" customWidth="1"/>
    <col min="67" max="68" width="10.28125" style="55" customWidth="1"/>
    <col min="69" max="69" width="10.421875" style="55" customWidth="1"/>
    <col min="70" max="70" width="9.140625" style="55" customWidth="1"/>
    <col min="71" max="72" width="10.28125" style="55" customWidth="1"/>
    <col min="73" max="73" width="12.7109375" style="55" customWidth="1"/>
    <col min="74" max="74" width="9.140625" style="55" customWidth="1"/>
    <col min="75" max="76" width="10.28125" style="55" customWidth="1"/>
    <col min="77" max="77" width="11.140625" style="55" customWidth="1"/>
    <col min="78" max="78" width="9.140625" style="55" customWidth="1"/>
    <col min="79" max="80" width="10.28125" style="55" customWidth="1"/>
    <col min="81" max="81" width="11.28125" style="55" customWidth="1"/>
    <col min="82" max="82" width="9.140625" style="55" customWidth="1"/>
    <col min="83" max="84" width="10.28125" style="55" customWidth="1"/>
    <col min="85" max="85" width="10.140625" style="55" customWidth="1"/>
    <col min="86" max="86" width="9.140625" style="55" customWidth="1"/>
    <col min="87" max="88" width="10.28125" style="55" customWidth="1"/>
    <col min="89" max="89" width="9.8515625" style="55" customWidth="1"/>
    <col min="90" max="90" width="9.140625" style="55" customWidth="1"/>
    <col min="91" max="91" width="11.00390625" style="55" customWidth="1"/>
    <col min="92" max="92" width="10.28125" style="55" bestFit="1" customWidth="1"/>
    <col min="93" max="93" width="10.28125" style="55" customWidth="1"/>
    <col min="94" max="94" width="9.140625" style="55" customWidth="1"/>
    <col min="95" max="95" width="11.00390625" style="55" customWidth="1"/>
    <col min="96" max="96" width="12.57421875" style="55" customWidth="1"/>
    <col min="97" max="97" width="12.140625" style="55" customWidth="1"/>
    <col min="98" max="16384" width="9.140625" style="55" customWidth="1"/>
  </cols>
  <sheetData>
    <row r="1" spans="1:90" ht="15.75">
      <c r="A1" s="50"/>
      <c r="B1" s="32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2" t="s">
        <v>1</v>
      </c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3"/>
      <c r="CB1" s="53"/>
      <c r="CC1" s="54"/>
      <c r="CD1" s="53"/>
      <c r="CE1" s="53"/>
      <c r="CF1" s="53"/>
      <c r="CG1" s="53"/>
      <c r="CH1" s="53"/>
      <c r="CI1" s="53"/>
      <c r="CJ1" s="53"/>
      <c r="CK1" s="53"/>
      <c r="CL1" s="53"/>
    </row>
    <row r="2" spans="1:90" ht="15.75">
      <c r="A2" s="51"/>
      <c r="B2" s="33" t="s">
        <v>204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6"/>
      <c r="CB2" s="50"/>
      <c r="CC2" s="56"/>
      <c r="CD2" s="56"/>
      <c r="CE2" s="56"/>
      <c r="CF2" s="56"/>
      <c r="CG2" s="56"/>
      <c r="CH2" s="56"/>
      <c r="CI2" s="56"/>
      <c r="CJ2" s="56"/>
      <c r="CK2" s="56"/>
      <c r="CL2" s="56"/>
    </row>
    <row r="3" spans="1:103" ht="15.75">
      <c r="A3" s="52" t="s">
        <v>3</v>
      </c>
      <c r="B3" s="51"/>
      <c r="C3" s="57"/>
      <c r="D3" s="50" t="s">
        <v>205</v>
      </c>
      <c r="E3" s="57"/>
      <c r="F3" s="57"/>
      <c r="G3" s="57"/>
      <c r="H3" s="50" t="s">
        <v>206</v>
      </c>
      <c r="I3" s="57"/>
      <c r="J3" s="57"/>
      <c r="K3" s="57"/>
      <c r="L3" s="50" t="s">
        <v>207</v>
      </c>
      <c r="M3" s="57"/>
      <c r="N3" s="57"/>
      <c r="O3" s="57"/>
      <c r="P3" s="50" t="s">
        <v>208</v>
      </c>
      <c r="Q3" s="57"/>
      <c r="R3" s="57"/>
      <c r="S3" s="57"/>
      <c r="T3" s="50" t="s">
        <v>209</v>
      </c>
      <c r="U3" s="57"/>
      <c r="V3" s="57"/>
      <c r="W3" s="57"/>
      <c r="X3" s="50" t="s">
        <v>210</v>
      </c>
      <c r="Y3" s="57"/>
      <c r="Z3" s="57"/>
      <c r="AA3" s="57"/>
      <c r="AB3" s="50" t="s">
        <v>211</v>
      </c>
      <c r="AC3" s="57"/>
      <c r="AD3" s="57"/>
      <c r="AE3" s="57"/>
      <c r="AF3" s="50" t="s">
        <v>212</v>
      </c>
      <c r="AG3" s="57"/>
      <c r="AH3" s="57"/>
      <c r="AI3" s="57"/>
      <c r="AJ3" s="50" t="s">
        <v>213</v>
      </c>
      <c r="AK3" s="57"/>
      <c r="AL3" s="57"/>
      <c r="AM3" s="57"/>
      <c r="AN3" s="50" t="s">
        <v>214</v>
      </c>
      <c r="AO3" s="57"/>
      <c r="AP3" s="57"/>
      <c r="AQ3" s="57"/>
      <c r="AR3" s="50" t="s">
        <v>215</v>
      </c>
      <c r="AS3" s="57"/>
      <c r="AT3" s="57"/>
      <c r="AU3" s="57"/>
      <c r="AV3" s="50" t="s">
        <v>216</v>
      </c>
      <c r="AW3" s="57"/>
      <c r="AX3" s="57"/>
      <c r="AY3" s="57"/>
      <c r="AZ3" s="50" t="s">
        <v>217</v>
      </c>
      <c r="BA3" s="57"/>
      <c r="BB3" s="57"/>
      <c r="BC3" s="57"/>
      <c r="BD3" s="50" t="s">
        <v>218</v>
      </c>
      <c r="BE3" s="57"/>
      <c r="BF3" s="57"/>
      <c r="BG3" s="57"/>
      <c r="BH3" s="50" t="s">
        <v>219</v>
      </c>
      <c r="BI3" s="57"/>
      <c r="BJ3" s="57"/>
      <c r="BK3" s="57"/>
      <c r="BL3" s="50" t="s">
        <v>220</v>
      </c>
      <c r="BM3" s="57"/>
      <c r="BN3" s="57"/>
      <c r="BO3" s="57"/>
      <c r="BP3" s="50" t="s">
        <v>221</v>
      </c>
      <c r="BQ3" s="57"/>
      <c r="BR3" s="57"/>
      <c r="BS3" s="57"/>
      <c r="BT3" s="50" t="s">
        <v>222</v>
      </c>
      <c r="BU3" s="57"/>
      <c r="BV3" s="57"/>
      <c r="BW3" s="57"/>
      <c r="BX3" s="50" t="s">
        <v>223</v>
      </c>
      <c r="BY3" s="57"/>
      <c r="BZ3" s="57"/>
      <c r="CA3" s="94"/>
      <c r="CB3" s="50" t="s">
        <v>224</v>
      </c>
      <c r="CC3" s="57"/>
      <c r="CD3" s="94"/>
      <c r="CE3" s="57"/>
      <c r="CF3" s="50" t="s">
        <v>225</v>
      </c>
      <c r="CG3" s="57"/>
      <c r="CH3" s="57"/>
      <c r="CI3" s="94"/>
      <c r="CJ3" s="50" t="s">
        <v>226</v>
      </c>
      <c r="CK3" s="57"/>
      <c r="CL3" s="94"/>
      <c r="CM3" s="94"/>
      <c r="CN3" s="50" t="s">
        <v>227</v>
      </c>
      <c r="CO3" s="57"/>
      <c r="CP3" s="94"/>
      <c r="CQ3" s="94"/>
      <c r="CR3" s="50" t="s">
        <v>25</v>
      </c>
      <c r="CS3" s="57"/>
      <c r="CT3" s="94"/>
      <c r="CU3" s="85"/>
      <c r="CV3" s="84"/>
      <c r="CW3" s="83"/>
      <c r="CX3" s="85"/>
      <c r="CY3" s="86"/>
    </row>
    <row r="4" spans="1:103" ht="16.5" thickBo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94"/>
      <c r="CB4" s="94"/>
      <c r="CC4" s="94"/>
      <c r="CD4" s="94"/>
      <c r="CE4" s="51"/>
      <c r="CF4" s="51"/>
      <c r="CG4" s="51"/>
      <c r="CH4" s="51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85"/>
      <c r="CV4" s="85"/>
      <c r="CW4" s="85"/>
      <c r="CX4" s="85"/>
      <c r="CY4" s="86"/>
    </row>
    <row r="5" spans="1:103" ht="16.5" thickTop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6"/>
      <c r="CV5" s="56"/>
      <c r="CW5" s="56"/>
      <c r="CX5" s="56"/>
      <c r="CY5" s="86"/>
    </row>
    <row r="6" spans="1:103" ht="15.75">
      <c r="A6" s="57"/>
      <c r="B6" s="51"/>
      <c r="C6" s="59" t="s">
        <v>26</v>
      </c>
      <c r="D6" s="59" t="s">
        <v>26</v>
      </c>
      <c r="E6" s="59" t="s">
        <v>26</v>
      </c>
      <c r="F6" s="59" t="s">
        <v>26</v>
      </c>
      <c r="G6" s="59" t="s">
        <v>26</v>
      </c>
      <c r="H6" s="59" t="s">
        <v>26</v>
      </c>
      <c r="I6" s="59" t="s">
        <v>26</v>
      </c>
      <c r="J6" s="59" t="s">
        <v>26</v>
      </c>
      <c r="K6" s="59" t="s">
        <v>26</v>
      </c>
      <c r="L6" s="59" t="s">
        <v>26</v>
      </c>
      <c r="M6" s="59" t="s">
        <v>26</v>
      </c>
      <c r="N6" s="59" t="s">
        <v>26</v>
      </c>
      <c r="O6" s="59" t="s">
        <v>26</v>
      </c>
      <c r="P6" s="59" t="s">
        <v>26</v>
      </c>
      <c r="Q6" s="59" t="s">
        <v>26</v>
      </c>
      <c r="R6" s="59" t="s">
        <v>26</v>
      </c>
      <c r="S6" s="59" t="s">
        <v>26</v>
      </c>
      <c r="T6" s="59" t="s">
        <v>26</v>
      </c>
      <c r="U6" s="59" t="s">
        <v>26</v>
      </c>
      <c r="V6" s="59" t="s">
        <v>26</v>
      </c>
      <c r="W6" s="59" t="s">
        <v>26</v>
      </c>
      <c r="X6" s="59" t="s">
        <v>26</v>
      </c>
      <c r="Y6" s="59" t="s">
        <v>26</v>
      </c>
      <c r="Z6" s="59" t="s">
        <v>26</v>
      </c>
      <c r="AA6" s="59" t="s">
        <v>26</v>
      </c>
      <c r="AB6" s="59" t="s">
        <v>26</v>
      </c>
      <c r="AC6" s="59" t="s">
        <v>26</v>
      </c>
      <c r="AD6" s="59" t="s">
        <v>26</v>
      </c>
      <c r="AE6" s="59" t="s">
        <v>26</v>
      </c>
      <c r="AF6" s="59" t="s">
        <v>26</v>
      </c>
      <c r="AG6" s="59" t="s">
        <v>26</v>
      </c>
      <c r="AH6" s="59" t="s">
        <v>26</v>
      </c>
      <c r="AI6" s="59" t="s">
        <v>26</v>
      </c>
      <c r="AJ6" s="59" t="s">
        <v>26</v>
      </c>
      <c r="AK6" s="59" t="s">
        <v>26</v>
      </c>
      <c r="AL6" s="59" t="s">
        <v>26</v>
      </c>
      <c r="AM6" s="59" t="s">
        <v>26</v>
      </c>
      <c r="AN6" s="59" t="s">
        <v>26</v>
      </c>
      <c r="AO6" s="59" t="s">
        <v>26</v>
      </c>
      <c r="AP6" s="59" t="s">
        <v>26</v>
      </c>
      <c r="AQ6" s="59" t="s">
        <v>26</v>
      </c>
      <c r="AR6" s="59" t="s">
        <v>26</v>
      </c>
      <c r="AS6" s="59" t="s">
        <v>26</v>
      </c>
      <c r="AT6" s="59" t="s">
        <v>26</v>
      </c>
      <c r="AU6" s="59" t="s">
        <v>26</v>
      </c>
      <c r="AV6" s="59" t="s">
        <v>26</v>
      </c>
      <c r="AW6" s="59" t="s">
        <v>26</v>
      </c>
      <c r="AX6" s="59" t="s">
        <v>26</v>
      </c>
      <c r="AY6" s="59" t="s">
        <v>26</v>
      </c>
      <c r="AZ6" s="59" t="s">
        <v>26</v>
      </c>
      <c r="BA6" s="59" t="s">
        <v>26</v>
      </c>
      <c r="BB6" s="59" t="s">
        <v>26</v>
      </c>
      <c r="BC6" s="59" t="s">
        <v>26</v>
      </c>
      <c r="BD6" s="59" t="s">
        <v>26</v>
      </c>
      <c r="BE6" s="59" t="s">
        <v>26</v>
      </c>
      <c r="BF6" s="59" t="s">
        <v>26</v>
      </c>
      <c r="BG6" s="59" t="s">
        <v>26</v>
      </c>
      <c r="BH6" s="59" t="s">
        <v>26</v>
      </c>
      <c r="BI6" s="59" t="s">
        <v>26</v>
      </c>
      <c r="BJ6" s="59" t="s">
        <v>26</v>
      </c>
      <c r="BK6" s="59" t="s">
        <v>26</v>
      </c>
      <c r="BL6" s="59" t="s">
        <v>26</v>
      </c>
      <c r="BM6" s="59" t="s">
        <v>26</v>
      </c>
      <c r="BN6" s="59" t="s">
        <v>26</v>
      </c>
      <c r="BO6" s="59" t="s">
        <v>26</v>
      </c>
      <c r="BP6" s="59" t="s">
        <v>26</v>
      </c>
      <c r="BQ6" s="59" t="s">
        <v>26</v>
      </c>
      <c r="BR6" s="59" t="s">
        <v>26</v>
      </c>
      <c r="BS6" s="59" t="s">
        <v>26</v>
      </c>
      <c r="BT6" s="59" t="s">
        <v>26</v>
      </c>
      <c r="BU6" s="59" t="s">
        <v>26</v>
      </c>
      <c r="BV6" s="59" t="s">
        <v>26</v>
      </c>
      <c r="BW6" s="59" t="s">
        <v>26</v>
      </c>
      <c r="BX6" s="59" t="s">
        <v>26</v>
      </c>
      <c r="BY6" s="59" t="s">
        <v>26</v>
      </c>
      <c r="BZ6" s="59" t="s">
        <v>26</v>
      </c>
      <c r="CA6" s="59" t="s">
        <v>27</v>
      </c>
      <c r="CB6" s="59" t="s">
        <v>27</v>
      </c>
      <c r="CC6" s="59" t="s">
        <v>26</v>
      </c>
      <c r="CD6" s="59" t="s">
        <v>26</v>
      </c>
      <c r="CE6" s="59" t="s">
        <v>26</v>
      </c>
      <c r="CF6" s="59" t="s">
        <v>26</v>
      </c>
      <c r="CG6" s="59" t="s">
        <v>26</v>
      </c>
      <c r="CH6" s="59" t="s">
        <v>26</v>
      </c>
      <c r="CI6" s="59" t="s">
        <v>27</v>
      </c>
      <c r="CJ6" s="59" t="s">
        <v>27</v>
      </c>
      <c r="CK6" s="59" t="s">
        <v>26</v>
      </c>
      <c r="CL6" s="59" t="s">
        <v>26</v>
      </c>
      <c r="CM6" s="59" t="s">
        <v>27</v>
      </c>
      <c r="CN6" s="59" t="s">
        <v>27</v>
      </c>
      <c r="CO6" s="59" t="s">
        <v>26</v>
      </c>
      <c r="CP6" s="59" t="s">
        <v>26</v>
      </c>
      <c r="CQ6" s="59" t="s">
        <v>27</v>
      </c>
      <c r="CR6" s="59" t="s">
        <v>27</v>
      </c>
      <c r="CS6" s="59" t="s">
        <v>26</v>
      </c>
      <c r="CT6" s="59" t="s">
        <v>26</v>
      </c>
      <c r="CU6" s="87"/>
      <c r="CV6" s="87"/>
      <c r="CW6" s="87"/>
      <c r="CX6" s="87"/>
      <c r="CY6" s="86"/>
    </row>
    <row r="7" spans="1:103" ht="15.75">
      <c r="A7" s="51"/>
      <c r="B7" s="60" t="s">
        <v>28</v>
      </c>
      <c r="C7" s="59" t="s">
        <v>29</v>
      </c>
      <c r="D7" s="59" t="s">
        <v>29</v>
      </c>
      <c r="E7" s="59" t="s">
        <v>29</v>
      </c>
      <c r="F7" s="59" t="s">
        <v>30</v>
      </c>
      <c r="G7" s="59" t="s">
        <v>29</v>
      </c>
      <c r="H7" s="59" t="s">
        <v>29</v>
      </c>
      <c r="I7" s="59" t="s">
        <v>29</v>
      </c>
      <c r="J7" s="59" t="s">
        <v>30</v>
      </c>
      <c r="K7" s="59" t="s">
        <v>29</v>
      </c>
      <c r="L7" s="59" t="s">
        <v>29</v>
      </c>
      <c r="M7" s="59" t="s">
        <v>29</v>
      </c>
      <c r="N7" s="59" t="s">
        <v>30</v>
      </c>
      <c r="O7" s="59" t="s">
        <v>29</v>
      </c>
      <c r="P7" s="59" t="s">
        <v>29</v>
      </c>
      <c r="Q7" s="59" t="s">
        <v>29</v>
      </c>
      <c r="R7" s="59" t="s">
        <v>30</v>
      </c>
      <c r="S7" s="59" t="s">
        <v>29</v>
      </c>
      <c r="T7" s="59" t="s">
        <v>29</v>
      </c>
      <c r="U7" s="59" t="s">
        <v>29</v>
      </c>
      <c r="V7" s="59" t="s">
        <v>30</v>
      </c>
      <c r="W7" s="59" t="s">
        <v>29</v>
      </c>
      <c r="X7" s="59" t="s">
        <v>29</v>
      </c>
      <c r="Y7" s="59" t="s">
        <v>29</v>
      </c>
      <c r="Z7" s="59" t="s">
        <v>30</v>
      </c>
      <c r="AA7" s="59" t="s">
        <v>29</v>
      </c>
      <c r="AB7" s="59" t="s">
        <v>29</v>
      </c>
      <c r="AC7" s="59" t="s">
        <v>29</v>
      </c>
      <c r="AD7" s="59" t="s">
        <v>30</v>
      </c>
      <c r="AE7" s="59" t="s">
        <v>29</v>
      </c>
      <c r="AF7" s="59" t="s">
        <v>29</v>
      </c>
      <c r="AG7" s="59" t="s">
        <v>29</v>
      </c>
      <c r="AH7" s="59" t="s">
        <v>30</v>
      </c>
      <c r="AI7" s="59" t="s">
        <v>29</v>
      </c>
      <c r="AJ7" s="59" t="s">
        <v>29</v>
      </c>
      <c r="AK7" s="59" t="s">
        <v>29</v>
      </c>
      <c r="AL7" s="59" t="s">
        <v>30</v>
      </c>
      <c r="AM7" s="59" t="s">
        <v>29</v>
      </c>
      <c r="AN7" s="59" t="s">
        <v>29</v>
      </c>
      <c r="AO7" s="59" t="s">
        <v>29</v>
      </c>
      <c r="AP7" s="59" t="s">
        <v>30</v>
      </c>
      <c r="AQ7" s="59" t="s">
        <v>29</v>
      </c>
      <c r="AR7" s="59" t="s">
        <v>29</v>
      </c>
      <c r="AS7" s="59" t="s">
        <v>29</v>
      </c>
      <c r="AT7" s="59" t="s">
        <v>30</v>
      </c>
      <c r="AU7" s="59" t="s">
        <v>29</v>
      </c>
      <c r="AV7" s="59" t="s">
        <v>29</v>
      </c>
      <c r="AW7" s="59" t="s">
        <v>29</v>
      </c>
      <c r="AX7" s="59" t="s">
        <v>30</v>
      </c>
      <c r="AY7" s="59" t="s">
        <v>29</v>
      </c>
      <c r="AZ7" s="59" t="s">
        <v>29</v>
      </c>
      <c r="BA7" s="59" t="s">
        <v>29</v>
      </c>
      <c r="BB7" s="59" t="s">
        <v>30</v>
      </c>
      <c r="BC7" s="59" t="s">
        <v>29</v>
      </c>
      <c r="BD7" s="59" t="s">
        <v>29</v>
      </c>
      <c r="BE7" s="59" t="s">
        <v>29</v>
      </c>
      <c r="BF7" s="59" t="s">
        <v>30</v>
      </c>
      <c r="BG7" s="59" t="s">
        <v>29</v>
      </c>
      <c r="BH7" s="59" t="s">
        <v>29</v>
      </c>
      <c r="BI7" s="59" t="s">
        <v>29</v>
      </c>
      <c r="BJ7" s="59" t="s">
        <v>30</v>
      </c>
      <c r="BK7" s="59" t="s">
        <v>29</v>
      </c>
      <c r="BL7" s="59" t="s">
        <v>29</v>
      </c>
      <c r="BM7" s="59" t="s">
        <v>29</v>
      </c>
      <c r="BN7" s="59" t="s">
        <v>30</v>
      </c>
      <c r="BO7" s="59" t="s">
        <v>29</v>
      </c>
      <c r="BP7" s="59" t="s">
        <v>29</v>
      </c>
      <c r="BQ7" s="59" t="s">
        <v>29</v>
      </c>
      <c r="BR7" s="59" t="s">
        <v>30</v>
      </c>
      <c r="BS7" s="59" t="s">
        <v>29</v>
      </c>
      <c r="BT7" s="59" t="s">
        <v>29</v>
      </c>
      <c r="BU7" s="59" t="s">
        <v>29</v>
      </c>
      <c r="BV7" s="59" t="s">
        <v>30</v>
      </c>
      <c r="BW7" s="59" t="s">
        <v>29</v>
      </c>
      <c r="BX7" s="59" t="s">
        <v>29</v>
      </c>
      <c r="BY7" s="59" t="s">
        <v>29</v>
      </c>
      <c r="BZ7" s="59" t="s">
        <v>30</v>
      </c>
      <c r="CA7" s="59" t="s">
        <v>31</v>
      </c>
      <c r="CB7" s="59" t="s">
        <v>32</v>
      </c>
      <c r="CC7" s="59" t="s">
        <v>32</v>
      </c>
      <c r="CD7" s="59" t="s">
        <v>30</v>
      </c>
      <c r="CE7" s="59" t="s">
        <v>29</v>
      </c>
      <c r="CF7" s="59" t="s">
        <v>29</v>
      </c>
      <c r="CG7" s="59" t="s">
        <v>29</v>
      </c>
      <c r="CH7" s="59" t="s">
        <v>30</v>
      </c>
      <c r="CI7" s="59" t="s">
        <v>31</v>
      </c>
      <c r="CJ7" s="59" t="s">
        <v>32</v>
      </c>
      <c r="CK7" s="59" t="s">
        <v>32</v>
      </c>
      <c r="CL7" s="59" t="s">
        <v>30</v>
      </c>
      <c r="CM7" s="59" t="s">
        <v>31</v>
      </c>
      <c r="CN7" s="59" t="s">
        <v>32</v>
      </c>
      <c r="CO7" s="59" t="s">
        <v>32</v>
      </c>
      <c r="CP7" s="59" t="s">
        <v>30</v>
      </c>
      <c r="CQ7" s="59" t="s">
        <v>31</v>
      </c>
      <c r="CR7" s="59" t="s">
        <v>32</v>
      </c>
      <c r="CS7" s="59" t="s">
        <v>32</v>
      </c>
      <c r="CT7" s="59" t="s">
        <v>30</v>
      </c>
      <c r="CU7" s="87"/>
      <c r="CV7" s="87"/>
      <c r="CW7" s="87"/>
      <c r="CX7" s="87"/>
      <c r="CY7" s="86"/>
    </row>
    <row r="8" spans="1:103" ht="15.75">
      <c r="A8" s="51"/>
      <c r="B8" s="51"/>
      <c r="C8" s="59" t="s">
        <v>33</v>
      </c>
      <c r="D8" s="59" t="s">
        <v>32</v>
      </c>
      <c r="E8" s="59" t="s">
        <v>32</v>
      </c>
      <c r="F8" s="59" t="s">
        <v>34</v>
      </c>
      <c r="G8" s="59" t="s">
        <v>33</v>
      </c>
      <c r="H8" s="59" t="s">
        <v>32</v>
      </c>
      <c r="I8" s="59" t="s">
        <v>32</v>
      </c>
      <c r="J8" s="59" t="s">
        <v>34</v>
      </c>
      <c r="K8" s="59" t="s">
        <v>33</v>
      </c>
      <c r="L8" s="59" t="s">
        <v>32</v>
      </c>
      <c r="M8" s="59" t="s">
        <v>32</v>
      </c>
      <c r="N8" s="59" t="s">
        <v>34</v>
      </c>
      <c r="O8" s="59" t="s">
        <v>33</v>
      </c>
      <c r="P8" s="59" t="s">
        <v>32</v>
      </c>
      <c r="Q8" s="59" t="s">
        <v>32</v>
      </c>
      <c r="R8" s="59" t="s">
        <v>34</v>
      </c>
      <c r="S8" s="59" t="s">
        <v>33</v>
      </c>
      <c r="T8" s="59" t="s">
        <v>32</v>
      </c>
      <c r="U8" s="59" t="s">
        <v>32</v>
      </c>
      <c r="V8" s="59" t="s">
        <v>34</v>
      </c>
      <c r="W8" s="59" t="s">
        <v>33</v>
      </c>
      <c r="X8" s="59" t="s">
        <v>32</v>
      </c>
      <c r="Y8" s="59" t="s">
        <v>32</v>
      </c>
      <c r="Z8" s="59" t="s">
        <v>34</v>
      </c>
      <c r="AA8" s="59" t="s">
        <v>33</v>
      </c>
      <c r="AB8" s="59" t="s">
        <v>32</v>
      </c>
      <c r="AC8" s="59" t="s">
        <v>32</v>
      </c>
      <c r="AD8" s="59" t="s">
        <v>34</v>
      </c>
      <c r="AE8" s="59" t="s">
        <v>33</v>
      </c>
      <c r="AF8" s="59" t="s">
        <v>32</v>
      </c>
      <c r="AG8" s="59" t="s">
        <v>32</v>
      </c>
      <c r="AH8" s="59" t="s">
        <v>34</v>
      </c>
      <c r="AI8" s="59" t="s">
        <v>33</v>
      </c>
      <c r="AJ8" s="59" t="s">
        <v>32</v>
      </c>
      <c r="AK8" s="59" t="s">
        <v>32</v>
      </c>
      <c r="AL8" s="59" t="s">
        <v>34</v>
      </c>
      <c r="AM8" s="59" t="s">
        <v>33</v>
      </c>
      <c r="AN8" s="59" t="s">
        <v>32</v>
      </c>
      <c r="AO8" s="59" t="s">
        <v>32</v>
      </c>
      <c r="AP8" s="59" t="s">
        <v>34</v>
      </c>
      <c r="AQ8" s="59" t="s">
        <v>33</v>
      </c>
      <c r="AR8" s="59" t="s">
        <v>32</v>
      </c>
      <c r="AS8" s="59" t="s">
        <v>32</v>
      </c>
      <c r="AT8" s="59" t="s">
        <v>34</v>
      </c>
      <c r="AU8" s="59" t="s">
        <v>33</v>
      </c>
      <c r="AV8" s="59" t="s">
        <v>32</v>
      </c>
      <c r="AW8" s="59" t="s">
        <v>32</v>
      </c>
      <c r="AX8" s="59" t="s">
        <v>34</v>
      </c>
      <c r="AY8" s="59" t="s">
        <v>33</v>
      </c>
      <c r="AZ8" s="59" t="s">
        <v>32</v>
      </c>
      <c r="BA8" s="59" t="s">
        <v>32</v>
      </c>
      <c r="BB8" s="59" t="s">
        <v>34</v>
      </c>
      <c r="BC8" s="59" t="s">
        <v>33</v>
      </c>
      <c r="BD8" s="59" t="s">
        <v>32</v>
      </c>
      <c r="BE8" s="59" t="s">
        <v>32</v>
      </c>
      <c r="BF8" s="59" t="s">
        <v>34</v>
      </c>
      <c r="BG8" s="59" t="s">
        <v>33</v>
      </c>
      <c r="BH8" s="59" t="s">
        <v>32</v>
      </c>
      <c r="BI8" s="59" t="s">
        <v>32</v>
      </c>
      <c r="BJ8" s="59" t="s">
        <v>34</v>
      </c>
      <c r="BK8" s="59" t="s">
        <v>33</v>
      </c>
      <c r="BL8" s="59" t="s">
        <v>32</v>
      </c>
      <c r="BM8" s="59" t="s">
        <v>32</v>
      </c>
      <c r="BN8" s="59" t="s">
        <v>34</v>
      </c>
      <c r="BO8" s="59" t="s">
        <v>33</v>
      </c>
      <c r="BP8" s="59" t="s">
        <v>32</v>
      </c>
      <c r="BQ8" s="59" t="s">
        <v>32</v>
      </c>
      <c r="BR8" s="59" t="s">
        <v>34</v>
      </c>
      <c r="BS8" s="59" t="s">
        <v>33</v>
      </c>
      <c r="BT8" s="59" t="s">
        <v>32</v>
      </c>
      <c r="BU8" s="59" t="s">
        <v>32</v>
      </c>
      <c r="BV8" s="59" t="s">
        <v>34</v>
      </c>
      <c r="BW8" s="59" t="s">
        <v>33</v>
      </c>
      <c r="BX8" s="59" t="s">
        <v>32</v>
      </c>
      <c r="BY8" s="59" t="s">
        <v>32</v>
      </c>
      <c r="BZ8" s="59" t="s">
        <v>34</v>
      </c>
      <c r="CA8" s="59" t="s">
        <v>29</v>
      </c>
      <c r="CB8" s="59" t="s">
        <v>35</v>
      </c>
      <c r="CC8" s="59" t="s">
        <v>35</v>
      </c>
      <c r="CD8" s="59" t="s">
        <v>34</v>
      </c>
      <c r="CE8" s="59" t="s">
        <v>33</v>
      </c>
      <c r="CF8" s="59" t="s">
        <v>32</v>
      </c>
      <c r="CG8" s="59" t="s">
        <v>32</v>
      </c>
      <c r="CH8" s="59" t="s">
        <v>34</v>
      </c>
      <c r="CI8" s="59" t="s">
        <v>29</v>
      </c>
      <c r="CJ8" s="59" t="s">
        <v>35</v>
      </c>
      <c r="CK8" s="59" t="s">
        <v>35</v>
      </c>
      <c r="CL8" s="59" t="s">
        <v>34</v>
      </c>
      <c r="CM8" s="59" t="s">
        <v>29</v>
      </c>
      <c r="CN8" s="59" t="s">
        <v>35</v>
      </c>
      <c r="CO8" s="59" t="s">
        <v>35</v>
      </c>
      <c r="CP8" s="59" t="s">
        <v>34</v>
      </c>
      <c r="CQ8" s="59" t="s">
        <v>29</v>
      </c>
      <c r="CR8" s="59" t="s">
        <v>35</v>
      </c>
      <c r="CS8" s="59" t="s">
        <v>35</v>
      </c>
      <c r="CT8" s="59" t="s">
        <v>34</v>
      </c>
      <c r="CU8" s="87"/>
      <c r="CV8" s="87"/>
      <c r="CW8" s="87"/>
      <c r="CX8" s="87"/>
      <c r="CY8" s="86"/>
    </row>
    <row r="9" spans="1:103" ht="15.75">
      <c r="A9" s="51"/>
      <c r="B9" s="51"/>
      <c r="C9" s="51"/>
      <c r="D9" s="51"/>
      <c r="E9" s="59" t="s">
        <v>36</v>
      </c>
      <c r="F9" s="51"/>
      <c r="G9" s="51"/>
      <c r="H9" s="51"/>
      <c r="I9" s="59" t="s">
        <v>36</v>
      </c>
      <c r="J9" s="51"/>
      <c r="K9" s="51"/>
      <c r="L9" s="51"/>
      <c r="M9" s="59" t="s">
        <v>36</v>
      </c>
      <c r="N9" s="51"/>
      <c r="O9" s="51"/>
      <c r="P9" s="51"/>
      <c r="Q9" s="59" t="s">
        <v>36</v>
      </c>
      <c r="R9" s="51"/>
      <c r="S9" s="51"/>
      <c r="T9" s="51"/>
      <c r="U9" s="59" t="s">
        <v>36</v>
      </c>
      <c r="V9" s="51"/>
      <c r="W9" s="51"/>
      <c r="X9" s="51"/>
      <c r="Y9" s="59" t="s">
        <v>36</v>
      </c>
      <c r="Z9" s="51"/>
      <c r="AA9" s="51"/>
      <c r="AB9" s="51"/>
      <c r="AC9" s="59" t="s">
        <v>36</v>
      </c>
      <c r="AD9" s="52" t="s">
        <v>37</v>
      </c>
      <c r="AE9" s="51"/>
      <c r="AF9" s="51"/>
      <c r="AG9" s="59" t="s">
        <v>36</v>
      </c>
      <c r="AH9" s="52" t="s">
        <v>37</v>
      </c>
      <c r="AI9" s="51"/>
      <c r="AJ9" s="51"/>
      <c r="AK9" s="59" t="s">
        <v>36</v>
      </c>
      <c r="AL9" s="51"/>
      <c r="AM9" s="51"/>
      <c r="AN9" s="51"/>
      <c r="AO9" s="59" t="s">
        <v>36</v>
      </c>
      <c r="AP9" s="51"/>
      <c r="AQ9" s="51"/>
      <c r="AR9" s="51"/>
      <c r="AS9" s="59" t="s">
        <v>36</v>
      </c>
      <c r="AT9" s="51"/>
      <c r="AU9" s="51"/>
      <c r="AV9" s="51"/>
      <c r="AW9" s="59" t="s">
        <v>36</v>
      </c>
      <c r="AX9" s="51"/>
      <c r="AY9" s="51"/>
      <c r="AZ9" s="51"/>
      <c r="BA9" s="59" t="s">
        <v>36</v>
      </c>
      <c r="BB9" s="51"/>
      <c r="BC9" s="51"/>
      <c r="BD9" s="51"/>
      <c r="BE9" s="59" t="s">
        <v>36</v>
      </c>
      <c r="BF9" s="51"/>
      <c r="BG9" s="51"/>
      <c r="BH9" s="51"/>
      <c r="BI9" s="59" t="s">
        <v>36</v>
      </c>
      <c r="BJ9" s="51"/>
      <c r="BK9" s="51"/>
      <c r="BL9" s="51"/>
      <c r="BM9" s="59" t="s">
        <v>36</v>
      </c>
      <c r="BN9" s="51"/>
      <c r="BO9" s="51"/>
      <c r="BP9" s="51"/>
      <c r="BQ9" s="59" t="s">
        <v>36</v>
      </c>
      <c r="BR9" s="51"/>
      <c r="BS9" s="51"/>
      <c r="BT9" s="51"/>
      <c r="BU9" s="59" t="s">
        <v>36</v>
      </c>
      <c r="BV9" s="51"/>
      <c r="BW9" s="51"/>
      <c r="BX9" s="51"/>
      <c r="BY9" s="59" t="s">
        <v>36</v>
      </c>
      <c r="BZ9" s="51"/>
      <c r="CA9" s="59" t="s">
        <v>33</v>
      </c>
      <c r="CB9" s="59" t="s">
        <v>31</v>
      </c>
      <c r="CC9" s="59" t="s">
        <v>31</v>
      </c>
      <c r="CD9" s="51"/>
      <c r="CE9" s="51"/>
      <c r="CF9" s="51"/>
      <c r="CG9" s="59" t="s">
        <v>36</v>
      </c>
      <c r="CH9" s="51"/>
      <c r="CI9" s="59" t="s">
        <v>33</v>
      </c>
      <c r="CJ9" s="59" t="s">
        <v>31</v>
      </c>
      <c r="CK9" s="59" t="s">
        <v>31</v>
      </c>
      <c r="CL9" s="51"/>
      <c r="CM9" s="59" t="s">
        <v>33</v>
      </c>
      <c r="CN9" s="59" t="s">
        <v>31</v>
      </c>
      <c r="CO9" s="59" t="s">
        <v>31</v>
      </c>
      <c r="CP9" s="51"/>
      <c r="CQ9" s="59" t="s">
        <v>33</v>
      </c>
      <c r="CR9" s="59" t="s">
        <v>31</v>
      </c>
      <c r="CS9" s="59" t="s">
        <v>31</v>
      </c>
      <c r="CT9" s="51"/>
      <c r="CU9" s="87"/>
      <c r="CV9" s="87"/>
      <c r="CW9" s="87"/>
      <c r="CX9" s="56"/>
      <c r="CY9" s="86"/>
    </row>
    <row r="10" spans="1:103" ht="16.5" thickBo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9" t="s">
        <v>36</v>
      </c>
      <c r="CD10" s="51"/>
      <c r="CE10" s="51"/>
      <c r="CF10" s="51"/>
      <c r="CG10" s="51"/>
      <c r="CH10" s="51"/>
      <c r="CI10" s="51"/>
      <c r="CJ10" s="51"/>
      <c r="CK10" s="59" t="s">
        <v>36</v>
      </c>
      <c r="CL10" s="51"/>
      <c r="CM10" s="51"/>
      <c r="CN10" s="51"/>
      <c r="CO10" s="59" t="s">
        <v>36</v>
      </c>
      <c r="CP10" s="51"/>
      <c r="CQ10" s="51"/>
      <c r="CR10" s="51"/>
      <c r="CS10" s="59" t="s">
        <v>36</v>
      </c>
      <c r="CT10" s="51"/>
      <c r="CU10" s="56"/>
      <c r="CV10" s="56"/>
      <c r="CW10" s="87"/>
      <c r="CX10" s="56"/>
      <c r="CY10" s="86"/>
    </row>
    <row r="11" spans="1:103" ht="16.5" thickTop="1">
      <c r="A11" s="61" t="s">
        <v>3</v>
      </c>
      <c r="B11" s="58"/>
      <c r="C11" s="62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6"/>
      <c r="CV11" s="56"/>
      <c r="CW11" s="56"/>
      <c r="CX11" s="56"/>
      <c r="CY11" s="86"/>
    </row>
    <row r="12" spans="1:103" ht="15.75">
      <c r="A12" s="63">
        <v>1</v>
      </c>
      <c r="B12" s="64" t="s">
        <v>38</v>
      </c>
      <c r="C12" s="95">
        <v>2.2218</v>
      </c>
      <c r="D12" s="96">
        <v>65.18</v>
      </c>
      <c r="E12" s="96">
        <f>D$34/C12</f>
        <v>65.17238275272302</v>
      </c>
      <c r="F12" s="51">
        <v>65.02</v>
      </c>
      <c r="G12" s="51">
        <v>2.221</v>
      </c>
      <c r="H12" s="51">
        <v>65.11</v>
      </c>
      <c r="I12" s="65">
        <f>H$34/G12</f>
        <v>65.11031067086898</v>
      </c>
      <c r="J12" s="51">
        <v>65.08</v>
      </c>
      <c r="K12" s="51">
        <v>2.222</v>
      </c>
      <c r="L12" s="65">
        <v>65.09</v>
      </c>
      <c r="M12" s="65">
        <f>L$34/K12</f>
        <v>65.09000900090008</v>
      </c>
      <c r="N12" s="51">
        <v>65</v>
      </c>
      <c r="O12" s="51">
        <v>2.2235</v>
      </c>
      <c r="P12" s="65">
        <v>64.72</v>
      </c>
      <c r="Q12" s="65">
        <f>P$34/O12</f>
        <v>64.71778727231842</v>
      </c>
      <c r="R12" s="51">
        <v>64.84</v>
      </c>
      <c r="S12" s="51">
        <v>2.2301</v>
      </c>
      <c r="T12" s="65">
        <v>64.62</v>
      </c>
      <c r="U12" s="65">
        <f>T$34/S12</f>
        <v>64.6204206089413</v>
      </c>
      <c r="V12" s="51">
        <v>64.71</v>
      </c>
      <c r="W12" s="66">
        <v>2.2342</v>
      </c>
      <c r="X12" s="65">
        <v>64.6</v>
      </c>
      <c r="Y12" s="65">
        <f>X$34/W12</f>
        <v>64.60030435950229</v>
      </c>
      <c r="Z12" s="51">
        <v>64.78</v>
      </c>
      <c r="AA12" s="51">
        <v>2.2087</v>
      </c>
      <c r="AB12" s="65">
        <v>65.28</v>
      </c>
      <c r="AC12" s="65">
        <f>AB$34/AA12</f>
        <v>65.27821795626387</v>
      </c>
      <c r="AD12" s="51">
        <v>65.36</v>
      </c>
      <c r="AE12" s="51">
        <v>2.1902</v>
      </c>
      <c r="AF12" s="65">
        <v>65.53</v>
      </c>
      <c r="AG12" s="65">
        <f>AF$34/AE12</f>
        <v>65.52369646607616</v>
      </c>
      <c r="AH12" s="51">
        <v>65.37</v>
      </c>
      <c r="AI12" s="51">
        <v>2.1768</v>
      </c>
      <c r="AJ12" s="65">
        <v>65.67</v>
      </c>
      <c r="AK12" s="65">
        <f>AJ$34/AI12</f>
        <v>65.6651966188901</v>
      </c>
      <c r="AL12" s="51">
        <v>64.85</v>
      </c>
      <c r="AM12" s="51">
        <v>2.1846</v>
      </c>
      <c r="AN12" s="65">
        <v>65.37</v>
      </c>
      <c r="AO12" s="65">
        <f>AN$34/AM12</f>
        <v>65.37123500869724</v>
      </c>
      <c r="AP12" s="51">
        <v>65.34</v>
      </c>
      <c r="AQ12" s="51">
        <v>2.1631</v>
      </c>
      <c r="AR12" s="65">
        <v>65.61</v>
      </c>
      <c r="AS12" s="65">
        <f>AR$34/AQ12</f>
        <v>65.61416485599372</v>
      </c>
      <c r="AT12" s="51">
        <v>65.61</v>
      </c>
      <c r="AU12" s="51">
        <v>2.1462</v>
      </c>
      <c r="AV12" s="65">
        <v>65.95</v>
      </c>
      <c r="AW12" s="65">
        <f>AV$34/AU12</f>
        <v>65.94911937377691</v>
      </c>
      <c r="AX12" s="51">
        <v>65.55</v>
      </c>
      <c r="AY12" s="51">
        <v>2.1457</v>
      </c>
      <c r="AZ12" s="65">
        <v>65.99</v>
      </c>
      <c r="BA12" s="65">
        <f>AZ$34/AY12</f>
        <v>65.99245001631168</v>
      </c>
      <c r="BB12" s="51">
        <v>65.55</v>
      </c>
      <c r="BC12" s="51">
        <v>2.1427</v>
      </c>
      <c r="BD12" s="65">
        <v>66.15</v>
      </c>
      <c r="BE12" s="65">
        <f>BD$34/BC12</f>
        <v>66.1501843468521</v>
      </c>
      <c r="BF12" s="51">
        <v>65.63</v>
      </c>
      <c r="BG12" s="51">
        <v>2.1413</v>
      </c>
      <c r="BH12" s="65">
        <v>66.12</v>
      </c>
      <c r="BI12" s="65">
        <f>BH$34/BG12</f>
        <v>66.11404287115303</v>
      </c>
      <c r="BJ12" s="51">
        <v>65.74</v>
      </c>
      <c r="BK12" s="51">
        <v>2.1287</v>
      </c>
      <c r="BL12" s="65">
        <v>66.67</v>
      </c>
      <c r="BM12" s="65">
        <f>BL$34/BK12</f>
        <v>66.66510076572557</v>
      </c>
      <c r="BN12" s="51">
        <v>66.46</v>
      </c>
      <c r="BO12" s="51">
        <v>2.1429</v>
      </c>
      <c r="BP12" s="65">
        <v>66.98</v>
      </c>
      <c r="BQ12" s="65">
        <f>BP$34/BO12</f>
        <v>66.97932708012506</v>
      </c>
      <c r="BR12" s="51">
        <v>66.61</v>
      </c>
      <c r="BS12" s="51">
        <v>2.1408</v>
      </c>
      <c r="BT12" s="65">
        <v>66.97</v>
      </c>
      <c r="BU12" s="65">
        <f>BT$34/BS12</f>
        <v>66.97029147982063</v>
      </c>
      <c r="BV12" s="51">
        <v>66.7</v>
      </c>
      <c r="BW12" s="51">
        <v>2.1507</v>
      </c>
      <c r="BX12" s="65">
        <v>66.9</v>
      </c>
      <c r="BY12" s="65">
        <f>BX$34/BW12</f>
        <v>66.89914911424187</v>
      </c>
      <c r="BZ12" s="51">
        <v>66.56</v>
      </c>
      <c r="CA12" s="51">
        <v>2.1609</v>
      </c>
      <c r="CB12" s="65">
        <v>66.55</v>
      </c>
      <c r="CC12" s="65">
        <f>CB$34/CA12</f>
        <v>66.55560183256976</v>
      </c>
      <c r="CD12" s="51">
        <v>66.49</v>
      </c>
      <c r="CE12" s="51">
        <v>2.1478</v>
      </c>
      <c r="CF12" s="65">
        <v>66.82</v>
      </c>
      <c r="CG12" s="65">
        <f>CF$34/CE12</f>
        <v>66.82186423316882</v>
      </c>
      <c r="CH12" s="51">
        <v>66.68</v>
      </c>
      <c r="CI12" s="51">
        <v>2.1504</v>
      </c>
      <c r="CJ12" s="65">
        <v>66.78</v>
      </c>
      <c r="CK12" s="65">
        <f>CJ$34/CI12</f>
        <v>66.77827380952381</v>
      </c>
      <c r="CL12" s="51">
        <v>66.56</v>
      </c>
      <c r="CM12" s="51">
        <v>2.1394</v>
      </c>
      <c r="CN12" s="65">
        <v>66.81</v>
      </c>
      <c r="CO12" s="65">
        <f>CN$34/CM12</f>
        <v>66.808450967561</v>
      </c>
      <c r="CP12" s="51">
        <v>66.78</v>
      </c>
      <c r="CQ12" s="51">
        <f aca="true" t="shared" si="0" ref="CQ12:CQ34">(C12+G12+K12+O12+S12+W12+AA12+AE12+AI12+AM12+AQ12+AU12+AY12+BC12+BG12+BK12+BO12+BS12+BW12+CA12+CE12+CI12+CM12)/23</f>
        <v>2.1744999999999997</v>
      </c>
      <c r="CR12" s="51">
        <f aca="true" t="shared" si="1" ref="CR12:CR34">(D12+H12+L12+P12+T12+X12+AB12+AF12+AJ12+AN12+AR12+AV12+AZ12+BD12+BH12+BL12+BP12+BT12+BX12+CB12+CF12+CJ12+CN12)/23</f>
        <v>65.89</v>
      </c>
      <c r="CS12" s="51">
        <f aca="true" t="shared" si="2" ref="CS12:CT34">(E12+I12+M12+Q12+U12+Y12+AC12+AG12+AK12+AO12+AS12+AW12+BA12+BE12+BI12+BM12+BQ12+BU12+BY12+CC12+CG12+CK12+CO12)/23</f>
        <v>65.88902528095676</v>
      </c>
      <c r="CT12" s="51">
        <f>(F12+J12+N12+R12+V12+Z12+AD12+AH12+AL12+AP12+AT12+AX12+BB12+BF12+BJ12+BN12+BR12+BV12+BZ12+CD12+CH12+CL12+CP12)/23</f>
        <v>65.70739130434781</v>
      </c>
      <c r="CU12" s="56"/>
      <c r="CV12" s="56"/>
      <c r="CW12" s="56"/>
      <c r="CX12" s="56"/>
      <c r="CY12" s="86"/>
    </row>
    <row r="13" spans="1:103" ht="15.75">
      <c r="A13" s="63">
        <v>2</v>
      </c>
      <c r="B13" s="64" t="s">
        <v>39</v>
      </c>
      <c r="C13" s="95">
        <v>124.7</v>
      </c>
      <c r="D13" s="96">
        <v>116.12</v>
      </c>
      <c r="E13" s="96">
        <f>D$34/C13*100</f>
        <v>116.1186848436247</v>
      </c>
      <c r="F13" s="51"/>
      <c r="G13" s="51">
        <v>123.74</v>
      </c>
      <c r="H13" s="51">
        <v>116.86</v>
      </c>
      <c r="I13" s="65">
        <f>H$34/G13*100</f>
        <v>116.86600937449492</v>
      </c>
      <c r="J13" s="51"/>
      <c r="K13" s="51">
        <v>123.9</v>
      </c>
      <c r="L13" s="65">
        <v>116.73</v>
      </c>
      <c r="M13" s="65">
        <f>L$34/K13*100</f>
        <v>116.73123486682809</v>
      </c>
      <c r="N13" s="51"/>
      <c r="O13" s="51">
        <v>123.87</v>
      </c>
      <c r="P13" s="65">
        <v>116.17</v>
      </c>
      <c r="Q13" s="65">
        <f>P$34/O13*100</f>
        <v>116.17017841285218</v>
      </c>
      <c r="R13" s="51"/>
      <c r="S13" s="51">
        <v>123.85</v>
      </c>
      <c r="T13" s="65">
        <v>116.35</v>
      </c>
      <c r="U13" s="65">
        <f>T$34/S13*100</f>
        <v>116.35849818328626</v>
      </c>
      <c r="V13" s="51"/>
      <c r="W13" s="51">
        <v>123.49</v>
      </c>
      <c r="X13" s="65">
        <v>116.87</v>
      </c>
      <c r="Y13" s="65">
        <f>X$34/W13*100</f>
        <v>116.87586039355415</v>
      </c>
      <c r="Z13" s="51"/>
      <c r="AA13" s="51">
        <v>123.44</v>
      </c>
      <c r="AB13" s="65">
        <v>116.8</v>
      </c>
      <c r="AC13" s="65">
        <f>AB$34/AA13*100</f>
        <v>116.80168502916398</v>
      </c>
      <c r="AD13" s="51"/>
      <c r="AE13" s="51">
        <v>122.51</v>
      </c>
      <c r="AF13" s="65">
        <v>117.15</v>
      </c>
      <c r="AG13" s="65">
        <f>AF$34/AE13*100</f>
        <v>117.14145784017632</v>
      </c>
      <c r="AH13" s="51"/>
      <c r="AI13" s="51">
        <v>121.46</v>
      </c>
      <c r="AJ13" s="65">
        <v>117.69</v>
      </c>
      <c r="AK13" s="65">
        <f>AJ$34/AI13*100</f>
        <v>117.68483451342007</v>
      </c>
      <c r="AL13" s="51"/>
      <c r="AM13" s="51">
        <v>122.78</v>
      </c>
      <c r="AN13" s="65">
        <v>116.31</v>
      </c>
      <c r="AO13" s="65">
        <f>AN$34/AM13*100</f>
        <v>116.31373187815606</v>
      </c>
      <c r="AP13" s="51"/>
      <c r="AQ13" s="51">
        <v>121.42</v>
      </c>
      <c r="AR13" s="65">
        <v>116.89</v>
      </c>
      <c r="AS13" s="65">
        <f>AR$34/AQ13*100</f>
        <v>116.89178059627739</v>
      </c>
      <c r="AT13" s="51"/>
      <c r="AU13" s="51">
        <v>120.11</v>
      </c>
      <c r="AV13" s="65">
        <v>117.84</v>
      </c>
      <c r="AW13" s="65">
        <f>AV$34/AU13*100</f>
        <v>117.84197818666222</v>
      </c>
      <c r="AX13" s="51"/>
      <c r="AY13" s="51">
        <v>120.49</v>
      </c>
      <c r="AZ13" s="65">
        <v>117.52</v>
      </c>
      <c r="BA13" s="65">
        <f>AZ$34/AY13*100</f>
        <v>117.52012615154786</v>
      </c>
      <c r="BB13" s="51"/>
      <c r="BC13" s="51">
        <v>120.62</v>
      </c>
      <c r="BD13" s="65">
        <v>117.51</v>
      </c>
      <c r="BE13" s="65">
        <f>BD$34/BC13*100</f>
        <v>117.50953407395126</v>
      </c>
      <c r="BF13" s="51"/>
      <c r="BG13" s="51">
        <v>119.65</v>
      </c>
      <c r="BH13" s="65">
        <v>118.32</v>
      </c>
      <c r="BI13" s="65">
        <f>BH$34/BG13*100</f>
        <v>118.32010029251985</v>
      </c>
      <c r="BJ13" s="51"/>
      <c r="BK13" s="51">
        <v>119.73</v>
      </c>
      <c r="BL13" s="65">
        <v>118.53</v>
      </c>
      <c r="BM13" s="65">
        <f>BL$34/BK13*100</f>
        <v>118.52501461621982</v>
      </c>
      <c r="BN13" s="51"/>
      <c r="BO13" s="51">
        <v>120.35</v>
      </c>
      <c r="BP13" s="65">
        <v>119.26</v>
      </c>
      <c r="BQ13" s="65">
        <f>BP$34/BO13*100</f>
        <v>119.26049023680932</v>
      </c>
      <c r="BR13" s="51"/>
      <c r="BS13" s="51">
        <v>119.83</v>
      </c>
      <c r="BT13" s="65">
        <v>119.65</v>
      </c>
      <c r="BU13" s="65">
        <f>BT$34/BS13*100</f>
        <v>119.64449636985731</v>
      </c>
      <c r="BV13" s="51"/>
      <c r="BW13" s="51">
        <v>120.11</v>
      </c>
      <c r="BX13" s="65">
        <v>119.79</v>
      </c>
      <c r="BY13" s="65">
        <f>BX$34/BW13*100</f>
        <v>119.79019232370327</v>
      </c>
      <c r="BZ13" s="51"/>
      <c r="CA13" s="51">
        <v>120.28</v>
      </c>
      <c r="CB13" s="65">
        <v>119.57</v>
      </c>
      <c r="CC13" s="65">
        <f>CB$34/CA13*100</f>
        <v>119.57100099767209</v>
      </c>
      <c r="CD13" s="51"/>
      <c r="CE13" s="51">
        <v>119.2</v>
      </c>
      <c r="CF13" s="65">
        <v>120.4</v>
      </c>
      <c r="CG13" s="65">
        <f>CF$34/CE13*100</f>
        <v>120.4026845637584</v>
      </c>
      <c r="CH13" s="51"/>
      <c r="CI13" s="51">
        <v>119.82</v>
      </c>
      <c r="CJ13" s="65">
        <v>119.85</v>
      </c>
      <c r="CK13" s="65">
        <f>CJ$34/CI13*100</f>
        <v>119.8464363211484</v>
      </c>
      <c r="CL13" s="51"/>
      <c r="CM13" s="51">
        <v>118.97</v>
      </c>
      <c r="CN13" s="65">
        <v>120.14</v>
      </c>
      <c r="CO13" s="65">
        <f>CN$34/CM13*100</f>
        <v>120.13953097419518</v>
      </c>
      <c r="CP13" s="51"/>
      <c r="CQ13" s="51">
        <f t="shared" si="0"/>
        <v>121.49217391304349</v>
      </c>
      <c r="CR13" s="51">
        <f t="shared" si="1"/>
        <v>117.92695652173911</v>
      </c>
      <c r="CS13" s="51">
        <f t="shared" si="2"/>
        <v>117.92719743651647</v>
      </c>
      <c r="CT13" s="51"/>
      <c r="CU13" s="56"/>
      <c r="CV13" s="56"/>
      <c r="CW13" s="56"/>
      <c r="CX13" s="56"/>
      <c r="CY13" s="86"/>
    </row>
    <row r="14" spans="1:103" ht="15.75">
      <c r="A14" s="63">
        <v>3</v>
      </c>
      <c r="B14" s="64" t="s">
        <v>40</v>
      </c>
      <c r="C14" s="95">
        <f>1/1.4321</f>
        <v>0.6982752601075344</v>
      </c>
      <c r="D14" s="96">
        <v>207.37</v>
      </c>
      <c r="E14" s="96">
        <f>D$34/C14</f>
        <v>207.36808000000002</v>
      </c>
      <c r="F14" s="51"/>
      <c r="G14" s="51">
        <f>1/1.4298</f>
        <v>0.6993985172751433</v>
      </c>
      <c r="H14" s="51">
        <v>206.76</v>
      </c>
      <c r="I14" s="65">
        <f>H$34/G14</f>
        <v>206.76337800000002</v>
      </c>
      <c r="J14" s="51"/>
      <c r="K14" s="51">
        <f>1/1.4288</f>
        <v>0.6998880179171332</v>
      </c>
      <c r="L14" s="65">
        <v>206.65</v>
      </c>
      <c r="M14" s="65">
        <f>L$34/K14</f>
        <v>206.647344</v>
      </c>
      <c r="N14" s="51"/>
      <c r="O14" s="51">
        <f>1/1.4172</f>
        <v>0.7056167090036692</v>
      </c>
      <c r="P14" s="65">
        <v>203.94</v>
      </c>
      <c r="Q14" s="65">
        <f>P$34/O14</f>
        <v>203.93508</v>
      </c>
      <c r="R14" s="51"/>
      <c r="S14" s="51">
        <f>1/1.4151</f>
        <v>0.7066638400113066</v>
      </c>
      <c r="T14" s="65">
        <v>203.92</v>
      </c>
      <c r="U14" s="65">
        <f>T$34/S14</f>
        <v>203.93006100000005</v>
      </c>
      <c r="V14" s="51"/>
      <c r="W14" s="51">
        <f>1/1.4165</f>
        <v>0.7059654076950229</v>
      </c>
      <c r="X14" s="65">
        <v>204.44</v>
      </c>
      <c r="Y14" s="65">
        <f>X$34/W14</f>
        <v>204.44344500000003</v>
      </c>
      <c r="Z14" s="51"/>
      <c r="AA14" s="51">
        <f>1/1.4222</f>
        <v>0.7031359864997891</v>
      </c>
      <c r="AB14" s="65">
        <v>205.05</v>
      </c>
      <c r="AC14" s="65">
        <f>AB$34/AA14</f>
        <v>205.05279599999997</v>
      </c>
      <c r="AD14" s="51"/>
      <c r="AE14" s="51">
        <f>1/1.4244</f>
        <v>0.7020499859590003</v>
      </c>
      <c r="AF14" s="65">
        <v>204.42</v>
      </c>
      <c r="AG14" s="65">
        <f>AF$34/AE14</f>
        <v>204.415644</v>
      </c>
      <c r="AH14" s="51"/>
      <c r="AI14" s="51">
        <f>1/1.4233</f>
        <v>0.7025925665706457</v>
      </c>
      <c r="AJ14" s="65">
        <v>203.45</v>
      </c>
      <c r="AK14" s="65">
        <f>AJ$34/AI14</f>
        <v>203.44650199999998</v>
      </c>
      <c r="AL14" s="51"/>
      <c r="AM14" s="51">
        <f>1/1.4196</f>
        <v>0.7044237813468582</v>
      </c>
      <c r="AN14" s="65">
        <v>202.73</v>
      </c>
      <c r="AO14" s="65">
        <f>AN$34/AM14</f>
        <v>202.733076</v>
      </c>
      <c r="AP14" s="51"/>
      <c r="AQ14" s="51">
        <f>1/1.43</f>
        <v>0.6993006993006994</v>
      </c>
      <c r="AR14" s="65">
        <v>202.95</v>
      </c>
      <c r="AS14" s="65">
        <f>AR$34/AQ14</f>
        <v>202.95989999999998</v>
      </c>
      <c r="AT14" s="51"/>
      <c r="AU14" s="51">
        <f>1/1.4423</f>
        <v>0.6933370311308328</v>
      </c>
      <c r="AV14" s="65">
        <v>204.14</v>
      </c>
      <c r="AW14" s="65">
        <f>AV$34/AU14</f>
        <v>204.14314199999995</v>
      </c>
      <c r="AX14" s="51"/>
      <c r="AY14" s="51">
        <f>1/1.4418</f>
        <v>0.6935774726036898</v>
      </c>
      <c r="AZ14" s="65">
        <v>204.17</v>
      </c>
      <c r="BA14" s="65">
        <f>AZ$34/AY14</f>
        <v>204.15887999999998</v>
      </c>
      <c r="BB14" s="51"/>
      <c r="BC14" s="51">
        <f>1/1.4438</f>
        <v>0.6926167059149467</v>
      </c>
      <c r="BD14" s="65">
        <v>204.64</v>
      </c>
      <c r="BE14" s="65">
        <f>BD$34/BC14</f>
        <v>204.64421199999998</v>
      </c>
      <c r="BF14" s="51"/>
      <c r="BG14" s="51">
        <f>1/1.448</f>
        <v>0.6906077348066298</v>
      </c>
      <c r="BH14" s="65">
        <v>204.99</v>
      </c>
      <c r="BI14" s="65">
        <f>BH$34/BG14</f>
        <v>204.99336</v>
      </c>
      <c r="BJ14" s="51"/>
      <c r="BK14" s="51">
        <f>1/1.4553</f>
        <v>0.6871435442864015</v>
      </c>
      <c r="BL14" s="65">
        <v>206.52</v>
      </c>
      <c r="BM14" s="65">
        <f>BL$34/BK14</f>
        <v>206.52162299999998</v>
      </c>
      <c r="BN14" s="51"/>
      <c r="BO14" s="51">
        <f>1/1.4467</f>
        <v>0.6912283127116886</v>
      </c>
      <c r="BP14" s="65">
        <v>207.65</v>
      </c>
      <c r="BQ14" s="65">
        <f>BP$34/BO14</f>
        <v>207.64485100000002</v>
      </c>
      <c r="BR14" s="51"/>
      <c r="BS14" s="51">
        <f>1/1.4461</f>
        <v>0.691515109605145</v>
      </c>
      <c r="BT14" s="65">
        <v>207.33</v>
      </c>
      <c r="BU14" s="65">
        <f>BT$34/BS14</f>
        <v>207.32735699999998</v>
      </c>
      <c r="BV14" s="51"/>
      <c r="BW14" s="51">
        <f>1/1.4437</f>
        <v>0.6926646810279143</v>
      </c>
      <c r="BX14" s="65">
        <v>207.72</v>
      </c>
      <c r="BY14" s="65">
        <f>BX$34/BW14</f>
        <v>207.719556</v>
      </c>
      <c r="BZ14" s="51"/>
      <c r="CA14" s="51">
        <f>1/1.4379</f>
        <v>0.6954586549829613</v>
      </c>
      <c r="CB14" s="65">
        <v>206.79</v>
      </c>
      <c r="CC14" s="65">
        <f>CB$34/CA14</f>
        <v>206.79877799999997</v>
      </c>
      <c r="CD14" s="51"/>
      <c r="CE14" s="51">
        <f>1/1.4525</f>
        <v>0.6884681583476765</v>
      </c>
      <c r="CF14" s="65">
        <v>208.46</v>
      </c>
      <c r="CG14" s="65">
        <f>CF$34/CE14</f>
        <v>208.4628</v>
      </c>
      <c r="CH14" s="51"/>
      <c r="CI14" s="51">
        <f>1/1.4537</f>
        <v>0.6878998417830364</v>
      </c>
      <c r="CJ14" s="65">
        <v>208.75</v>
      </c>
      <c r="CK14" s="65">
        <f>CJ$34/CI14</f>
        <v>208.75132</v>
      </c>
      <c r="CL14" s="51"/>
      <c r="CM14" s="51">
        <f>1/1.4548</f>
        <v>0.6873797085510035</v>
      </c>
      <c r="CN14" s="65">
        <v>207.94</v>
      </c>
      <c r="CO14" s="65">
        <f>CN$34/CM14</f>
        <v>207.93456400000002</v>
      </c>
      <c r="CP14" s="51"/>
      <c r="CQ14" s="51">
        <f t="shared" si="0"/>
        <v>0.6964872924973361</v>
      </c>
      <c r="CR14" s="51">
        <f t="shared" si="1"/>
        <v>205.68608695652173</v>
      </c>
      <c r="CS14" s="51">
        <f t="shared" si="2"/>
        <v>205.6867716956522</v>
      </c>
      <c r="CT14" s="51"/>
      <c r="CU14" s="56"/>
      <c r="CV14" s="56"/>
      <c r="CW14" s="56"/>
      <c r="CX14" s="56"/>
      <c r="CY14" s="86"/>
    </row>
    <row r="15" spans="1:103" ht="15.75">
      <c r="A15" s="63">
        <v>4</v>
      </c>
      <c r="B15" s="64" t="s">
        <v>41</v>
      </c>
      <c r="C15" s="95">
        <v>1.7147</v>
      </c>
      <c r="D15" s="96">
        <v>84.45</v>
      </c>
      <c r="E15" s="96">
        <f>D$34/C15</f>
        <v>84.44625882078499</v>
      </c>
      <c r="F15" s="51"/>
      <c r="G15" s="51">
        <v>1.713</v>
      </c>
      <c r="H15" s="51">
        <v>84.42</v>
      </c>
      <c r="I15" s="65">
        <f>H$34/G15</f>
        <v>84.41914769410391</v>
      </c>
      <c r="J15" s="51"/>
      <c r="K15" s="51">
        <v>1.7114</v>
      </c>
      <c r="L15" s="65">
        <v>84.51</v>
      </c>
      <c r="M15" s="65">
        <f>L$34/K15</f>
        <v>84.50975809278953</v>
      </c>
      <c r="N15" s="51"/>
      <c r="O15" s="51">
        <v>1.7128</v>
      </c>
      <c r="P15" s="65">
        <v>84.02</v>
      </c>
      <c r="Q15" s="65">
        <f>P$34/O15</f>
        <v>84.01447921531994</v>
      </c>
      <c r="R15" s="51"/>
      <c r="S15" s="51">
        <v>1.7174</v>
      </c>
      <c r="T15" s="65">
        <v>83.91</v>
      </c>
      <c r="U15" s="65">
        <f>T$34/S15</f>
        <v>83.91172702923024</v>
      </c>
      <c r="V15" s="51"/>
      <c r="W15" s="51">
        <v>1.7198</v>
      </c>
      <c r="X15" s="65">
        <v>83.92</v>
      </c>
      <c r="Y15" s="65">
        <f>X$34/W15</f>
        <v>83.9225491336202</v>
      </c>
      <c r="Z15" s="51"/>
      <c r="AA15" s="51">
        <v>1.7</v>
      </c>
      <c r="AB15" s="65">
        <v>84.81</v>
      </c>
      <c r="AC15" s="65">
        <f>AB$34/AA15</f>
        <v>84.81176470588235</v>
      </c>
      <c r="AD15" s="51"/>
      <c r="AE15" s="51">
        <v>1.6921</v>
      </c>
      <c r="AF15" s="65">
        <v>84.81</v>
      </c>
      <c r="AG15" s="65">
        <f>AF$34/AE15</f>
        <v>84.81177235387979</v>
      </c>
      <c r="AH15" s="51"/>
      <c r="AI15" s="51">
        <v>1.683</v>
      </c>
      <c r="AJ15" s="65">
        <v>84.93</v>
      </c>
      <c r="AK15" s="65">
        <f>AJ$34/AI15</f>
        <v>84.93166963755199</v>
      </c>
      <c r="AL15" s="51"/>
      <c r="AM15" s="51">
        <v>1.6914</v>
      </c>
      <c r="AN15" s="65">
        <v>84.43</v>
      </c>
      <c r="AO15" s="65">
        <f>AN$34/AM15</f>
        <v>84.43301407118363</v>
      </c>
      <c r="AP15" s="51"/>
      <c r="AQ15" s="51">
        <v>1.673</v>
      </c>
      <c r="AR15" s="65">
        <v>84.83</v>
      </c>
      <c r="AS15" s="65">
        <f>AR$34/AQ15</f>
        <v>84.8356246264196</v>
      </c>
      <c r="AT15" s="51"/>
      <c r="AU15" s="51">
        <v>1.6654</v>
      </c>
      <c r="AV15" s="65">
        <v>84.99</v>
      </c>
      <c r="AW15" s="65">
        <f>AV$34/AU15</f>
        <v>84.98859132941035</v>
      </c>
      <c r="AX15" s="51"/>
      <c r="AY15" s="51">
        <v>1.6648</v>
      </c>
      <c r="AZ15" s="65">
        <v>85.06</v>
      </c>
      <c r="BA15" s="65">
        <f>AZ$34/AY15</f>
        <v>85.05526189332052</v>
      </c>
      <c r="BB15" s="51"/>
      <c r="BC15" s="51">
        <v>1.6624</v>
      </c>
      <c r="BD15" s="65">
        <v>85.26</v>
      </c>
      <c r="BE15" s="65">
        <f>BD$34/BC15</f>
        <v>85.26227141482194</v>
      </c>
      <c r="BF15" s="51"/>
      <c r="BG15" s="51">
        <v>1.6586</v>
      </c>
      <c r="BH15" s="65">
        <v>85.36</v>
      </c>
      <c r="BI15" s="65">
        <f>BH$34/BG15</f>
        <v>85.35511877487036</v>
      </c>
      <c r="BJ15" s="51"/>
      <c r="BK15" s="51">
        <v>1.6528</v>
      </c>
      <c r="BL15" s="65">
        <v>85.86</v>
      </c>
      <c r="BM15" s="65">
        <f>BL$34/BK15</f>
        <v>85.86035818005809</v>
      </c>
      <c r="BN15" s="51"/>
      <c r="BO15" s="51">
        <v>1.665</v>
      </c>
      <c r="BP15" s="65">
        <v>86.2</v>
      </c>
      <c r="BQ15" s="65">
        <f>BP$34/BO15</f>
        <v>86.2042042042042</v>
      </c>
      <c r="BR15" s="51"/>
      <c r="BS15" s="51">
        <v>1.6621</v>
      </c>
      <c r="BT15" s="65">
        <v>86.26</v>
      </c>
      <c r="BU15" s="65">
        <f>BT$34/BS15</f>
        <v>86.2583478731725</v>
      </c>
      <c r="BV15" s="51"/>
      <c r="BW15" s="51">
        <v>1.67</v>
      </c>
      <c r="BX15" s="65">
        <v>86.16</v>
      </c>
      <c r="BY15" s="65">
        <f>BX$34/BW15</f>
        <v>86.1556886227545</v>
      </c>
      <c r="BZ15" s="51"/>
      <c r="CA15" s="51">
        <v>1.6766</v>
      </c>
      <c r="CB15" s="65">
        <v>85.78</v>
      </c>
      <c r="CC15" s="65">
        <f>CB$34/CA15</f>
        <v>85.78074674937372</v>
      </c>
      <c r="CD15" s="51"/>
      <c r="CE15" s="51">
        <v>1.6655</v>
      </c>
      <c r="CF15" s="65">
        <v>86.17</v>
      </c>
      <c r="CG15" s="65">
        <f>CF$34/CE15</f>
        <v>86.17232062443712</v>
      </c>
      <c r="CH15" s="51"/>
      <c r="CI15" s="51">
        <v>1.6683</v>
      </c>
      <c r="CJ15" s="65">
        <v>86.08</v>
      </c>
      <c r="CK15" s="65">
        <f>CJ$34/CI15</f>
        <v>86.0756458670503</v>
      </c>
      <c r="CL15" s="51"/>
      <c r="CM15" s="51">
        <v>1.6583</v>
      </c>
      <c r="CN15" s="65">
        <v>86.19</v>
      </c>
      <c r="CO15" s="65">
        <f>CN$34/CM15</f>
        <v>86.1906771995417</v>
      </c>
      <c r="CP15" s="51"/>
      <c r="CQ15" s="51">
        <f t="shared" si="0"/>
        <v>1.6825391304347825</v>
      </c>
      <c r="CR15" s="51">
        <f t="shared" si="1"/>
        <v>85.14826086956522</v>
      </c>
      <c r="CS15" s="51">
        <f t="shared" si="2"/>
        <v>85.1481303527731</v>
      </c>
      <c r="CT15" s="51"/>
      <c r="CU15" s="56"/>
      <c r="CV15" s="56"/>
      <c r="CW15" s="56"/>
      <c r="CX15" s="56"/>
      <c r="CY15" s="86"/>
    </row>
    <row r="16" spans="1:103" ht="15.75">
      <c r="A16" s="63">
        <v>5</v>
      </c>
      <c r="B16" s="64" t="s">
        <v>42</v>
      </c>
      <c r="C16" s="95">
        <v>7.4515</v>
      </c>
      <c r="D16" s="96">
        <v>19.43</v>
      </c>
      <c r="E16" s="96">
        <f>D$34/C16</f>
        <v>19.432329061262834</v>
      </c>
      <c r="F16" s="51"/>
      <c r="G16" s="51">
        <v>7.449</v>
      </c>
      <c r="H16" s="51">
        <v>19.41</v>
      </c>
      <c r="I16" s="65">
        <f>H$34/G16</f>
        <v>19.41334407302994</v>
      </c>
      <c r="J16" s="51"/>
      <c r="K16" s="51">
        <v>7.4524</v>
      </c>
      <c r="L16" s="65">
        <v>19.41</v>
      </c>
      <c r="M16" s="65">
        <f>L$34/K16</f>
        <v>19.40717084429177</v>
      </c>
      <c r="N16" s="51"/>
      <c r="O16" s="51">
        <v>7.4574</v>
      </c>
      <c r="P16" s="65">
        <v>19.3</v>
      </c>
      <c r="Q16" s="65">
        <f>P$34/O16</f>
        <v>19.29626947729772</v>
      </c>
      <c r="R16" s="51"/>
      <c r="S16" s="51">
        <v>7.4796</v>
      </c>
      <c r="T16" s="65">
        <v>19.27</v>
      </c>
      <c r="U16" s="65">
        <f>T$34/S16</f>
        <v>19.267073105513667</v>
      </c>
      <c r="V16" s="51"/>
      <c r="W16" s="51">
        <v>7.4932</v>
      </c>
      <c r="X16" s="65">
        <v>19.26</v>
      </c>
      <c r="Y16" s="65">
        <f>X$34/W16</f>
        <v>19.261463727112584</v>
      </c>
      <c r="Z16" s="51"/>
      <c r="AA16" s="51">
        <v>7.4078</v>
      </c>
      <c r="AB16" s="65">
        <v>19.46</v>
      </c>
      <c r="AC16" s="65">
        <f>AB$34/AA16</f>
        <v>19.46326844677232</v>
      </c>
      <c r="AD16" s="51"/>
      <c r="AE16" s="51">
        <v>7.3455</v>
      </c>
      <c r="AF16" s="65">
        <v>19.54</v>
      </c>
      <c r="AG16" s="65">
        <f>AF$34/AE16</f>
        <v>19.537131577156078</v>
      </c>
      <c r="AH16" s="51"/>
      <c r="AI16" s="51">
        <v>7.3006</v>
      </c>
      <c r="AJ16" s="65">
        <v>19.58</v>
      </c>
      <c r="AK16" s="65">
        <f>AJ$34/AI16</f>
        <v>19.57921266745199</v>
      </c>
      <c r="AL16" s="51"/>
      <c r="AM16" s="51">
        <v>7.3267</v>
      </c>
      <c r="AN16" s="65">
        <v>19.49</v>
      </c>
      <c r="AO16" s="65">
        <f>AN$34/AM16</f>
        <v>19.491722057679446</v>
      </c>
      <c r="AP16" s="51"/>
      <c r="AQ16" s="51">
        <v>7.2546</v>
      </c>
      <c r="AR16" s="65">
        <v>19.56</v>
      </c>
      <c r="AS16" s="65">
        <f>AR$34/AQ16</f>
        <v>19.564138615499132</v>
      </c>
      <c r="AT16" s="51"/>
      <c r="AU16" s="51">
        <v>7.198</v>
      </c>
      <c r="AV16" s="65">
        <v>19.66</v>
      </c>
      <c r="AW16" s="65">
        <f>AV$34/AU16</f>
        <v>19.66379549874965</v>
      </c>
      <c r="AX16" s="51"/>
      <c r="AY16" s="51">
        <v>7.1965</v>
      </c>
      <c r="AZ16" s="65">
        <v>19.68</v>
      </c>
      <c r="BA16" s="65">
        <f>AZ$34/AY16</f>
        <v>19.6762315014243</v>
      </c>
      <c r="BB16" s="51"/>
      <c r="BC16" s="51">
        <v>7.1862</v>
      </c>
      <c r="BD16" s="65">
        <v>19.72</v>
      </c>
      <c r="BE16" s="65">
        <f>BD$34/BC16</f>
        <v>19.723915282068408</v>
      </c>
      <c r="BF16" s="51"/>
      <c r="BG16" s="51">
        <v>7.1815</v>
      </c>
      <c r="BH16" s="65">
        <v>19.71</v>
      </c>
      <c r="BI16" s="65">
        <f>BH$34/BG16</f>
        <v>19.713151848499617</v>
      </c>
      <c r="BJ16" s="51"/>
      <c r="BK16" s="51">
        <v>7.1393</v>
      </c>
      <c r="BL16" s="65">
        <v>19.88</v>
      </c>
      <c r="BM16" s="65">
        <f>BL$34/BK16</f>
        <v>19.877298894849634</v>
      </c>
      <c r="BN16" s="51"/>
      <c r="BO16" s="51">
        <v>7.187</v>
      </c>
      <c r="BP16" s="65">
        <v>19.97</v>
      </c>
      <c r="BQ16" s="65">
        <f>BP$34/BO16</f>
        <v>19.97078057604007</v>
      </c>
      <c r="BR16" s="51"/>
      <c r="BS16" s="51">
        <v>7.1799</v>
      </c>
      <c r="BT16" s="65">
        <v>19.97</v>
      </c>
      <c r="BU16" s="65">
        <f>BT$34/BS16</f>
        <v>19.968244683073582</v>
      </c>
      <c r="BV16" s="51"/>
      <c r="BW16" s="51">
        <v>7.2131</v>
      </c>
      <c r="BX16" s="65">
        <v>19.95</v>
      </c>
      <c r="BY16" s="65">
        <f>BX$34/BW16</f>
        <v>19.947040800765276</v>
      </c>
      <c r="BZ16" s="51"/>
      <c r="CA16" s="51">
        <v>7.2473</v>
      </c>
      <c r="CB16" s="65">
        <v>19.84</v>
      </c>
      <c r="CC16" s="65">
        <f>CB$34/CA16</f>
        <v>19.844631793909453</v>
      </c>
      <c r="CD16" s="51"/>
      <c r="CE16" s="51">
        <v>7.2036</v>
      </c>
      <c r="CF16" s="65">
        <v>19.92</v>
      </c>
      <c r="CG16" s="65">
        <f>CF$34/CE16</f>
        <v>19.92337164750958</v>
      </c>
      <c r="CH16" s="51"/>
      <c r="CI16" s="51">
        <v>7.2123</v>
      </c>
      <c r="CJ16" s="65">
        <v>19.91</v>
      </c>
      <c r="CK16" s="65">
        <f>CJ$34/CI16</f>
        <v>19.910430791841716</v>
      </c>
      <c r="CL16" s="51"/>
      <c r="CM16" s="51">
        <v>7.1752</v>
      </c>
      <c r="CN16" s="65">
        <v>19.92</v>
      </c>
      <c r="CO16" s="65">
        <f>CN$34/CM16</f>
        <v>19.920002229902998</v>
      </c>
      <c r="CP16" s="51"/>
      <c r="CQ16" s="51">
        <f t="shared" si="0"/>
        <v>7.292965217391304</v>
      </c>
      <c r="CR16" s="51">
        <f t="shared" si="1"/>
        <v>19.645217391304346</v>
      </c>
      <c r="CS16" s="51">
        <f t="shared" si="2"/>
        <v>19.645739965291376</v>
      </c>
      <c r="CT16" s="51"/>
      <c r="CU16" s="56"/>
      <c r="CV16" s="56"/>
      <c r="CW16" s="56"/>
      <c r="CX16" s="56"/>
      <c r="CY16" s="86"/>
    </row>
    <row r="17" spans="1:103" ht="15.75">
      <c r="A17" s="63">
        <v>6</v>
      </c>
      <c r="B17" s="64" t="s">
        <v>43</v>
      </c>
      <c r="C17" s="95">
        <v>2.5034</v>
      </c>
      <c r="D17" s="96">
        <v>57.84</v>
      </c>
      <c r="E17" s="96">
        <f>D$34/C17</f>
        <v>57.84133578333467</v>
      </c>
      <c r="F17" s="51"/>
      <c r="G17" s="51">
        <v>2.5025</v>
      </c>
      <c r="H17" s="51">
        <v>57.78</v>
      </c>
      <c r="I17" s="65">
        <f>H$34/G17</f>
        <v>57.78621378621379</v>
      </c>
      <c r="J17" s="51"/>
      <c r="K17" s="51">
        <v>2.5036</v>
      </c>
      <c r="L17" s="65">
        <v>57.77</v>
      </c>
      <c r="M17" s="65">
        <f>L$34/K17</f>
        <v>57.76881290941044</v>
      </c>
      <c r="N17" s="51"/>
      <c r="O17" s="51">
        <v>2.5054</v>
      </c>
      <c r="P17" s="65">
        <v>57.44</v>
      </c>
      <c r="Q17" s="65">
        <f>P$34/O17</f>
        <v>57.43593837311408</v>
      </c>
      <c r="R17" s="51"/>
      <c r="S17" s="51">
        <v>2.5128</v>
      </c>
      <c r="T17" s="65">
        <v>57.35</v>
      </c>
      <c r="U17" s="65">
        <f>T$34/S17</f>
        <v>57.350366125437766</v>
      </c>
      <c r="V17" s="51"/>
      <c r="W17" s="51">
        <v>2.5174</v>
      </c>
      <c r="X17" s="65">
        <v>57.33</v>
      </c>
      <c r="Y17" s="65">
        <f>X$34/W17</f>
        <v>57.332962580440146</v>
      </c>
      <c r="Z17" s="51"/>
      <c r="AA17" s="51">
        <v>2.4887</v>
      </c>
      <c r="AB17" s="65">
        <v>57.93</v>
      </c>
      <c r="AC17" s="65">
        <f>AB$34/AA17</f>
        <v>57.933861051954835</v>
      </c>
      <c r="AD17" s="51"/>
      <c r="AE17" s="51">
        <v>2.4678</v>
      </c>
      <c r="AF17" s="65">
        <v>58.16</v>
      </c>
      <c r="AG17" s="65">
        <f>AF$34/AE17</f>
        <v>58.153010778831344</v>
      </c>
      <c r="AH17" s="51"/>
      <c r="AI17" s="51">
        <v>2.4527</v>
      </c>
      <c r="AJ17" s="65">
        <v>58.28</v>
      </c>
      <c r="AK17" s="65">
        <f>AJ$34/AI17</f>
        <v>58.27863171199086</v>
      </c>
      <c r="AL17" s="51"/>
      <c r="AM17" s="51">
        <v>2.4614</v>
      </c>
      <c r="AN17" s="65">
        <v>58.02</v>
      </c>
      <c r="AO17" s="65">
        <f>AN$34/AM17</f>
        <v>58.01982611521898</v>
      </c>
      <c r="AP17" s="51"/>
      <c r="AQ17" s="51">
        <v>2.4372</v>
      </c>
      <c r="AR17" s="65">
        <v>58.23</v>
      </c>
      <c r="AS17" s="65">
        <f>AR$34/AQ17</f>
        <v>58.23485967503694</v>
      </c>
      <c r="AT17" s="51"/>
      <c r="AU17" s="51">
        <v>2.4182</v>
      </c>
      <c r="AV17" s="65">
        <v>58.53</v>
      </c>
      <c r="AW17" s="65">
        <f>AV$34/AU17</f>
        <v>58.531138863617564</v>
      </c>
      <c r="AX17" s="51"/>
      <c r="AY17" s="51">
        <v>2.4177</v>
      </c>
      <c r="AZ17" s="65">
        <v>58.57</v>
      </c>
      <c r="BA17" s="65">
        <f>AZ$34/AY17</f>
        <v>58.56806055341854</v>
      </c>
      <c r="BB17" s="51"/>
      <c r="BC17" s="51">
        <v>2.4142</v>
      </c>
      <c r="BD17" s="65">
        <v>58.71</v>
      </c>
      <c r="BE17" s="65">
        <f>BD$34/BC17</f>
        <v>58.71096015243145</v>
      </c>
      <c r="BF17" s="51"/>
      <c r="BG17" s="51">
        <v>2.4126</v>
      </c>
      <c r="BH17" s="65">
        <v>58.68</v>
      </c>
      <c r="BI17" s="65">
        <f>BH$34/BG17</f>
        <v>58.679432976871425</v>
      </c>
      <c r="BJ17" s="51"/>
      <c r="BK17" s="51">
        <v>2.3985</v>
      </c>
      <c r="BL17" s="65">
        <v>59.17</v>
      </c>
      <c r="BM17" s="65">
        <f>BL$34/BK17</f>
        <v>59.166145507608924</v>
      </c>
      <c r="BN17" s="51"/>
      <c r="BO17" s="51">
        <v>2.4145</v>
      </c>
      <c r="BP17" s="65">
        <v>59.45</v>
      </c>
      <c r="BQ17" s="65">
        <f>BP$34/BO17</f>
        <v>59.44501967281011</v>
      </c>
      <c r="BR17" s="51"/>
      <c r="BS17" s="51">
        <v>2.4121</v>
      </c>
      <c r="BT17" s="65">
        <v>59.44</v>
      </c>
      <c r="BU17" s="65">
        <f>BT$34/BS17</f>
        <v>59.43783425231126</v>
      </c>
      <c r="BV17" s="51"/>
      <c r="BW17" s="51">
        <v>2.4233</v>
      </c>
      <c r="BX17" s="65">
        <v>59.38</v>
      </c>
      <c r="BY17" s="65">
        <f>BX$34/BW17</f>
        <v>59.37358147980028</v>
      </c>
      <c r="BZ17" s="51"/>
      <c r="CA17" s="51">
        <v>2.4348</v>
      </c>
      <c r="CB17" s="65">
        <v>59.07</v>
      </c>
      <c r="CC17" s="65">
        <f>CB$34/CA17</f>
        <v>59.0685066535239</v>
      </c>
      <c r="CD17" s="51"/>
      <c r="CE17" s="51">
        <v>2.4201</v>
      </c>
      <c r="CF17" s="65">
        <v>59.3</v>
      </c>
      <c r="CG17" s="65">
        <f>CF$34/CE17</f>
        <v>59.303334572951535</v>
      </c>
      <c r="CH17" s="51"/>
      <c r="CI17" s="51">
        <v>2.423</v>
      </c>
      <c r="CJ17" s="65">
        <v>59.27</v>
      </c>
      <c r="CK17" s="65">
        <f>CJ$34/CI17</f>
        <v>59.265373503920756</v>
      </c>
      <c r="CL17" s="51"/>
      <c r="CM17" s="51">
        <v>2.4105</v>
      </c>
      <c r="CN17" s="65">
        <v>59.29</v>
      </c>
      <c r="CO17" s="65">
        <f>CN$34/CM17</f>
        <v>59.29475212611492</v>
      </c>
      <c r="CP17" s="51"/>
      <c r="CQ17" s="51">
        <f t="shared" si="0"/>
        <v>2.4501043478260867</v>
      </c>
      <c r="CR17" s="51">
        <f t="shared" si="1"/>
        <v>58.47782608695652</v>
      </c>
      <c r="CS17" s="51">
        <f t="shared" si="2"/>
        <v>58.47738953071149</v>
      </c>
      <c r="CT17" s="51"/>
      <c r="CU17" s="56"/>
      <c r="CV17" s="56"/>
      <c r="CW17" s="56"/>
      <c r="CX17" s="56"/>
      <c r="CY17" s="86"/>
    </row>
    <row r="18" spans="1:103" ht="15.75">
      <c r="A18" s="63">
        <v>7</v>
      </c>
      <c r="B18" s="64" t="s">
        <v>44</v>
      </c>
      <c r="C18" s="95">
        <v>2199.557</v>
      </c>
      <c r="D18" s="96">
        <v>65.83</v>
      </c>
      <c r="E18" s="96">
        <f>D$34/C18*1000</f>
        <v>65.83143787589957</v>
      </c>
      <c r="F18" s="51">
        <v>65.4</v>
      </c>
      <c r="G18" s="51">
        <v>2198.8076</v>
      </c>
      <c r="H18" s="51">
        <v>65.77</v>
      </c>
      <c r="I18" s="65">
        <f>H$34/G18*1000</f>
        <v>65.76746414738608</v>
      </c>
      <c r="J18" s="51">
        <v>65.44</v>
      </c>
      <c r="K18" s="51">
        <v>2199.8069</v>
      </c>
      <c r="L18" s="65">
        <v>65.75</v>
      </c>
      <c r="M18" s="65">
        <f>L$34/K18*1000</f>
        <v>65.7466798563092</v>
      </c>
      <c r="N18" s="51">
        <v>65.4</v>
      </c>
      <c r="O18" s="51">
        <v>2201.3074</v>
      </c>
      <c r="P18" s="65">
        <v>65.37</v>
      </c>
      <c r="Q18" s="65">
        <f>P$34/O18*1000</f>
        <v>65.37024315640787</v>
      </c>
      <c r="R18" s="51">
        <v>65.1</v>
      </c>
      <c r="S18" s="51">
        <v>2207.8335</v>
      </c>
      <c r="T18" s="65">
        <v>65.27</v>
      </c>
      <c r="U18" s="65">
        <f>T$34/S18*1000</f>
        <v>65.27213216032823</v>
      </c>
      <c r="V18" s="51">
        <v>64.9</v>
      </c>
      <c r="W18" s="51">
        <v>2211.8689</v>
      </c>
      <c r="X18" s="65">
        <v>65.25</v>
      </c>
      <c r="Y18" s="65">
        <f>X$34/W18*1000</f>
        <v>65.25251112305979</v>
      </c>
      <c r="Z18" s="51">
        <v>65.05</v>
      </c>
      <c r="AA18" s="51">
        <v>2186.6403</v>
      </c>
      <c r="AB18" s="65">
        <v>65.94</v>
      </c>
      <c r="AC18" s="65">
        <f>AB$34/AA18*1000</f>
        <v>65.9367706705122</v>
      </c>
      <c r="AD18" s="51">
        <v>65.8</v>
      </c>
      <c r="AE18" s="51">
        <v>2168.2755</v>
      </c>
      <c r="AF18" s="65">
        <v>66.19</v>
      </c>
      <c r="AG18" s="65">
        <f>AF$34/AE18*1000</f>
        <v>66.18623878746034</v>
      </c>
      <c r="AH18" s="51">
        <v>65.8</v>
      </c>
      <c r="AI18" s="51">
        <v>2155.0028</v>
      </c>
      <c r="AJ18" s="65">
        <v>66.23</v>
      </c>
      <c r="AK18" s="65">
        <f>AJ$34/AI18*1000</f>
        <v>66.32938017528329</v>
      </c>
      <c r="AL18" s="51">
        <v>65.3</v>
      </c>
      <c r="AM18" s="51">
        <v>2162.7052</v>
      </c>
      <c r="AN18" s="65">
        <v>66.03</v>
      </c>
      <c r="AO18" s="65">
        <f>AN$34/AM18*1000</f>
        <v>66.03304047172033</v>
      </c>
      <c r="AP18" s="51">
        <v>65.41</v>
      </c>
      <c r="AQ18" s="51">
        <v>2141.4178</v>
      </c>
      <c r="AR18" s="65">
        <v>66.28</v>
      </c>
      <c r="AS18" s="65">
        <f>AR$34/AQ18*1000</f>
        <v>66.27851883924752</v>
      </c>
      <c r="AT18" s="51">
        <v>65.84</v>
      </c>
      <c r="AU18" s="51">
        <v>2124.7339</v>
      </c>
      <c r="AV18" s="65">
        <v>66.62</v>
      </c>
      <c r="AW18" s="65">
        <f>AV$34/AU18*1000</f>
        <v>66.61540063911062</v>
      </c>
      <c r="AX18" s="51">
        <v>66.29</v>
      </c>
      <c r="AY18" s="51">
        <v>2124.2677</v>
      </c>
      <c r="AZ18" s="65">
        <v>66.66</v>
      </c>
      <c r="BA18" s="65">
        <f>AZ$34/AY18*1000</f>
        <v>66.65826534009814</v>
      </c>
      <c r="BB18" s="51">
        <v>66.1</v>
      </c>
      <c r="BC18" s="51">
        <v>2121.2423</v>
      </c>
      <c r="BD18" s="65">
        <v>66.82</v>
      </c>
      <c r="BE18" s="65">
        <f>BD$34/BC18*1000</f>
        <v>66.81933506606012</v>
      </c>
      <c r="BF18" s="51">
        <v>66.16</v>
      </c>
      <c r="BG18" s="51">
        <v>2119.8489</v>
      </c>
      <c r="BH18" s="65">
        <v>66.78</v>
      </c>
      <c r="BI18" s="65">
        <f>BH$34/BG18*1000</f>
        <v>66.78306175501471</v>
      </c>
      <c r="BJ18" s="51">
        <v>66.29</v>
      </c>
      <c r="BK18" s="51">
        <v>2107.3901</v>
      </c>
      <c r="BL18" s="65">
        <v>67.34</v>
      </c>
      <c r="BM18" s="65">
        <f>BL$34/BK18*1000</f>
        <v>67.33921735705222</v>
      </c>
      <c r="BN18" s="51">
        <v>67.02</v>
      </c>
      <c r="BO18" s="51">
        <v>2121.4747</v>
      </c>
      <c r="BP18" s="65">
        <v>67.66</v>
      </c>
      <c r="BQ18" s="65">
        <f>BP$34/BO18*1000</f>
        <v>67.65576794293139</v>
      </c>
      <c r="BR18" s="51">
        <v>67.13</v>
      </c>
      <c r="BS18" s="51">
        <v>2119.3849</v>
      </c>
      <c r="BT18" s="65">
        <v>67.65</v>
      </c>
      <c r="BU18" s="65">
        <f>BT$34/BS18*1000</f>
        <v>67.64698568910254</v>
      </c>
      <c r="BV18" s="51">
        <v>67.22</v>
      </c>
      <c r="BW18" s="51">
        <v>2129.1731</v>
      </c>
      <c r="BX18" s="65">
        <v>67.58</v>
      </c>
      <c r="BY18" s="65">
        <f>BX$34/BW18*1000</f>
        <v>67.57552967393774</v>
      </c>
      <c r="BZ18" s="51">
        <v>67.04</v>
      </c>
      <c r="CA18" s="51">
        <v>2139.2885</v>
      </c>
      <c r="CB18" s="65">
        <v>67.23</v>
      </c>
      <c r="CC18" s="65">
        <f>CB$34/CA18*1000</f>
        <v>67.22795920232356</v>
      </c>
      <c r="CD18" s="51">
        <v>66.99</v>
      </c>
      <c r="CE18" s="51">
        <v>2126.3672</v>
      </c>
      <c r="CF18" s="65">
        <v>67.49</v>
      </c>
      <c r="CG18" s="65">
        <f>CF$34/CE18*1000</f>
        <v>67.4953977845407</v>
      </c>
      <c r="CH18" s="51">
        <v>67.19</v>
      </c>
      <c r="CI18" s="51">
        <v>2128.939</v>
      </c>
      <c r="CJ18" s="65">
        <v>67.45</v>
      </c>
      <c r="CK18" s="65">
        <f>CJ$34/CI18*1000</f>
        <v>67.45143942593</v>
      </c>
      <c r="CL18" s="51">
        <v>67.08</v>
      </c>
      <c r="CM18" s="51">
        <v>2117.9939</v>
      </c>
      <c r="CN18" s="65">
        <v>67.48</v>
      </c>
      <c r="CO18" s="65">
        <f>CN$34/CM18*1000</f>
        <v>67.48366933445843</v>
      </c>
      <c r="CP18" s="51">
        <v>67.31</v>
      </c>
      <c r="CQ18" s="51">
        <f t="shared" si="0"/>
        <v>2152.7533521739133</v>
      </c>
      <c r="CR18" s="51">
        <f t="shared" si="1"/>
        <v>66.5508695652174</v>
      </c>
      <c r="CS18" s="51">
        <f t="shared" si="2"/>
        <v>66.55462810757281</v>
      </c>
      <c r="CT18" s="51">
        <f t="shared" si="2"/>
        <v>66.14173913043477</v>
      </c>
      <c r="CU18" s="56"/>
      <c r="CV18" s="56"/>
      <c r="CW18" s="56"/>
      <c r="CX18" s="56"/>
      <c r="CY18" s="86"/>
    </row>
    <row r="19" spans="1:103" ht="15.75">
      <c r="A19" s="63">
        <v>8</v>
      </c>
      <c r="B19" s="64" t="s">
        <v>45</v>
      </c>
      <c r="C19" s="95">
        <v>45.8252</v>
      </c>
      <c r="D19" s="96">
        <v>3.16</v>
      </c>
      <c r="E19" s="96">
        <f>D$34/C19</f>
        <v>3.1598334540820336</v>
      </c>
      <c r="F19" s="51"/>
      <c r="G19" s="51">
        <v>45.8096</v>
      </c>
      <c r="H19" s="51">
        <v>3.16</v>
      </c>
      <c r="I19" s="65">
        <f>H$34/G19</f>
        <v>3.156761901435507</v>
      </c>
      <c r="J19" s="51"/>
      <c r="K19" s="51">
        <v>45.8304</v>
      </c>
      <c r="L19" s="65">
        <v>3.16</v>
      </c>
      <c r="M19" s="65">
        <f>L$34/K19</f>
        <v>3.1557656053623795</v>
      </c>
      <c r="N19" s="51"/>
      <c r="O19" s="51">
        <v>45.8616</v>
      </c>
      <c r="P19" s="65">
        <v>3.14</v>
      </c>
      <c r="Q19" s="65">
        <f>P$34/O19</f>
        <v>3.137701257697071</v>
      </c>
      <c r="R19" s="51"/>
      <c r="S19" s="51">
        <v>45.9976</v>
      </c>
      <c r="T19" s="65">
        <v>3.13</v>
      </c>
      <c r="U19" s="65">
        <f>T$34/S19</f>
        <v>3.132989547280728</v>
      </c>
      <c r="V19" s="51"/>
      <c r="W19" s="51">
        <v>46.0817</v>
      </c>
      <c r="X19" s="65">
        <v>3.13</v>
      </c>
      <c r="Y19" s="65">
        <f>X$34/W19</f>
        <v>3.132045909764614</v>
      </c>
      <c r="Z19" s="51"/>
      <c r="AA19" s="51">
        <v>45.5561</v>
      </c>
      <c r="AB19" s="65">
        <v>3.16</v>
      </c>
      <c r="AC19" s="65">
        <f>AB$34/AA19</f>
        <v>3.1648890049850626</v>
      </c>
      <c r="AD19" s="51"/>
      <c r="AE19" s="51">
        <v>45.1735</v>
      </c>
      <c r="AF19" s="65">
        <v>3.18</v>
      </c>
      <c r="AG19" s="65">
        <f>AF$34/AE19</f>
        <v>3.176862541091569</v>
      </c>
      <c r="AH19" s="51"/>
      <c r="AI19" s="51">
        <v>44.8969</v>
      </c>
      <c r="AJ19" s="65">
        <v>3.18</v>
      </c>
      <c r="AK19" s="65">
        <f>AJ$34/AI19</f>
        <v>3.183738743654907</v>
      </c>
      <c r="AL19" s="51"/>
      <c r="AM19" s="51">
        <v>45.0574</v>
      </c>
      <c r="AN19" s="65">
        <v>3.17</v>
      </c>
      <c r="AO19" s="65">
        <f>AN$34/AM19</f>
        <v>3.1695126660659514</v>
      </c>
      <c r="AP19" s="51"/>
      <c r="AQ19" s="51">
        <v>44.6139</v>
      </c>
      <c r="AR19" s="65">
        <v>3.18</v>
      </c>
      <c r="AS19" s="65">
        <f>AR$34/AQ19</f>
        <v>3.181295515523189</v>
      </c>
      <c r="AT19" s="51"/>
      <c r="AU19" s="51">
        <v>44.2663</v>
      </c>
      <c r="AV19" s="65">
        <v>3.2</v>
      </c>
      <c r="AW19" s="65">
        <f>AV$34/AU19</f>
        <v>3.1974662440728046</v>
      </c>
      <c r="AX19" s="51"/>
      <c r="AY19" s="51">
        <v>44.2566</v>
      </c>
      <c r="AZ19" s="65">
        <v>3.2</v>
      </c>
      <c r="BA19" s="65">
        <f>AZ$34/AY19</f>
        <v>3.199522783042529</v>
      </c>
      <c r="BB19" s="51"/>
      <c r="BC19" s="51">
        <v>44.1936</v>
      </c>
      <c r="BD19" s="65">
        <v>3.21</v>
      </c>
      <c r="BE19" s="65">
        <f>BD$34/BC19</f>
        <v>3.207251728757105</v>
      </c>
      <c r="BF19" s="51"/>
      <c r="BG19" s="51">
        <v>44.1646</v>
      </c>
      <c r="BH19" s="65">
        <v>3.21</v>
      </c>
      <c r="BI19" s="65">
        <f>BH$34/BG19</f>
        <v>3.20550848417058</v>
      </c>
      <c r="BJ19" s="51"/>
      <c r="BK19" s="51">
        <v>43.905</v>
      </c>
      <c r="BL19" s="65">
        <v>3.23</v>
      </c>
      <c r="BM19" s="65">
        <f>BL$34/BK19</f>
        <v>3.23220589910033</v>
      </c>
      <c r="BN19" s="51"/>
      <c r="BO19" s="51">
        <v>44.1984</v>
      </c>
      <c r="BP19" s="65">
        <v>3.25</v>
      </c>
      <c r="BQ19" s="65">
        <f>BP$34/BO19</f>
        <v>3.2474026209093543</v>
      </c>
      <c r="BR19" s="51"/>
      <c r="BS19" s="51">
        <v>44.1549</v>
      </c>
      <c r="BT19" s="65">
        <v>3.25</v>
      </c>
      <c r="BU19" s="65">
        <f>BT$34/BS19</f>
        <v>3.2469782515643795</v>
      </c>
      <c r="BV19" s="51"/>
      <c r="BW19" s="51">
        <v>44.3588</v>
      </c>
      <c r="BX19" s="65">
        <v>3.24</v>
      </c>
      <c r="BY19" s="65">
        <f>BX$34/BW19</f>
        <v>3.2435503214694714</v>
      </c>
      <c r="BZ19" s="51"/>
      <c r="CA19" s="51">
        <v>44.5696</v>
      </c>
      <c r="CB19" s="65">
        <v>3.23</v>
      </c>
      <c r="CC19" s="65">
        <f>CB$34/CA19</f>
        <v>3.2268631533601377</v>
      </c>
      <c r="CD19" s="51"/>
      <c r="CE19" s="51">
        <v>44.3004</v>
      </c>
      <c r="CF19" s="65">
        <v>3.24</v>
      </c>
      <c r="CG19" s="65">
        <f>CF$34/CE19</f>
        <v>3.2396998672698216</v>
      </c>
      <c r="CH19" s="51"/>
      <c r="CI19" s="51">
        <v>44.3539</v>
      </c>
      <c r="CJ19" s="65">
        <v>3.24</v>
      </c>
      <c r="CK19" s="65">
        <f>CJ$34/CI19</f>
        <v>3.237595792027307</v>
      </c>
      <c r="CL19" s="51"/>
      <c r="CM19" s="51">
        <v>44.1259</v>
      </c>
      <c r="CN19" s="65">
        <v>3.24</v>
      </c>
      <c r="CO19" s="65">
        <f>CN$34/CM19</f>
        <v>3.2391407314071783</v>
      </c>
      <c r="CP19" s="51"/>
      <c r="CQ19" s="51">
        <f t="shared" si="0"/>
        <v>44.85008260869565</v>
      </c>
      <c r="CR19" s="51">
        <f t="shared" si="1"/>
        <v>3.1952173913043476</v>
      </c>
      <c r="CS19" s="51">
        <f t="shared" si="2"/>
        <v>3.194547044525826</v>
      </c>
      <c r="CT19" s="51"/>
      <c r="CU19" s="56"/>
      <c r="CV19" s="56"/>
      <c r="CW19" s="56"/>
      <c r="CX19" s="56"/>
      <c r="CY19" s="86"/>
    </row>
    <row r="20" spans="1:103" ht="15.75">
      <c r="A20" s="63">
        <v>9</v>
      </c>
      <c r="B20" s="64" t="s">
        <v>46</v>
      </c>
      <c r="C20" s="95">
        <f>1/0.8803</f>
        <v>1.1359763716914688</v>
      </c>
      <c r="D20" s="96">
        <v>127.47</v>
      </c>
      <c r="E20" s="96">
        <f>D$34/C20</f>
        <v>127.46744000000001</v>
      </c>
      <c r="F20" s="51"/>
      <c r="G20" s="51">
        <f>1/0.8806</f>
        <v>1.1355893708834885</v>
      </c>
      <c r="H20" s="51">
        <v>127.34</v>
      </c>
      <c r="I20" s="65">
        <f>H$34/G20</f>
        <v>127.34356600000001</v>
      </c>
      <c r="J20" s="51"/>
      <c r="K20" s="51">
        <f>1/0.8802</f>
        <v>1.1361054305839582</v>
      </c>
      <c r="L20" s="65">
        <v>127.31</v>
      </c>
      <c r="M20" s="65">
        <f>L$34/K20</f>
        <v>127.303326</v>
      </c>
      <c r="N20" s="51"/>
      <c r="O20" s="51">
        <f>1/0.8796</f>
        <v>1.1368804001819008</v>
      </c>
      <c r="P20" s="65">
        <v>126.58</v>
      </c>
      <c r="Q20" s="65">
        <f>P$34/O20</f>
        <v>126.57444000000001</v>
      </c>
      <c r="R20" s="51"/>
      <c r="S20" s="51">
        <f>1/0.877</f>
        <v>1.1402508551881414</v>
      </c>
      <c r="T20" s="65">
        <v>126.38</v>
      </c>
      <c r="U20" s="65">
        <f>T$34/S20</f>
        <v>126.38447000000001</v>
      </c>
      <c r="V20" s="51"/>
      <c r="W20" s="51">
        <f>1/0.8754</f>
        <v>1.142334932602239</v>
      </c>
      <c r="X20" s="65">
        <v>126.34</v>
      </c>
      <c r="Y20" s="65">
        <f>X$34/W20</f>
        <v>126.34648200000001</v>
      </c>
      <c r="Z20" s="51"/>
      <c r="AA20" s="51">
        <f>1/0.8855</f>
        <v>1.129305477131564</v>
      </c>
      <c r="AB20" s="65">
        <v>127.67</v>
      </c>
      <c r="AC20" s="65">
        <f>AB$34/AA20</f>
        <v>127.67139000000002</v>
      </c>
      <c r="AD20" s="51"/>
      <c r="AE20" s="51">
        <f>1/0.893</f>
        <v>1.1198208286674132</v>
      </c>
      <c r="AF20" s="65">
        <v>128.16</v>
      </c>
      <c r="AG20" s="65">
        <f>AF$34/AE20</f>
        <v>128.15443</v>
      </c>
      <c r="AH20" s="51"/>
      <c r="AI20" s="51">
        <f>1/0.8985</f>
        <v>1.1129660545353368</v>
      </c>
      <c r="AJ20" s="65">
        <v>128.44</v>
      </c>
      <c r="AK20" s="65">
        <f>AJ$34/AI20</f>
        <v>128.43158999999997</v>
      </c>
      <c r="AL20" s="51"/>
      <c r="AM20" s="51">
        <f>1/0.8953</f>
        <v>1.1169440411035407</v>
      </c>
      <c r="AN20" s="65">
        <v>127.85</v>
      </c>
      <c r="AO20" s="65">
        <f>AN$34/AM20</f>
        <v>127.857793</v>
      </c>
      <c r="AP20" s="51"/>
      <c r="AQ20" s="51">
        <f>1/0.9042</f>
        <v>1.1059500110595002</v>
      </c>
      <c r="AR20" s="65">
        <v>128.33</v>
      </c>
      <c r="AS20" s="65">
        <f>AR$34/AQ20</f>
        <v>128.333106</v>
      </c>
      <c r="AT20" s="51"/>
      <c r="AU20" s="51">
        <f>1/0.9113</f>
        <v>1.097333479644464</v>
      </c>
      <c r="AV20" s="65">
        <v>128.99</v>
      </c>
      <c r="AW20" s="65">
        <f>AV$34/AU20</f>
        <v>128.985402</v>
      </c>
      <c r="AX20" s="51"/>
      <c r="AY20" s="69">
        <f>1/0.9115</f>
        <v>1.0970927043335161</v>
      </c>
      <c r="AZ20" s="65">
        <v>129.07</v>
      </c>
      <c r="BA20" s="65">
        <f>AZ$34/AY20</f>
        <v>129.0684</v>
      </c>
      <c r="BB20" s="51"/>
      <c r="BC20" s="69">
        <f>1/0.9128</f>
        <v>1.0955302366345312</v>
      </c>
      <c r="BD20" s="65">
        <v>129.38</v>
      </c>
      <c r="BE20" s="65">
        <f>BD$34/BC20</f>
        <v>129.380272</v>
      </c>
      <c r="BF20" s="51"/>
      <c r="BG20" s="51">
        <f>1/0.9134</f>
        <v>1.0948105977665863</v>
      </c>
      <c r="BH20" s="65">
        <v>129.31</v>
      </c>
      <c r="BI20" s="65">
        <f>BH$34/BG20</f>
        <v>129.310038</v>
      </c>
      <c r="BJ20" s="51"/>
      <c r="BK20" s="51">
        <f>1/0.9188</f>
        <v>1.08837614279495</v>
      </c>
      <c r="BL20" s="65">
        <v>130.39</v>
      </c>
      <c r="BM20" s="65">
        <f>BL$34/BK20</f>
        <v>130.38690799999998</v>
      </c>
      <c r="BN20" s="51"/>
      <c r="BO20" s="51">
        <f>1/0.9127</f>
        <v>1.095650268434316</v>
      </c>
      <c r="BP20" s="65">
        <v>131</v>
      </c>
      <c r="BQ20" s="65">
        <f>BP$34/BO20</f>
        <v>130.99983099999997</v>
      </c>
      <c r="BR20" s="51"/>
      <c r="BS20" s="51">
        <f>1/0.9136</f>
        <v>1.094570928196147</v>
      </c>
      <c r="BT20" s="65">
        <v>130.99</v>
      </c>
      <c r="BU20" s="65">
        <f>BT$34/BS20</f>
        <v>130.982832</v>
      </c>
      <c r="BV20" s="51"/>
      <c r="BW20" s="51">
        <f>1/0.9094</f>
        <v>1.0996261271167802</v>
      </c>
      <c r="BX20" s="65">
        <v>130.85</v>
      </c>
      <c r="BY20" s="65">
        <f>BX$34/BW20</f>
        <v>130.844472</v>
      </c>
      <c r="BZ20" s="51"/>
      <c r="CA20" s="51">
        <f>1/0.9051</f>
        <v>1.1048502927853276</v>
      </c>
      <c r="CB20" s="65">
        <v>130.17</v>
      </c>
      <c r="CC20" s="65">
        <f>CB$34/CA20</f>
        <v>130.171482</v>
      </c>
      <c r="CD20" s="51"/>
      <c r="CE20" s="51">
        <f>1/0.9106</f>
        <v>1.0981770261366133</v>
      </c>
      <c r="CF20" s="65">
        <v>130.69</v>
      </c>
      <c r="CG20" s="65">
        <f>CF$34/CE20</f>
        <v>130.689312</v>
      </c>
      <c r="CH20" s="51"/>
      <c r="CI20" s="51">
        <f>1/0.9095</f>
        <v>1.0995052226498077</v>
      </c>
      <c r="CJ20" s="65">
        <v>130.6</v>
      </c>
      <c r="CK20" s="65">
        <f>CJ$34/CI20</f>
        <v>130.6042</v>
      </c>
      <c r="CL20" s="51"/>
      <c r="CM20" s="51">
        <f>1/0.9142</f>
        <v>1.0938525486764383</v>
      </c>
      <c r="CN20" s="65">
        <v>130.67</v>
      </c>
      <c r="CO20" s="65">
        <f>CN$34/CM20</f>
        <v>130.66660600000003</v>
      </c>
      <c r="CP20" s="51"/>
      <c r="CQ20" s="51">
        <f t="shared" si="0"/>
        <v>1.1118043195129579</v>
      </c>
      <c r="CR20" s="51">
        <f t="shared" si="1"/>
        <v>128.86869565217387</v>
      </c>
      <c r="CS20" s="51">
        <f t="shared" si="2"/>
        <v>128.8677299130435</v>
      </c>
      <c r="CT20" s="51"/>
      <c r="CU20" s="56"/>
      <c r="CV20" s="56"/>
      <c r="CW20" s="56"/>
      <c r="CX20" s="56"/>
      <c r="CY20" s="86"/>
    </row>
    <row r="21" spans="1:103" ht="15.75">
      <c r="A21" s="63">
        <v>10</v>
      </c>
      <c r="B21" s="64" t="s">
        <v>47</v>
      </c>
      <c r="C21" s="95">
        <v>267.2</v>
      </c>
      <c r="D21" s="96">
        <v>38691.82</v>
      </c>
      <c r="E21" s="96">
        <f>D$34*C21</f>
        <v>38690.560000000005</v>
      </c>
      <c r="F21" s="51"/>
      <c r="G21" s="51">
        <v>267.2</v>
      </c>
      <c r="H21" s="51">
        <v>38638.72</v>
      </c>
      <c r="I21" s="65">
        <f>H$34*G21</f>
        <v>38639.792</v>
      </c>
      <c r="J21" s="51"/>
      <c r="K21" s="51">
        <v>267.4</v>
      </c>
      <c r="L21" s="65">
        <v>38675.04</v>
      </c>
      <c r="M21" s="65">
        <f>L$34*K21</f>
        <v>38674.062</v>
      </c>
      <c r="N21" s="51"/>
      <c r="O21" s="51">
        <v>267</v>
      </c>
      <c r="P21" s="65">
        <v>38422.04</v>
      </c>
      <c r="Q21" s="65">
        <f>P$34*O21</f>
        <v>38421.3</v>
      </c>
      <c r="R21" s="51"/>
      <c r="S21" s="51">
        <v>266.75</v>
      </c>
      <c r="T21" s="65">
        <v>38440.03</v>
      </c>
      <c r="U21" s="65">
        <f>T$34*S21</f>
        <v>38441.342500000006</v>
      </c>
      <c r="V21" s="51"/>
      <c r="W21" s="51">
        <v>267.25</v>
      </c>
      <c r="X21" s="65">
        <v>38571.61</v>
      </c>
      <c r="Y21" s="65">
        <f>X$34*W21</f>
        <v>38572.192500000005</v>
      </c>
      <c r="Z21" s="51"/>
      <c r="AA21" s="51">
        <v>268.6</v>
      </c>
      <c r="AB21" s="65">
        <v>38726.67</v>
      </c>
      <c r="AC21" s="65">
        <f>AB$34*AA21</f>
        <v>38726.74800000001</v>
      </c>
      <c r="AD21" s="51"/>
      <c r="AE21" s="51">
        <v>274</v>
      </c>
      <c r="AF21" s="65">
        <v>39323.04</v>
      </c>
      <c r="AG21" s="65">
        <f>AF$34*AE21</f>
        <v>39321.74</v>
      </c>
      <c r="AH21" s="51"/>
      <c r="AI21" s="51">
        <v>275.7</v>
      </c>
      <c r="AJ21" s="65">
        <v>39409.93</v>
      </c>
      <c r="AK21" s="65">
        <f>AJ$34*AI21</f>
        <v>39408.558</v>
      </c>
      <c r="AL21" s="51"/>
      <c r="AM21" s="51">
        <v>274.05</v>
      </c>
      <c r="AN21" s="65">
        <v>39135.81</v>
      </c>
      <c r="AO21" s="65">
        <f>AN$34*AM21</f>
        <v>39137.080500000004</v>
      </c>
      <c r="AP21" s="51"/>
      <c r="AQ21" s="51">
        <v>276.5</v>
      </c>
      <c r="AR21" s="65">
        <v>39242.33</v>
      </c>
      <c r="AS21" s="65">
        <f>AR$34*AQ21</f>
        <v>39243.645000000004</v>
      </c>
      <c r="AT21" s="51"/>
      <c r="AU21" s="51">
        <v>275.8</v>
      </c>
      <c r="AV21" s="65">
        <v>39036.75</v>
      </c>
      <c r="AW21" s="65">
        <f>AV$34*AU21</f>
        <v>39036.731999999996</v>
      </c>
      <c r="AX21" s="51"/>
      <c r="AY21" s="51">
        <v>275.8</v>
      </c>
      <c r="AZ21" s="65">
        <v>39054.48</v>
      </c>
      <c r="BA21" s="65">
        <f>AZ$34*AY21</f>
        <v>39053.28</v>
      </c>
      <c r="BB21" s="51"/>
      <c r="BC21" s="51">
        <v>275.9</v>
      </c>
      <c r="BD21" s="65">
        <v>39104.8</v>
      </c>
      <c r="BE21" s="65">
        <f>BD$34*BC21</f>
        <v>39106.066</v>
      </c>
      <c r="BF21" s="51"/>
      <c r="BG21" s="51">
        <v>276.3</v>
      </c>
      <c r="BH21" s="65">
        <v>39116.03</v>
      </c>
      <c r="BI21" s="65">
        <f>BH$34*BG21</f>
        <v>39115.791</v>
      </c>
      <c r="BJ21" s="51"/>
      <c r="BK21" s="51">
        <v>276.75</v>
      </c>
      <c r="BL21" s="65">
        <v>39273.65</v>
      </c>
      <c r="BM21" s="65">
        <f>BL$34*BK21</f>
        <v>39273.5925</v>
      </c>
      <c r="BN21" s="51"/>
      <c r="BO21" s="51">
        <v>274.65</v>
      </c>
      <c r="BP21" s="65">
        <v>39420.65</v>
      </c>
      <c r="BQ21" s="65">
        <f>BP$34*BO21</f>
        <v>39420.5145</v>
      </c>
      <c r="BR21" s="51"/>
      <c r="BS21" s="51">
        <v>273.2</v>
      </c>
      <c r="BT21" s="65">
        <v>39169.56</v>
      </c>
      <c r="BU21" s="65">
        <f>BT$34*BS21</f>
        <v>39168.684</v>
      </c>
      <c r="BV21" s="51"/>
      <c r="BW21" s="51">
        <v>271.9</v>
      </c>
      <c r="BX21" s="65">
        <v>39121.96</v>
      </c>
      <c r="BY21" s="65">
        <f>BX$34*BW21</f>
        <v>39120.971999999994</v>
      </c>
      <c r="BZ21" s="51"/>
      <c r="CA21" s="51">
        <v>271.6</v>
      </c>
      <c r="CB21" s="65">
        <v>39060.57</v>
      </c>
      <c r="CC21" s="65">
        <f>CB$34*CA21</f>
        <v>39061.512</v>
      </c>
      <c r="CD21" s="51"/>
      <c r="CE21" s="51">
        <v>272.9</v>
      </c>
      <c r="CF21" s="65">
        <v>39165.71</v>
      </c>
      <c r="CG21" s="65">
        <f>CF$34*CE21</f>
        <v>39166.608</v>
      </c>
      <c r="CH21" s="51"/>
      <c r="CI21" s="51">
        <v>273.3</v>
      </c>
      <c r="CJ21" s="65">
        <v>39245.78</v>
      </c>
      <c r="CK21" s="65">
        <f>CJ$34*CI21</f>
        <v>39245.88</v>
      </c>
      <c r="CL21" s="51"/>
      <c r="CM21" s="51">
        <v>273.8</v>
      </c>
      <c r="CN21" s="65">
        <v>39134.34</v>
      </c>
      <c r="CO21" s="65">
        <f>CN$34*CM21</f>
        <v>39134.234000000004</v>
      </c>
      <c r="CP21" s="51"/>
      <c r="CQ21" s="51">
        <f t="shared" si="0"/>
        <v>272.3282608695652</v>
      </c>
      <c r="CR21" s="51">
        <f t="shared" si="1"/>
        <v>39007.88347826086</v>
      </c>
      <c r="CS21" s="51">
        <f t="shared" si="2"/>
        <v>39007.864630434786</v>
      </c>
      <c r="CT21" s="51"/>
      <c r="CU21" s="56"/>
      <c r="CV21" s="56"/>
      <c r="CW21" s="56"/>
      <c r="CX21" s="56"/>
      <c r="CY21" s="86"/>
    </row>
    <row r="22" spans="1:103" ht="15.75">
      <c r="A22" s="63">
        <v>11</v>
      </c>
      <c r="B22" s="70" t="s">
        <v>48</v>
      </c>
      <c r="C22" s="95">
        <v>4.23</v>
      </c>
      <c r="D22" s="96">
        <v>612.52</v>
      </c>
      <c r="E22" s="96">
        <f>D$34*C22</f>
        <v>612.5040000000001</v>
      </c>
      <c r="F22" s="51"/>
      <c r="G22" s="51">
        <v>4.25</v>
      </c>
      <c r="H22" s="51">
        <v>614.58</v>
      </c>
      <c r="I22" s="65">
        <f>H$34*G22</f>
        <v>614.5925000000001</v>
      </c>
      <c r="J22" s="51"/>
      <c r="K22" s="51">
        <v>4.24</v>
      </c>
      <c r="L22" s="65">
        <v>613.25</v>
      </c>
      <c r="M22" s="65">
        <f>L$34*K22</f>
        <v>613.2312000000001</v>
      </c>
      <c r="N22" s="51"/>
      <c r="O22" s="51">
        <v>4.21</v>
      </c>
      <c r="P22" s="65">
        <v>605.83</v>
      </c>
      <c r="Q22" s="65">
        <f>P$34*O22</f>
        <v>605.8190000000001</v>
      </c>
      <c r="R22" s="51"/>
      <c r="S22" s="51">
        <v>4.19</v>
      </c>
      <c r="T22" s="65">
        <v>603.8</v>
      </c>
      <c r="U22" s="65">
        <f>T$34*S22</f>
        <v>603.8209000000002</v>
      </c>
      <c r="V22" s="51"/>
      <c r="W22" s="51">
        <v>4.17</v>
      </c>
      <c r="X22" s="65">
        <v>601.85</v>
      </c>
      <c r="Y22" s="65">
        <f>X$34*W22</f>
        <v>601.8561000000001</v>
      </c>
      <c r="Z22" s="51"/>
      <c r="AA22" s="51">
        <v>4.15</v>
      </c>
      <c r="AB22" s="65">
        <v>598.35</v>
      </c>
      <c r="AC22" s="65">
        <f>AB$34*AA22</f>
        <v>598.3470000000001</v>
      </c>
      <c r="AD22" s="51"/>
      <c r="AE22" s="51">
        <v>4.23</v>
      </c>
      <c r="AF22" s="65">
        <v>607.07</v>
      </c>
      <c r="AG22" s="65">
        <f>AF$34*AE22</f>
        <v>607.0473000000001</v>
      </c>
      <c r="AH22" s="51"/>
      <c r="AI22" s="51">
        <v>4.17</v>
      </c>
      <c r="AJ22" s="65">
        <v>596.08</v>
      </c>
      <c r="AK22" s="65">
        <f>AJ$34*AI22</f>
        <v>596.0598</v>
      </c>
      <c r="AL22" s="51"/>
      <c r="AM22" s="51">
        <v>4.14</v>
      </c>
      <c r="AN22" s="65">
        <v>591.21</v>
      </c>
      <c r="AO22" s="65">
        <f>AN$34*AM22</f>
        <v>591.2334</v>
      </c>
      <c r="AP22" s="51"/>
      <c r="AQ22" s="51">
        <v>4.2</v>
      </c>
      <c r="AR22" s="65">
        <v>596.09</v>
      </c>
      <c r="AS22" s="65">
        <f>AR$34*AQ22</f>
        <v>596.1060000000001</v>
      </c>
      <c r="AT22" s="51"/>
      <c r="AU22" s="51">
        <v>4.17</v>
      </c>
      <c r="AV22" s="65">
        <v>590.22</v>
      </c>
      <c r="AW22" s="65">
        <f>AV$34*AU22</f>
        <v>590.2217999999999</v>
      </c>
      <c r="AX22" s="51"/>
      <c r="AY22" s="51">
        <v>4.2</v>
      </c>
      <c r="AZ22" s="65">
        <v>594.74</v>
      </c>
      <c r="BA22" s="65">
        <f>AZ$34*AY22</f>
        <v>594.72</v>
      </c>
      <c r="BB22" s="51"/>
      <c r="BC22" s="51">
        <v>4.18</v>
      </c>
      <c r="BD22" s="65">
        <v>592.45</v>
      </c>
      <c r="BE22" s="65">
        <f>BD$34*BC22</f>
        <v>592.4732</v>
      </c>
      <c r="BF22" s="51"/>
      <c r="BG22" s="51">
        <v>4.21</v>
      </c>
      <c r="BH22" s="65">
        <v>596.01</v>
      </c>
      <c r="BI22" s="65">
        <f>BH$34*BG22</f>
        <v>596.0097</v>
      </c>
      <c r="BJ22" s="51"/>
      <c r="BK22" s="51">
        <v>4.21</v>
      </c>
      <c r="BL22" s="65">
        <v>597.44</v>
      </c>
      <c r="BM22" s="65">
        <f>BL$34*BK22</f>
        <v>597.4411</v>
      </c>
      <c r="BN22" s="51"/>
      <c r="BO22" s="51">
        <v>4.21</v>
      </c>
      <c r="BP22" s="65">
        <v>604.26</v>
      </c>
      <c r="BQ22" s="65">
        <f>BP$34*BO22</f>
        <v>604.2613</v>
      </c>
      <c r="BR22" s="51"/>
      <c r="BS22" s="51">
        <v>4.2</v>
      </c>
      <c r="BT22" s="65">
        <v>602.17</v>
      </c>
      <c r="BU22" s="65">
        <f>BT$34*BS22</f>
        <v>602.154</v>
      </c>
      <c r="BV22" s="51"/>
      <c r="BW22" s="51">
        <v>4.18</v>
      </c>
      <c r="BX22" s="65">
        <v>601.43</v>
      </c>
      <c r="BY22" s="65">
        <f>BX$34*BW22</f>
        <v>601.4183999999999</v>
      </c>
      <c r="BZ22" s="51"/>
      <c r="CA22" s="51">
        <v>4.2</v>
      </c>
      <c r="CB22" s="65">
        <v>604.03</v>
      </c>
      <c r="CC22" s="65">
        <f>CB$34*CA22</f>
        <v>604.044</v>
      </c>
      <c r="CD22" s="51"/>
      <c r="CE22" s="51">
        <v>4.21</v>
      </c>
      <c r="CF22" s="65">
        <v>604.21</v>
      </c>
      <c r="CG22" s="65">
        <f>CF$34*CE22</f>
        <v>604.2192</v>
      </c>
      <c r="CH22" s="51"/>
      <c r="CI22" s="51">
        <v>4.2</v>
      </c>
      <c r="CJ22" s="65">
        <v>603.12</v>
      </c>
      <c r="CK22" s="65">
        <f>CJ$34*CI22</f>
        <v>603.12</v>
      </c>
      <c r="CL22" s="51"/>
      <c r="CM22" s="51">
        <v>4.18</v>
      </c>
      <c r="CN22" s="65">
        <v>597.45</v>
      </c>
      <c r="CO22" s="65">
        <f>CN$34*CM22</f>
        <v>597.4474</v>
      </c>
      <c r="CP22" s="51"/>
      <c r="CQ22" s="51">
        <f t="shared" si="0"/>
        <v>4.19695652173913</v>
      </c>
      <c r="CR22" s="51">
        <f t="shared" si="1"/>
        <v>601.2243478260871</v>
      </c>
      <c r="CS22" s="51">
        <f t="shared" si="2"/>
        <v>601.2237956521741</v>
      </c>
      <c r="CT22" s="51"/>
      <c r="CU22" s="56"/>
      <c r="CV22" s="56"/>
      <c r="CW22" s="56"/>
      <c r="CX22" s="56"/>
      <c r="CY22" s="86"/>
    </row>
    <row r="23" spans="1:103" ht="15.75">
      <c r="A23" s="63">
        <v>12</v>
      </c>
      <c r="B23" s="64" t="s">
        <v>49</v>
      </c>
      <c r="C23" s="95">
        <f>1/0.5164</f>
        <v>1.9364833462432225</v>
      </c>
      <c r="D23" s="96">
        <v>74.78</v>
      </c>
      <c r="E23" s="96">
        <f>D$34/C23</f>
        <v>74.77472</v>
      </c>
      <c r="F23" s="51"/>
      <c r="G23" s="51">
        <f>1/0.5196</f>
        <v>1.9245573518090842</v>
      </c>
      <c r="H23" s="51">
        <v>75.14</v>
      </c>
      <c r="I23" s="65">
        <f>H$34/G23</f>
        <v>75.13935599999999</v>
      </c>
      <c r="J23" s="51"/>
      <c r="K23" s="51">
        <f>1/0.516</f>
        <v>1.937984496124031</v>
      </c>
      <c r="L23" s="65">
        <v>74.63</v>
      </c>
      <c r="M23" s="65">
        <f>L$34/K23</f>
        <v>74.62908</v>
      </c>
      <c r="N23" s="51"/>
      <c r="O23" s="51">
        <f>1/0.5162</f>
        <v>1.9372336303758233</v>
      </c>
      <c r="P23" s="65">
        <v>74.28</v>
      </c>
      <c r="Q23" s="65">
        <f>P$34/O23</f>
        <v>74.28118</v>
      </c>
      <c r="R23" s="51"/>
      <c r="S23" s="51">
        <f>1/0.5162</f>
        <v>1.9372336303758233</v>
      </c>
      <c r="T23" s="65">
        <v>74.39</v>
      </c>
      <c r="U23" s="65">
        <f>T$34/S23</f>
        <v>74.389582</v>
      </c>
      <c r="V23" s="51"/>
      <c r="W23" s="51">
        <f>1/0.5153</f>
        <v>1.9406171162429653</v>
      </c>
      <c r="X23" s="65">
        <v>74.37</v>
      </c>
      <c r="Y23" s="65">
        <f>X$34/W23</f>
        <v>74.373249</v>
      </c>
      <c r="Z23" s="51"/>
      <c r="AA23" s="51">
        <f>1/0.5161</f>
        <v>1.937608990505716</v>
      </c>
      <c r="AB23" s="65">
        <v>74.41</v>
      </c>
      <c r="AC23" s="65">
        <f>AB$34/AA23</f>
        <v>74.411298</v>
      </c>
      <c r="AD23" s="51"/>
      <c r="AE23" s="51">
        <f>1/0.5153</f>
        <v>1.9406171162429653</v>
      </c>
      <c r="AF23" s="65">
        <v>73.95</v>
      </c>
      <c r="AG23" s="65">
        <f>AF$34/AE23</f>
        <v>73.95070299999999</v>
      </c>
      <c r="AH23" s="51"/>
      <c r="AI23" s="51">
        <f>1/0.5185</f>
        <v>1.9286403085824495</v>
      </c>
      <c r="AJ23" s="65">
        <v>74.12</v>
      </c>
      <c r="AK23" s="65">
        <f>AJ$34/AI23</f>
        <v>74.11439</v>
      </c>
      <c r="AL23" s="51"/>
      <c r="AM23" s="51">
        <f>1/0.516</f>
        <v>1.937984496124031</v>
      </c>
      <c r="AN23" s="65">
        <v>73.69</v>
      </c>
      <c r="AO23" s="65">
        <f>AN$34/AM23</f>
        <v>73.68996</v>
      </c>
      <c r="AP23" s="51"/>
      <c r="AQ23" s="51">
        <f>1/0.5237</f>
        <v>1.9094901661256443</v>
      </c>
      <c r="AR23" s="65">
        <v>74.33</v>
      </c>
      <c r="AS23" s="65">
        <f>AR$34/AQ23</f>
        <v>74.32874100000001</v>
      </c>
      <c r="AT23" s="51"/>
      <c r="AU23" s="51">
        <f>1/0.5263</f>
        <v>1.9000570017100513</v>
      </c>
      <c r="AV23" s="65">
        <v>74.49</v>
      </c>
      <c r="AW23" s="65">
        <f>AV$34/AU23</f>
        <v>74.492502</v>
      </c>
      <c r="AX23" s="51"/>
      <c r="AY23" s="51">
        <f>1/0.5297</f>
        <v>1.887861053426468</v>
      </c>
      <c r="AZ23" s="65">
        <v>75.01</v>
      </c>
      <c r="BA23" s="65">
        <f>AZ$34/AY23</f>
        <v>75.00551999999999</v>
      </c>
      <c r="BB23" s="51"/>
      <c r="BC23" s="51">
        <f>1/0.5317</f>
        <v>1.880759826970096</v>
      </c>
      <c r="BD23" s="65">
        <v>75.36</v>
      </c>
      <c r="BE23" s="65">
        <f>BD$34/BC23</f>
        <v>75.363158</v>
      </c>
      <c r="BF23" s="51"/>
      <c r="BG23" s="51">
        <f>1/0.5321</f>
        <v>1.8793459875963163</v>
      </c>
      <c r="BH23" s="65">
        <v>75.33</v>
      </c>
      <c r="BI23" s="65">
        <f>BH$34/BG23</f>
        <v>75.329397</v>
      </c>
      <c r="BJ23" s="51"/>
      <c r="BK23" s="51">
        <f>1/0.536</f>
        <v>1.8656716417910446</v>
      </c>
      <c r="BL23" s="65">
        <v>76.06</v>
      </c>
      <c r="BM23" s="65">
        <f>BL$34/BK23</f>
        <v>76.06376</v>
      </c>
      <c r="BN23" s="51"/>
      <c r="BO23" s="51">
        <f>1/0.5335</f>
        <v>1.8744142455482662</v>
      </c>
      <c r="BP23" s="65">
        <v>76.57</v>
      </c>
      <c r="BQ23" s="65">
        <f>BP$34/BO23</f>
        <v>76.573255</v>
      </c>
      <c r="BR23" s="51"/>
      <c r="BS23" s="51">
        <f>1/0.5313</f>
        <v>1.8821757952192735</v>
      </c>
      <c r="BT23" s="65">
        <v>76.17</v>
      </c>
      <c r="BU23" s="65">
        <f>BT$34/BS23</f>
        <v>76.172481</v>
      </c>
      <c r="BV23" s="51"/>
      <c r="BW23" s="51">
        <f>1/0.5283</f>
        <v>1.8928639030853682</v>
      </c>
      <c r="BX23" s="65">
        <v>76.01</v>
      </c>
      <c r="BY23" s="65">
        <f>BX$34/BW23</f>
        <v>76.011804</v>
      </c>
      <c r="BZ23" s="51"/>
      <c r="CA23" s="51">
        <f>1/0.5264</f>
        <v>1.899696048632219</v>
      </c>
      <c r="CB23" s="65">
        <v>75.71</v>
      </c>
      <c r="CC23" s="65">
        <f>CB$34/CA23</f>
        <v>75.706848</v>
      </c>
      <c r="CD23" s="51"/>
      <c r="CE23" s="51">
        <f>1/0.5294</f>
        <v>1.8889308651303363</v>
      </c>
      <c r="CF23" s="65">
        <v>75.98</v>
      </c>
      <c r="CG23" s="65">
        <f>CF$34/CE23</f>
        <v>75.979488</v>
      </c>
      <c r="CH23" s="51"/>
      <c r="CI23" s="51">
        <f>1/0.529</f>
        <v>1.8903591682419658</v>
      </c>
      <c r="CJ23" s="65">
        <v>75.96</v>
      </c>
      <c r="CK23" s="65">
        <f>CJ$34/CI23</f>
        <v>75.9644</v>
      </c>
      <c r="CL23" s="51"/>
      <c r="CM23" s="51">
        <f>1/0.5289</f>
        <v>1.8907165815844205</v>
      </c>
      <c r="CN23" s="65">
        <v>75.6</v>
      </c>
      <c r="CO23" s="65">
        <f>CN$34/CM23</f>
        <v>75.59567700000001</v>
      </c>
      <c r="CP23" s="51"/>
      <c r="CQ23" s="51">
        <f t="shared" si="0"/>
        <v>1.9087522942472865</v>
      </c>
      <c r="CR23" s="51">
        <f t="shared" si="1"/>
        <v>75.05826086956522</v>
      </c>
      <c r="CS23" s="51">
        <f t="shared" si="2"/>
        <v>75.05828473913044</v>
      </c>
      <c r="CT23" s="51"/>
      <c r="CU23" s="56"/>
      <c r="CV23" s="56"/>
      <c r="CW23" s="56"/>
      <c r="CX23" s="56"/>
      <c r="CY23" s="86"/>
    </row>
    <row r="24" spans="1:103" ht="15.75">
      <c r="A24" s="63">
        <v>13</v>
      </c>
      <c r="B24" s="64" t="s">
        <v>50</v>
      </c>
      <c r="C24" s="95">
        <v>1.5358</v>
      </c>
      <c r="D24" s="96">
        <v>94.29</v>
      </c>
      <c r="E24" s="96">
        <f>D$34/C24</f>
        <v>94.28310977991926</v>
      </c>
      <c r="F24" s="51"/>
      <c r="G24" s="51">
        <v>1.5382</v>
      </c>
      <c r="H24" s="51">
        <v>94.01</v>
      </c>
      <c r="I24" s="65">
        <f>H$34/G24</f>
        <v>94.01248212196074</v>
      </c>
      <c r="J24" s="51"/>
      <c r="K24" s="51">
        <v>1.5353</v>
      </c>
      <c r="L24" s="65">
        <v>94.21</v>
      </c>
      <c r="M24" s="65">
        <f>L$34/K24</f>
        <v>94.20308734449293</v>
      </c>
      <c r="N24" s="51"/>
      <c r="O24" s="51">
        <v>1.5271</v>
      </c>
      <c r="P24" s="65">
        <v>94.23</v>
      </c>
      <c r="Q24" s="65">
        <f>P$34/O24</f>
        <v>94.23089516076224</v>
      </c>
      <c r="R24" s="51"/>
      <c r="S24" s="51">
        <v>1.5265</v>
      </c>
      <c r="T24" s="65">
        <v>94.4</v>
      </c>
      <c r="U24" s="65">
        <f>T$34/S24</f>
        <v>94.40550278414675</v>
      </c>
      <c r="V24" s="51"/>
      <c r="W24" s="51">
        <v>1.5338</v>
      </c>
      <c r="X24" s="65">
        <v>94.1</v>
      </c>
      <c r="Y24" s="65">
        <f>X$34/W24</f>
        <v>94.09962185421828</v>
      </c>
      <c r="Z24" s="51"/>
      <c r="AA24" s="51">
        <v>1.5341</v>
      </c>
      <c r="AB24" s="65">
        <v>93.98</v>
      </c>
      <c r="AC24" s="65">
        <f>AB$34/AA24</f>
        <v>93.98344306107816</v>
      </c>
      <c r="AD24" s="51"/>
      <c r="AE24" s="51">
        <v>1.54</v>
      </c>
      <c r="AF24" s="65">
        <v>93.19</v>
      </c>
      <c r="AG24" s="65">
        <f>AF$34/AE24</f>
        <v>93.18831168831169</v>
      </c>
      <c r="AH24" s="51"/>
      <c r="AI24" s="51">
        <v>1.5373</v>
      </c>
      <c r="AJ24" s="65">
        <v>92.98</v>
      </c>
      <c r="AK24" s="65">
        <f>AJ$34/AI24</f>
        <v>92.98120080660898</v>
      </c>
      <c r="AL24" s="51"/>
      <c r="AM24" s="51">
        <v>1.5397</v>
      </c>
      <c r="AN24" s="65">
        <v>92.75</v>
      </c>
      <c r="AO24" s="65">
        <f>AN$34/AM24</f>
        <v>92.75183477300773</v>
      </c>
      <c r="AP24" s="51"/>
      <c r="AQ24" s="51">
        <v>1.5362</v>
      </c>
      <c r="AR24" s="65">
        <v>92.39</v>
      </c>
      <c r="AS24" s="65">
        <f>AR$34/AQ24</f>
        <v>92.39031376122901</v>
      </c>
      <c r="AT24" s="51"/>
      <c r="AU24" s="51">
        <v>1.5292</v>
      </c>
      <c r="AV24" s="65">
        <v>92.56</v>
      </c>
      <c r="AW24" s="65">
        <f>AV$34/AU24</f>
        <v>92.55820036620456</v>
      </c>
      <c r="AX24" s="51"/>
      <c r="AY24" s="51">
        <v>1.5357</v>
      </c>
      <c r="AZ24" s="65">
        <v>92.21</v>
      </c>
      <c r="BA24" s="65">
        <f>AZ$34/AY24</f>
        <v>92.20550888845477</v>
      </c>
      <c r="BB24" s="51"/>
      <c r="BC24" s="51">
        <v>1.5449</v>
      </c>
      <c r="BD24" s="65">
        <v>91.74</v>
      </c>
      <c r="BE24" s="65">
        <f>BD$34/BC24</f>
        <v>91.74703864327789</v>
      </c>
      <c r="BF24" s="51"/>
      <c r="BG24" s="51">
        <v>1.5495</v>
      </c>
      <c r="BH24" s="65">
        <v>91.37</v>
      </c>
      <c r="BI24" s="65">
        <f>BH$34/BG24</f>
        <v>91.3649564375605</v>
      </c>
      <c r="BJ24" s="51"/>
      <c r="BK24" s="51">
        <v>1.546</v>
      </c>
      <c r="BL24" s="65">
        <v>91.79</v>
      </c>
      <c r="BM24" s="65">
        <f>BL$34/BK24</f>
        <v>91.79172056921087</v>
      </c>
      <c r="BN24" s="51"/>
      <c r="BO24" s="51">
        <v>1.5423</v>
      </c>
      <c r="BP24" s="65">
        <v>93.06</v>
      </c>
      <c r="BQ24" s="65">
        <f>BP$34/BO24</f>
        <v>93.06230953770343</v>
      </c>
      <c r="BR24" s="51"/>
      <c r="BS24" s="51">
        <v>1.5411</v>
      </c>
      <c r="BT24" s="65">
        <v>93.03</v>
      </c>
      <c r="BU24" s="65">
        <f>BT$34/BS24</f>
        <v>93.03095191746156</v>
      </c>
      <c r="BV24" s="51"/>
      <c r="BW24" s="51">
        <v>1.5428</v>
      </c>
      <c r="BX24" s="65">
        <v>93.26</v>
      </c>
      <c r="BY24" s="65">
        <f>BX$34/BW24</f>
        <v>93.25900959294789</v>
      </c>
      <c r="BZ24" s="51"/>
      <c r="CA24" s="51">
        <v>1.5425</v>
      </c>
      <c r="CB24" s="65">
        <v>93.24</v>
      </c>
      <c r="CC24" s="65">
        <f>CB$34/CA24</f>
        <v>93.23824959481361</v>
      </c>
      <c r="CD24" s="51"/>
      <c r="CE24" s="51">
        <v>1.5441</v>
      </c>
      <c r="CF24" s="65">
        <v>92.95</v>
      </c>
      <c r="CG24" s="65">
        <f>CF$34/CE24</f>
        <v>92.94734796969108</v>
      </c>
      <c r="CH24" s="51"/>
      <c r="CI24" s="51">
        <v>1.5457</v>
      </c>
      <c r="CJ24" s="65">
        <v>92.9</v>
      </c>
      <c r="CK24" s="65">
        <f>CJ$34/CI24</f>
        <v>92.90289189364042</v>
      </c>
      <c r="CL24" s="51"/>
      <c r="CM24" s="51">
        <v>1.5472</v>
      </c>
      <c r="CN24" s="65">
        <v>92.38</v>
      </c>
      <c r="CO24" s="65">
        <f>CN$34/CM24</f>
        <v>92.3797828335057</v>
      </c>
      <c r="CP24" s="51"/>
      <c r="CQ24" s="51">
        <f t="shared" si="0"/>
        <v>1.5389130434782603</v>
      </c>
      <c r="CR24" s="51">
        <f t="shared" si="1"/>
        <v>93.08782608695654</v>
      </c>
      <c r="CS24" s="51">
        <f t="shared" si="2"/>
        <v>93.08772919044381</v>
      </c>
      <c r="CT24" s="51"/>
      <c r="CU24" s="56"/>
      <c r="CV24" s="56"/>
      <c r="CW24" s="56"/>
      <c r="CX24" s="56"/>
      <c r="CY24" s="86"/>
    </row>
    <row r="25" spans="1:103" ht="15.75">
      <c r="A25" s="63">
        <v>14</v>
      </c>
      <c r="B25" s="64" t="s">
        <v>51</v>
      </c>
      <c r="C25" s="95">
        <v>15.6314</v>
      </c>
      <c r="D25" s="96">
        <v>9.26</v>
      </c>
      <c r="E25" s="96">
        <f>D$34/C25</f>
        <v>9.263405709021585</v>
      </c>
      <c r="F25" s="51"/>
      <c r="G25" s="51">
        <v>15.6261</v>
      </c>
      <c r="H25" s="51">
        <v>9.25</v>
      </c>
      <c r="I25" s="65">
        <f>H$34/G25</f>
        <v>9.254388491050232</v>
      </c>
      <c r="J25" s="51"/>
      <c r="K25" s="51">
        <v>15.6332</v>
      </c>
      <c r="L25" s="65">
        <v>9.25</v>
      </c>
      <c r="M25" s="65">
        <f>L$34/K25</f>
        <v>9.251464831256555</v>
      </c>
      <c r="N25" s="51"/>
      <c r="O25" s="51">
        <v>15.6438</v>
      </c>
      <c r="P25" s="65">
        <v>9.2</v>
      </c>
      <c r="Q25" s="65">
        <f>P$34/O25</f>
        <v>9.19853232590547</v>
      </c>
      <c r="R25" s="51"/>
      <c r="S25" s="51">
        <v>15.6902</v>
      </c>
      <c r="T25" s="65">
        <v>9.18</v>
      </c>
      <c r="U25" s="65">
        <f>T$34/S25</f>
        <v>9.184714025315165</v>
      </c>
      <c r="V25" s="51"/>
      <c r="W25" s="51">
        <v>15.7189</v>
      </c>
      <c r="X25" s="65">
        <v>9.18</v>
      </c>
      <c r="Y25" s="65">
        <f>X$34/W25</f>
        <v>9.181940212101356</v>
      </c>
      <c r="Z25" s="51"/>
      <c r="AA25" s="51">
        <v>15.5396</v>
      </c>
      <c r="AB25" s="65">
        <v>9.28</v>
      </c>
      <c r="AC25" s="65">
        <f>AB$34/AA25</f>
        <v>9.278231099899612</v>
      </c>
      <c r="AD25" s="51"/>
      <c r="AE25" s="51">
        <v>15.4091</v>
      </c>
      <c r="AF25" s="65">
        <v>9.31</v>
      </c>
      <c r="AG25" s="65">
        <f>AF$34/AE25</f>
        <v>9.313327838744637</v>
      </c>
      <c r="AH25" s="51"/>
      <c r="AI25" s="51">
        <v>15.3147</v>
      </c>
      <c r="AJ25" s="65">
        <v>9.33</v>
      </c>
      <c r="AK25" s="65">
        <f>AJ$34/AI25</f>
        <v>9.333516164208245</v>
      </c>
      <c r="AL25" s="51"/>
      <c r="AM25" s="51">
        <v>15.3695</v>
      </c>
      <c r="AN25" s="65">
        <v>9.29</v>
      </c>
      <c r="AO25" s="65">
        <f>AN$34/AM25</f>
        <v>9.29177917303751</v>
      </c>
      <c r="AP25" s="51"/>
      <c r="AQ25" s="51">
        <v>15.2182</v>
      </c>
      <c r="AR25" s="65">
        <v>9.33</v>
      </c>
      <c r="AS25" s="65">
        <f>AR$34/AQ25</f>
        <v>9.326332943449291</v>
      </c>
      <c r="AT25" s="51"/>
      <c r="AU25" s="51">
        <v>15.0996</v>
      </c>
      <c r="AV25" s="65">
        <v>9.37</v>
      </c>
      <c r="AW25" s="65">
        <f>AV$34/AU25</f>
        <v>9.37375824525153</v>
      </c>
      <c r="AX25" s="51"/>
      <c r="AY25" s="51">
        <v>15.0963</v>
      </c>
      <c r="AZ25" s="65">
        <v>9.38</v>
      </c>
      <c r="BA25" s="65">
        <f>AZ$34/AY25</f>
        <v>9.379781800838616</v>
      </c>
      <c r="BB25" s="51"/>
      <c r="BC25" s="51">
        <v>15.0748</v>
      </c>
      <c r="BD25" s="65">
        <v>9.4</v>
      </c>
      <c r="BE25" s="65">
        <f>BD$34/BC25</f>
        <v>9.402446466951469</v>
      </c>
      <c r="BF25" s="51"/>
      <c r="BG25" s="51">
        <v>15.0649</v>
      </c>
      <c r="BH25" s="65">
        <v>9.4</v>
      </c>
      <c r="BI25" s="65">
        <f>BH$34/BG25</f>
        <v>9.397340838638158</v>
      </c>
      <c r="BJ25" s="51"/>
      <c r="BK25" s="51">
        <v>14.9764</v>
      </c>
      <c r="BL25" s="65">
        <v>9.48</v>
      </c>
      <c r="BM25" s="65">
        <f>BL$34/BK25</f>
        <v>9.475574904516439</v>
      </c>
      <c r="BN25" s="51"/>
      <c r="BO25" s="51">
        <v>15.0765</v>
      </c>
      <c r="BP25" s="65">
        <v>9.52</v>
      </c>
      <c r="BQ25" s="65">
        <f>BP$34/BO25</f>
        <v>9.520114084834013</v>
      </c>
      <c r="BR25" s="51"/>
      <c r="BS25" s="51">
        <v>15.0616</v>
      </c>
      <c r="BT25" s="65">
        <v>9.52</v>
      </c>
      <c r="BU25" s="65">
        <f>BT$34/BS25</f>
        <v>9.518909013650608</v>
      </c>
      <c r="BV25" s="51"/>
      <c r="BW25" s="51">
        <v>15.1312</v>
      </c>
      <c r="BX25" s="65">
        <v>9.51</v>
      </c>
      <c r="BY25" s="65">
        <f>BX$34/BW25</f>
        <v>9.508829438511155</v>
      </c>
      <c r="BZ25" s="51"/>
      <c r="CA25" s="51">
        <v>15.2031</v>
      </c>
      <c r="CB25" s="65">
        <v>9.46</v>
      </c>
      <c r="CC25" s="65">
        <f>CB$34/CA25</f>
        <v>9.459912780945992</v>
      </c>
      <c r="CD25" s="51"/>
      <c r="CE25" s="51">
        <v>15.1112</v>
      </c>
      <c r="CF25" s="65">
        <v>9.5</v>
      </c>
      <c r="CG25" s="65">
        <f>CF$34/CE25</f>
        <v>9.497591190640055</v>
      </c>
      <c r="CH25" s="51"/>
      <c r="CI25" s="51">
        <v>15.1295</v>
      </c>
      <c r="CJ25" s="65">
        <v>9.49</v>
      </c>
      <c r="CK25" s="65">
        <f>CJ$34/CI25</f>
        <v>9.491390991110082</v>
      </c>
      <c r="CL25" s="51"/>
      <c r="CM25" s="51">
        <v>15.0517</v>
      </c>
      <c r="CN25" s="65">
        <v>9.5</v>
      </c>
      <c r="CO25" s="65">
        <f>CN$34/CM25</f>
        <v>9.495937335981983</v>
      </c>
      <c r="CP25" s="51"/>
      <c r="CQ25" s="51">
        <f t="shared" si="0"/>
        <v>15.298760869565216</v>
      </c>
      <c r="CR25" s="51">
        <f t="shared" si="1"/>
        <v>9.364782608695652</v>
      </c>
      <c r="CS25" s="51">
        <f t="shared" si="2"/>
        <v>9.365183474167816</v>
      </c>
      <c r="CT25" s="51"/>
      <c r="CU25" s="56"/>
      <c r="CV25" s="56"/>
      <c r="CW25" s="56"/>
      <c r="CX25" s="56"/>
      <c r="CY25" s="86"/>
    </row>
    <row r="26" spans="1:103" ht="15.75">
      <c r="A26" s="63">
        <v>15</v>
      </c>
      <c r="B26" s="64" t="s">
        <v>64</v>
      </c>
      <c r="C26" s="95">
        <v>189.0106</v>
      </c>
      <c r="D26" s="96">
        <v>76.61</v>
      </c>
      <c r="E26" s="96">
        <f>D$34/C26*100</f>
        <v>76.60945999853976</v>
      </c>
      <c r="F26" s="51"/>
      <c r="G26" s="51">
        <v>188.9462</v>
      </c>
      <c r="H26" s="96">
        <v>76.53</v>
      </c>
      <c r="I26" s="96">
        <f>H$34/G26*100</f>
        <v>76.53501367055809</v>
      </c>
      <c r="J26" s="51"/>
      <c r="K26" s="51">
        <v>189.032</v>
      </c>
      <c r="L26" s="65">
        <v>76.51</v>
      </c>
      <c r="M26" s="96">
        <f>L$34/K26*100</f>
        <v>76.5108553049219</v>
      </c>
      <c r="N26" s="51"/>
      <c r="O26" s="51">
        <v>189.161</v>
      </c>
      <c r="P26" s="65">
        <v>76.07</v>
      </c>
      <c r="Q26" s="96">
        <f>P$34/O26*100</f>
        <v>76.07276341317714</v>
      </c>
      <c r="R26" s="51"/>
      <c r="S26" s="51">
        <v>189.7218</v>
      </c>
      <c r="T26" s="65">
        <v>75.96</v>
      </c>
      <c r="U26" s="96">
        <f>T$34/S26*100</f>
        <v>75.95858778485129</v>
      </c>
      <c r="V26" s="51"/>
      <c r="W26" s="51">
        <v>190.0685</v>
      </c>
      <c r="X26" s="65">
        <v>75.93</v>
      </c>
      <c r="Y26" s="96">
        <f>X$34/W26*100</f>
        <v>75.93578104735926</v>
      </c>
      <c r="Z26" s="51"/>
      <c r="AA26" s="51">
        <v>187.9006</v>
      </c>
      <c r="AB26" s="65">
        <v>76.73</v>
      </c>
      <c r="AC26" s="96">
        <f>AB$34/AA26*100</f>
        <v>76.73205939736224</v>
      </c>
      <c r="AD26" s="51"/>
      <c r="AE26" s="51">
        <v>186.3225</v>
      </c>
      <c r="AF26" s="71">
        <v>77.02</v>
      </c>
      <c r="AG26" s="96">
        <f>AF$34/AE26*100</f>
        <v>77.02236713225724</v>
      </c>
      <c r="AH26" s="51"/>
      <c r="AI26" s="51">
        <v>185.182</v>
      </c>
      <c r="AJ26" s="65">
        <v>77.19</v>
      </c>
      <c r="AK26" s="96">
        <f>AJ$34/AI26*100</f>
        <v>77.18892764955557</v>
      </c>
      <c r="AL26" s="51"/>
      <c r="AM26" s="51">
        <v>185.8439</v>
      </c>
      <c r="AN26" s="65">
        <v>76.84</v>
      </c>
      <c r="AO26" s="96">
        <f>AN$34/AM26*100</f>
        <v>76.84406106415116</v>
      </c>
      <c r="AP26" s="51"/>
      <c r="AQ26" s="51">
        <v>184.0146</v>
      </c>
      <c r="AR26" s="65">
        <v>77.13</v>
      </c>
      <c r="AS26" s="96">
        <f>AR$34/AQ26*100</f>
        <v>77.12974948726895</v>
      </c>
      <c r="AT26" s="51"/>
      <c r="AU26" s="51">
        <v>182.5809</v>
      </c>
      <c r="AV26" s="65">
        <v>77.52</v>
      </c>
      <c r="AW26" s="96">
        <f>AV$34/AU26*100</f>
        <v>77.52179992540292</v>
      </c>
      <c r="AX26" s="51"/>
      <c r="AY26" s="51">
        <v>182.5409</v>
      </c>
      <c r="AZ26" s="65">
        <v>77.57</v>
      </c>
      <c r="BA26" s="96">
        <f>AZ$34/AY26*100</f>
        <v>77.57165654382113</v>
      </c>
      <c r="BB26" s="51"/>
      <c r="BC26" s="51">
        <v>182.2809</v>
      </c>
      <c r="BD26" s="65">
        <v>77.76</v>
      </c>
      <c r="BE26" s="96">
        <f>BD$34/BC26*100</f>
        <v>77.75910696074027</v>
      </c>
      <c r="BF26" s="51"/>
      <c r="BG26" s="51">
        <v>182.1612</v>
      </c>
      <c r="BH26" s="65">
        <v>77.72</v>
      </c>
      <c r="BI26" s="96">
        <f>BH$34/BG26*100</f>
        <v>77.71687933544574</v>
      </c>
      <c r="BJ26" s="51"/>
      <c r="BK26" s="51">
        <v>181.0906</v>
      </c>
      <c r="BL26" s="65">
        <v>78.36</v>
      </c>
      <c r="BM26" s="96">
        <f>BL$34/BK26*100</f>
        <v>78.36408957726132</v>
      </c>
      <c r="BN26" s="51"/>
      <c r="BO26" s="51">
        <v>182.3009</v>
      </c>
      <c r="BP26" s="65">
        <v>78.73</v>
      </c>
      <c r="BQ26" s="96">
        <f>BP$34/BO26*100</f>
        <v>78.73246923081564</v>
      </c>
      <c r="BR26" s="51"/>
      <c r="BS26" s="51">
        <v>182.1213</v>
      </c>
      <c r="BT26" s="65">
        <v>78.72</v>
      </c>
      <c r="BU26" s="96">
        <f>BT$34/BS26*100</f>
        <v>78.72225818726311</v>
      </c>
      <c r="BV26" s="51"/>
      <c r="BW26" s="51">
        <v>182.9624</v>
      </c>
      <c r="BX26" s="65">
        <v>78.64</v>
      </c>
      <c r="BY26" s="96">
        <f>BX$34/BW26*100</f>
        <v>78.6391083632484</v>
      </c>
      <c r="BZ26" s="51"/>
      <c r="CA26" s="51">
        <v>183.8316</v>
      </c>
      <c r="CB26" s="65">
        <v>78.23</v>
      </c>
      <c r="CC26" s="96">
        <f>CB$34/CA26*100</f>
        <v>78.23464518613774</v>
      </c>
      <c r="CD26" s="51"/>
      <c r="CE26" s="51">
        <v>182.7213</v>
      </c>
      <c r="CF26" s="65">
        <v>78.54</v>
      </c>
      <c r="CG26" s="96">
        <f>CF$34/CE26*100</f>
        <v>78.54585097632297</v>
      </c>
      <c r="CH26" s="51"/>
      <c r="CI26" s="51">
        <v>182.9423</v>
      </c>
      <c r="CJ26" s="65">
        <v>78.49</v>
      </c>
      <c r="CK26" s="96">
        <f>CJ$34/CI26*100</f>
        <v>78.49469477534721</v>
      </c>
      <c r="CL26" s="51"/>
      <c r="CM26" s="51">
        <v>182.0018</v>
      </c>
      <c r="CN26" s="65">
        <v>78.53</v>
      </c>
      <c r="CO26" s="96">
        <f>CN$34/CM26*100</f>
        <v>78.53219034097465</v>
      </c>
      <c r="CP26" s="51"/>
      <c r="CQ26" s="51">
        <f t="shared" si="0"/>
        <v>184.9886869565218</v>
      </c>
      <c r="CR26" s="51">
        <f t="shared" si="1"/>
        <v>77.4491304347826</v>
      </c>
      <c r="CS26" s="51">
        <f t="shared" si="2"/>
        <v>77.45105979794712</v>
      </c>
      <c r="CT26" s="51"/>
      <c r="CU26" s="56"/>
      <c r="CV26" s="56"/>
      <c r="CW26" s="56"/>
      <c r="CX26" s="56"/>
      <c r="CY26" s="86"/>
    </row>
    <row r="27" spans="1:103" ht="15.75">
      <c r="A27" s="63">
        <v>16</v>
      </c>
      <c r="B27" s="64" t="s">
        <v>53</v>
      </c>
      <c r="C27" s="95">
        <v>10.554</v>
      </c>
      <c r="D27" s="96">
        <v>13.72</v>
      </c>
      <c r="E27" s="96">
        <f>D$34/C27</f>
        <v>13.719916619291265</v>
      </c>
      <c r="F27" s="51"/>
      <c r="G27" s="51">
        <v>10.55</v>
      </c>
      <c r="H27" s="51">
        <v>13.71</v>
      </c>
      <c r="I27" s="65">
        <f>H$34/G27</f>
        <v>13.707109004739337</v>
      </c>
      <c r="J27" s="51"/>
      <c r="K27" s="51">
        <v>10.363</v>
      </c>
      <c r="L27" s="65">
        <v>13.96</v>
      </c>
      <c r="M27" s="65">
        <f>L$34/K27</f>
        <v>13.956383286693043</v>
      </c>
      <c r="N27" s="51"/>
      <c r="O27" s="51">
        <v>10.426</v>
      </c>
      <c r="P27" s="65">
        <v>13.8</v>
      </c>
      <c r="Q27" s="65">
        <f>P$34/O27</f>
        <v>13.80203337809323</v>
      </c>
      <c r="R27" s="51"/>
      <c r="S27" s="51">
        <v>10.458</v>
      </c>
      <c r="T27" s="65">
        <v>13.78</v>
      </c>
      <c r="U27" s="65">
        <f>T$34/S27</f>
        <v>13.779881430483842</v>
      </c>
      <c r="V27" s="51"/>
      <c r="W27" s="51">
        <v>10.448</v>
      </c>
      <c r="X27" s="65">
        <v>13.81</v>
      </c>
      <c r="Y27" s="65">
        <f>X$34/W27</f>
        <v>13.814127105666158</v>
      </c>
      <c r="Z27" s="51"/>
      <c r="AA27" s="51">
        <v>10.3422</v>
      </c>
      <c r="AB27" s="65">
        <v>13.94</v>
      </c>
      <c r="AC27" s="65">
        <f>AB$34/AA27</f>
        <v>13.94094099901375</v>
      </c>
      <c r="AD27" s="51"/>
      <c r="AE27" s="51">
        <v>10.2648</v>
      </c>
      <c r="AF27" s="65">
        <v>13.98</v>
      </c>
      <c r="AG27" s="65">
        <f>AF$34/AE27</f>
        <v>13.980788714831268</v>
      </c>
      <c r="AH27" s="51"/>
      <c r="AI27" s="51">
        <v>10.233</v>
      </c>
      <c r="AJ27" s="65">
        <v>13.97</v>
      </c>
      <c r="AK27" s="65">
        <f>AJ$34/AI27</f>
        <v>13.968533176976448</v>
      </c>
      <c r="AL27" s="51"/>
      <c r="AM27" s="51">
        <v>10.2836</v>
      </c>
      <c r="AN27" s="65">
        <v>13.89</v>
      </c>
      <c r="AO27" s="65">
        <f>AN$34/AM27</f>
        <v>13.88716013847291</v>
      </c>
      <c r="AP27" s="51"/>
      <c r="AQ27" s="51">
        <v>10.21</v>
      </c>
      <c r="AR27" s="65">
        <v>13.9</v>
      </c>
      <c r="AS27" s="65">
        <f>AR$34/AQ27</f>
        <v>13.901077375122428</v>
      </c>
      <c r="AT27" s="51"/>
      <c r="AU27" s="51">
        <v>10.174</v>
      </c>
      <c r="AV27" s="65">
        <v>13.91</v>
      </c>
      <c r="AW27" s="65">
        <f>AV$34/AU27</f>
        <v>13.911932376646353</v>
      </c>
      <c r="AX27" s="51"/>
      <c r="AY27" s="51">
        <v>10.172</v>
      </c>
      <c r="AZ27" s="65">
        <v>13.92</v>
      </c>
      <c r="BA27" s="65">
        <f>AZ$34/AY27</f>
        <v>13.920566260322452</v>
      </c>
      <c r="BB27" s="51"/>
      <c r="BC27" s="51">
        <v>10.3319</v>
      </c>
      <c r="BD27" s="65">
        <v>13.72</v>
      </c>
      <c r="BE27" s="65">
        <f>BD$34/BC27</f>
        <v>13.718677106824497</v>
      </c>
      <c r="BF27" s="51"/>
      <c r="BG27" s="51">
        <v>10.3199</v>
      </c>
      <c r="BH27" s="65">
        <v>13.72</v>
      </c>
      <c r="BI27" s="65">
        <f>BH$34/BG27</f>
        <v>13.718156183683949</v>
      </c>
      <c r="BJ27" s="51"/>
      <c r="BK27" s="51">
        <v>10.3</v>
      </c>
      <c r="BL27" s="65">
        <v>13.78</v>
      </c>
      <c r="BM27" s="65">
        <f>BL$34/BK27</f>
        <v>13.77766990291262</v>
      </c>
      <c r="BN27" s="51"/>
      <c r="BO27" s="51">
        <v>10.874</v>
      </c>
      <c r="BP27" s="65">
        <v>13.91</v>
      </c>
      <c r="BQ27" s="65">
        <f>BP$34/BO27</f>
        <v>13.199374655140701</v>
      </c>
      <c r="BR27" s="51"/>
      <c r="BS27" s="51">
        <v>10.2715</v>
      </c>
      <c r="BT27" s="65">
        <v>13.96</v>
      </c>
      <c r="BU27" s="65">
        <f>BT$34/BS27</f>
        <v>13.958039234775837</v>
      </c>
      <c r="BV27" s="51"/>
      <c r="BW27" s="51">
        <v>10.2928</v>
      </c>
      <c r="BX27" s="65">
        <v>13.98</v>
      </c>
      <c r="BY27" s="65">
        <f>BX$34/BW27</f>
        <v>13.978703559769937</v>
      </c>
      <c r="BZ27" s="51"/>
      <c r="CA27" s="51">
        <v>10.342</v>
      </c>
      <c r="CB27" s="65">
        <v>13.91</v>
      </c>
      <c r="CC27" s="65">
        <f>CB$34/CA27</f>
        <v>13.906401082962676</v>
      </c>
      <c r="CD27" s="51"/>
      <c r="CE27" s="51">
        <v>10.3523</v>
      </c>
      <c r="CF27" s="65">
        <v>13.86</v>
      </c>
      <c r="CG27" s="65">
        <f>CF$34/CE27</f>
        <v>13.86358586980671</v>
      </c>
      <c r="CH27" s="51"/>
      <c r="CI27" s="51">
        <v>10.4095</v>
      </c>
      <c r="CJ27" s="65">
        <v>13.8</v>
      </c>
      <c r="CK27" s="65">
        <f>CJ$34/CI27</f>
        <v>13.795091022623565</v>
      </c>
      <c r="CL27" s="51"/>
      <c r="CM27" s="51">
        <v>10.4178</v>
      </c>
      <c r="CN27" s="65">
        <v>13.72</v>
      </c>
      <c r="CO27" s="65">
        <f>CN$34/CM27</f>
        <v>13.71978728714316</v>
      </c>
      <c r="CP27" s="51"/>
      <c r="CQ27" s="51">
        <f t="shared" si="0"/>
        <v>10.364795652173912</v>
      </c>
      <c r="CR27" s="51">
        <f t="shared" si="1"/>
        <v>13.854347826086961</v>
      </c>
      <c r="CS27" s="51">
        <f t="shared" si="2"/>
        <v>13.822866772695487</v>
      </c>
      <c r="CT27" s="51"/>
      <c r="CU27" s="56"/>
      <c r="CV27" s="56"/>
      <c r="CW27" s="56"/>
      <c r="CX27" s="56"/>
      <c r="CY27" s="86"/>
    </row>
    <row r="28" spans="1:103" ht="15.75">
      <c r="A28" s="63">
        <v>17</v>
      </c>
      <c r="B28" s="64" t="s">
        <v>54</v>
      </c>
      <c r="C28" s="95">
        <v>9.0864</v>
      </c>
      <c r="D28" s="96">
        <v>15.94</v>
      </c>
      <c r="E28" s="96">
        <f>D$34/C28</f>
        <v>15.935904208487413</v>
      </c>
      <c r="F28" s="51"/>
      <c r="G28" s="51">
        <v>9.08</v>
      </c>
      <c r="H28" s="51">
        <v>15.93</v>
      </c>
      <c r="I28" s="65">
        <f>H$34/G28</f>
        <v>15.926211453744495</v>
      </c>
      <c r="J28" s="51"/>
      <c r="K28" s="51">
        <v>9.0143</v>
      </c>
      <c r="L28" s="65">
        <v>16.04</v>
      </c>
      <c r="M28" s="65">
        <f>L$34/K28</f>
        <v>16.04450706100307</v>
      </c>
      <c r="N28" s="51"/>
      <c r="O28" s="51">
        <v>9.0686</v>
      </c>
      <c r="P28" s="65">
        <v>15.87</v>
      </c>
      <c r="Q28" s="65">
        <f>P$34/O28</f>
        <v>15.867939924574907</v>
      </c>
      <c r="R28" s="51"/>
      <c r="S28" s="51">
        <v>9.0742</v>
      </c>
      <c r="T28" s="65">
        <v>15.88</v>
      </c>
      <c r="U28" s="65">
        <f>T$34/S28</f>
        <v>15.881289810672017</v>
      </c>
      <c r="V28" s="51"/>
      <c r="W28" s="51">
        <v>9.0874</v>
      </c>
      <c r="X28" s="65">
        <v>15.88</v>
      </c>
      <c r="Y28" s="65">
        <f>X$34/W28</f>
        <v>15.882430618218633</v>
      </c>
      <c r="Z28" s="51"/>
      <c r="AA28" s="51">
        <v>9.0046</v>
      </c>
      <c r="AB28" s="65">
        <v>16.01</v>
      </c>
      <c r="AC28" s="65">
        <f>AB$34/AA28</f>
        <v>16.011816182839883</v>
      </c>
      <c r="AD28" s="51"/>
      <c r="AE28" s="51">
        <v>8.9782</v>
      </c>
      <c r="AF28" s="65">
        <v>15.98</v>
      </c>
      <c r="AG28" s="65">
        <f>AF$34/AE28</f>
        <v>15.98427301686307</v>
      </c>
      <c r="AH28" s="51"/>
      <c r="AI28" s="51">
        <v>8.9672</v>
      </c>
      <c r="AJ28" s="65">
        <v>15.94</v>
      </c>
      <c r="AK28" s="65">
        <f>AJ$34/AI28</f>
        <v>15.940315817646534</v>
      </c>
      <c r="AL28" s="51"/>
      <c r="AM28" s="51">
        <v>9.0252</v>
      </c>
      <c r="AN28" s="65">
        <v>15.82</v>
      </c>
      <c r="AO28" s="65">
        <f>AN$34/AM28</f>
        <v>15.82347205602092</v>
      </c>
      <c r="AP28" s="51"/>
      <c r="AQ28" s="51">
        <v>8.9378</v>
      </c>
      <c r="AR28" s="65">
        <v>15.88</v>
      </c>
      <c r="AS28" s="65">
        <f>AR$34/AQ28</f>
        <v>15.879746693817273</v>
      </c>
      <c r="AT28" s="51"/>
      <c r="AU28" s="51">
        <v>8.887</v>
      </c>
      <c r="AV28" s="65">
        <v>15.93</v>
      </c>
      <c r="AW28" s="65">
        <f>AV$34/AU28</f>
        <v>15.926634409812083</v>
      </c>
      <c r="AX28" s="51"/>
      <c r="AY28" s="51">
        <v>8.8946</v>
      </c>
      <c r="AZ28" s="65">
        <v>15.92</v>
      </c>
      <c r="BA28" s="65">
        <f>AZ$34/AY28</f>
        <v>15.919771546781192</v>
      </c>
      <c r="BB28" s="51"/>
      <c r="BC28" s="51">
        <v>8.8989</v>
      </c>
      <c r="BD28" s="65">
        <v>15.93</v>
      </c>
      <c r="BE28" s="65">
        <f>BD$34/BC28</f>
        <v>15.927811302520539</v>
      </c>
      <c r="BF28" s="51"/>
      <c r="BG28" s="51">
        <v>8.8848</v>
      </c>
      <c r="BH28" s="65">
        <v>15.93</v>
      </c>
      <c r="BI28" s="65">
        <f>BH$34/BG28</f>
        <v>15.933954619124796</v>
      </c>
      <c r="BJ28" s="51"/>
      <c r="BK28" s="51">
        <v>8.82</v>
      </c>
      <c r="BL28" s="65">
        <v>16.09</v>
      </c>
      <c r="BM28" s="65">
        <f>BL$34/BK28</f>
        <v>16.08956916099773</v>
      </c>
      <c r="BN28" s="51"/>
      <c r="BO28" s="51">
        <v>8.874</v>
      </c>
      <c r="BP28" s="65">
        <v>16.17</v>
      </c>
      <c r="BQ28" s="65">
        <f>BP$34/BO28</f>
        <v>16.174216813162044</v>
      </c>
      <c r="BR28" s="51"/>
      <c r="BS28" s="51">
        <v>8.8688</v>
      </c>
      <c r="BT28" s="65">
        <v>16.17</v>
      </c>
      <c r="BU28" s="65">
        <f>BT$34/BS28</f>
        <v>16.1656593902219</v>
      </c>
      <c r="BV28" s="51"/>
      <c r="BW28" s="51">
        <v>8.8883</v>
      </c>
      <c r="BX28" s="65">
        <v>16.19</v>
      </c>
      <c r="BY28" s="65">
        <f>BX$34/BW28</f>
        <v>16.187572426673267</v>
      </c>
      <c r="BZ28" s="51"/>
      <c r="CA28" s="51">
        <v>8.9123</v>
      </c>
      <c r="CB28" s="65">
        <v>16.14</v>
      </c>
      <c r="CC28" s="65">
        <f>CB$34/CA28</f>
        <v>16.137248521705956</v>
      </c>
      <c r="CD28" s="51"/>
      <c r="CE28" s="51">
        <v>8.8551</v>
      </c>
      <c r="CF28" s="65">
        <v>16.21</v>
      </c>
      <c r="CG28" s="65">
        <f>CF$34/CE28</f>
        <v>16.20760917437409</v>
      </c>
      <c r="CH28" s="51"/>
      <c r="CI28" s="51">
        <v>8.8527</v>
      </c>
      <c r="CJ28" s="65">
        <v>16.22</v>
      </c>
      <c r="CK28" s="65">
        <f>CJ$34/CI28</f>
        <v>16.221039908728407</v>
      </c>
      <c r="CL28" s="51"/>
      <c r="CM28" s="51">
        <v>8.2887</v>
      </c>
      <c r="CN28" s="65">
        <v>16.19</v>
      </c>
      <c r="CO28" s="65">
        <f>CN$34/CM28</f>
        <v>17.243958642489172</v>
      </c>
      <c r="CP28" s="51"/>
      <c r="CQ28" s="51">
        <f t="shared" si="0"/>
        <v>8.923873913043478</v>
      </c>
      <c r="CR28" s="51">
        <f t="shared" si="1"/>
        <v>16.011304347826083</v>
      </c>
      <c r="CS28" s="51">
        <f t="shared" si="2"/>
        <v>16.05708490262954</v>
      </c>
      <c r="CT28" s="51"/>
      <c r="CU28" s="56"/>
      <c r="CV28" s="56"/>
      <c r="CW28" s="56"/>
      <c r="CX28" s="56"/>
      <c r="CY28" s="86"/>
    </row>
    <row r="29" spans="1:103" ht="15.75">
      <c r="A29" s="63">
        <v>18</v>
      </c>
      <c r="B29" s="64" t="s">
        <v>55</v>
      </c>
      <c r="C29" s="95">
        <v>8.4586</v>
      </c>
      <c r="D29" s="96">
        <v>17.12</v>
      </c>
      <c r="E29" s="96">
        <f>D$34/C29</f>
        <v>17.11867212068191</v>
      </c>
      <c r="F29" s="51"/>
      <c r="G29" s="51">
        <v>8.45</v>
      </c>
      <c r="H29" s="51">
        <v>17.11</v>
      </c>
      <c r="I29" s="65">
        <f>H$34/G29</f>
        <v>17.113609467455625</v>
      </c>
      <c r="J29" s="51"/>
      <c r="K29" s="51">
        <v>8.45</v>
      </c>
      <c r="L29" s="51">
        <v>17.11</v>
      </c>
      <c r="M29" s="65">
        <f>L$34/K29</f>
        <v>17.115976331360947</v>
      </c>
      <c r="N29" s="51"/>
      <c r="O29" s="51">
        <v>8.463</v>
      </c>
      <c r="P29" s="65">
        <v>17</v>
      </c>
      <c r="Q29" s="65">
        <f>P$34/O29</f>
        <v>17.003426680846037</v>
      </c>
      <c r="R29" s="51"/>
      <c r="S29" s="51">
        <v>8.489</v>
      </c>
      <c r="T29" s="65">
        <v>16.98</v>
      </c>
      <c r="U29" s="65">
        <f>T$34/S29</f>
        <v>16.976086700435857</v>
      </c>
      <c r="V29" s="51"/>
      <c r="W29" s="51">
        <v>8.5006</v>
      </c>
      <c r="X29" s="65">
        <v>16.98</v>
      </c>
      <c r="Y29" s="65">
        <f>X$34/W29</f>
        <v>16.978801496364962</v>
      </c>
      <c r="Z29" s="51"/>
      <c r="AA29" s="51">
        <v>8.4005</v>
      </c>
      <c r="AB29" s="65">
        <v>17.16</v>
      </c>
      <c r="AC29" s="65">
        <f>AB$34/AA29</f>
        <v>17.163264091423134</v>
      </c>
      <c r="AD29" s="51"/>
      <c r="AE29" s="51">
        <v>8.33</v>
      </c>
      <c r="AF29" s="65">
        <v>17.23</v>
      </c>
      <c r="AG29" s="65">
        <f>AF$34/AE29</f>
        <v>17.228091236494596</v>
      </c>
      <c r="AH29" s="51"/>
      <c r="AI29" s="51">
        <v>8.277</v>
      </c>
      <c r="AJ29" s="65">
        <v>17.27</v>
      </c>
      <c r="AK29" s="65">
        <f>AJ$34/AI29</f>
        <v>17.26954210462728</v>
      </c>
      <c r="AL29" s="51"/>
      <c r="AM29" s="51">
        <v>8.3064</v>
      </c>
      <c r="AN29" s="65">
        <v>17.19</v>
      </c>
      <c r="AO29" s="65">
        <f>AN$34/AM29</f>
        <v>17.192767023018394</v>
      </c>
      <c r="AP29" s="51"/>
      <c r="AQ29" s="51">
        <v>8.2273</v>
      </c>
      <c r="AR29" s="65">
        <v>17.25</v>
      </c>
      <c r="AS29" s="65">
        <f>AR$34/AQ29</f>
        <v>17.251103035017564</v>
      </c>
      <c r="AT29" s="51"/>
      <c r="AU29" s="51">
        <v>8.1615</v>
      </c>
      <c r="AV29" s="65">
        <v>17.34</v>
      </c>
      <c r="AW29" s="65">
        <f>AV$34/AU29</f>
        <v>17.34240029406359</v>
      </c>
      <c r="AX29" s="51"/>
      <c r="AY29" s="51">
        <v>8.163</v>
      </c>
      <c r="AZ29" s="65">
        <v>17.35</v>
      </c>
      <c r="BA29" s="65">
        <f>AZ$34/AY29</f>
        <v>17.346563763322308</v>
      </c>
      <c r="BB29" s="51"/>
      <c r="BC29" s="51">
        <v>8.156</v>
      </c>
      <c r="BD29" s="65">
        <v>17.38</v>
      </c>
      <c r="BE29" s="65">
        <f>BD$34/BC29</f>
        <v>17.378616969102502</v>
      </c>
      <c r="BF29" s="51"/>
      <c r="BG29" s="51">
        <v>8.1443</v>
      </c>
      <c r="BH29" s="65">
        <v>17.38</v>
      </c>
      <c r="BI29" s="65">
        <f>BH$34/BG29</f>
        <v>17.382709379566077</v>
      </c>
      <c r="BJ29" s="51"/>
      <c r="BK29" s="51">
        <v>5.11</v>
      </c>
      <c r="BL29" s="65">
        <v>27.77</v>
      </c>
      <c r="BM29" s="65">
        <f>BL$34/BK29</f>
        <v>27.771037181996082</v>
      </c>
      <c r="BN29" s="51"/>
      <c r="BO29" s="51">
        <v>8.159</v>
      </c>
      <c r="BP29" s="65">
        <v>17.59</v>
      </c>
      <c r="BQ29" s="65">
        <f>BP$34/BO29</f>
        <v>17.591616619683784</v>
      </c>
      <c r="BR29" s="51"/>
      <c r="BS29" s="51">
        <v>8.1449</v>
      </c>
      <c r="BT29" s="65">
        <v>17.6</v>
      </c>
      <c r="BU29" s="65">
        <f>BT$34/BS29</f>
        <v>17.60242605802404</v>
      </c>
      <c r="BV29" s="51"/>
      <c r="BW29" s="51">
        <v>8.1808</v>
      </c>
      <c r="BX29" s="65">
        <v>17.59</v>
      </c>
      <c r="BY29" s="65">
        <f>BX$34/BW29</f>
        <v>17.58752200273812</v>
      </c>
      <c r="BZ29" s="51"/>
      <c r="CA29" s="51">
        <v>8.221</v>
      </c>
      <c r="CB29" s="65">
        <v>17.49</v>
      </c>
      <c r="CC29" s="65">
        <f>CB$34/CA29</f>
        <v>17.49422211409804</v>
      </c>
      <c r="CD29" s="51"/>
      <c r="CE29" s="51">
        <v>8.1702</v>
      </c>
      <c r="CF29" s="65">
        <v>17.57</v>
      </c>
      <c r="CG29" s="65">
        <f>CF$34/CE29</f>
        <v>17.566277447308515</v>
      </c>
      <c r="CH29" s="51"/>
      <c r="CI29" s="51">
        <v>8.183</v>
      </c>
      <c r="CJ29" s="65">
        <v>17.55</v>
      </c>
      <c r="CK29" s="65">
        <f>CJ$34/CI29</f>
        <v>17.548576316754247</v>
      </c>
      <c r="CL29" s="51"/>
      <c r="CM29" s="51">
        <v>8.1435</v>
      </c>
      <c r="CN29" s="65">
        <v>17.55</v>
      </c>
      <c r="CO29" s="65">
        <f>CN$34/CM29</f>
        <v>17.551421379013938</v>
      </c>
      <c r="CP29" s="51"/>
      <c r="CQ29" s="51">
        <f t="shared" si="0"/>
        <v>8.143026086956521</v>
      </c>
      <c r="CR29" s="51">
        <f t="shared" si="1"/>
        <v>17.763478260869565</v>
      </c>
      <c r="CS29" s="51">
        <f t="shared" si="2"/>
        <v>17.764118687539025</v>
      </c>
      <c r="CT29" s="51"/>
      <c r="CU29" s="56"/>
      <c r="CV29" s="56"/>
      <c r="CW29" s="56"/>
      <c r="CX29" s="56"/>
      <c r="CY29" s="86"/>
    </row>
    <row r="30" spans="1:103" ht="15.75">
      <c r="A30" s="63">
        <v>19</v>
      </c>
      <c r="B30" s="64" t="s">
        <v>56</v>
      </c>
      <c r="C30" s="95">
        <v>6.7542</v>
      </c>
      <c r="D30" s="96">
        <v>21.44</v>
      </c>
      <c r="E30" s="96">
        <f>D$34/C30</f>
        <v>21.438512333066836</v>
      </c>
      <c r="F30" s="51"/>
      <c r="G30" s="51">
        <v>6.7519</v>
      </c>
      <c r="H30" s="51">
        <v>21.42</v>
      </c>
      <c r="I30" s="65">
        <f>H$34/G30</f>
        <v>21.417675024807835</v>
      </c>
      <c r="J30" s="51"/>
      <c r="K30" s="51">
        <v>6.755</v>
      </c>
      <c r="L30" s="65">
        <v>21.41</v>
      </c>
      <c r="M30" s="65">
        <f>L$34/K30</f>
        <v>21.41080680977054</v>
      </c>
      <c r="N30" s="51"/>
      <c r="O30" s="51">
        <v>6.7596</v>
      </c>
      <c r="P30" s="65">
        <v>21.29</v>
      </c>
      <c r="Q30" s="65">
        <f>P$34/O30</f>
        <v>21.288241907805197</v>
      </c>
      <c r="R30" s="51"/>
      <c r="S30" s="51">
        <v>6.7796</v>
      </c>
      <c r="T30" s="65">
        <v>21.26</v>
      </c>
      <c r="U30" s="65">
        <f>T$34/S30</f>
        <v>21.256416307746772</v>
      </c>
      <c r="V30" s="51"/>
      <c r="W30" s="51">
        <v>6.792</v>
      </c>
      <c r="X30" s="65">
        <v>21.25</v>
      </c>
      <c r="Y30" s="65">
        <f>X$34/W30</f>
        <v>21.250000000000004</v>
      </c>
      <c r="Z30" s="51"/>
      <c r="AA30" s="51">
        <v>6.7145</v>
      </c>
      <c r="AB30" s="65">
        <v>21.47</v>
      </c>
      <c r="AC30" s="65">
        <f>AB$34/AA30</f>
        <v>21.47293171494527</v>
      </c>
      <c r="AD30" s="51"/>
      <c r="AE30" s="51">
        <v>6.6582</v>
      </c>
      <c r="AF30" s="65">
        <v>21.55</v>
      </c>
      <c r="AG30" s="65">
        <f>AF$34/AE30</f>
        <v>21.553873419242436</v>
      </c>
      <c r="AH30" s="51"/>
      <c r="AI30" s="51">
        <v>6.6174</v>
      </c>
      <c r="AJ30" s="65">
        <v>21.6</v>
      </c>
      <c r="AK30" s="65">
        <f>AJ$34/AI30</f>
        <v>21.60062864569166</v>
      </c>
      <c r="AL30" s="51"/>
      <c r="AM30" s="51">
        <v>6.641</v>
      </c>
      <c r="AN30" s="65">
        <v>21.5</v>
      </c>
      <c r="AO30" s="65">
        <f>AN$34/AM30</f>
        <v>21.50429152236109</v>
      </c>
      <c r="AP30" s="51"/>
      <c r="AQ30" s="51">
        <v>6.5757</v>
      </c>
      <c r="AR30" s="65">
        <v>21.58</v>
      </c>
      <c r="AS30" s="65">
        <f>AR$34/AQ30</f>
        <v>21.584013869245858</v>
      </c>
      <c r="AT30" s="51"/>
      <c r="AU30" s="51">
        <v>6.5244</v>
      </c>
      <c r="AV30" s="65">
        <v>21.69</v>
      </c>
      <c r="AW30" s="65">
        <f>AV$34/AU30</f>
        <v>21.693948868861504</v>
      </c>
      <c r="AX30" s="51"/>
      <c r="AY30" s="51">
        <v>6.523</v>
      </c>
      <c r="AZ30" s="65">
        <v>21.71</v>
      </c>
      <c r="BA30" s="65">
        <f>AZ$34/AY30</f>
        <v>21.70780315805611</v>
      </c>
      <c r="BB30" s="51"/>
      <c r="BC30" s="51">
        <v>6.5137</v>
      </c>
      <c r="BD30" s="65">
        <v>21.76</v>
      </c>
      <c r="BE30" s="65">
        <f>BD$34/BC30</f>
        <v>21.760289850622534</v>
      </c>
      <c r="BF30" s="51"/>
      <c r="BG30" s="51">
        <v>6.5094</v>
      </c>
      <c r="BH30" s="65">
        <v>21.75</v>
      </c>
      <c r="BI30" s="65">
        <f>BH$34/BG30</f>
        <v>21.748548253295233</v>
      </c>
      <c r="BJ30" s="51"/>
      <c r="BK30" s="51">
        <v>6.4712</v>
      </c>
      <c r="BL30" s="65">
        <v>21.93</v>
      </c>
      <c r="BM30" s="65">
        <f>BL$34/BK30</f>
        <v>21.92947212263568</v>
      </c>
      <c r="BN30" s="51"/>
      <c r="BO30" s="51">
        <v>6.5144</v>
      </c>
      <c r="BP30" s="65">
        <v>22.03</v>
      </c>
      <c r="BQ30" s="65">
        <f>BP$34/BO30</f>
        <v>22.032727496008842</v>
      </c>
      <c r="BR30" s="51"/>
      <c r="BS30" s="51">
        <v>6.508</v>
      </c>
      <c r="BT30" s="65">
        <v>22.03</v>
      </c>
      <c r="BU30" s="65">
        <f>BT$34/BS30</f>
        <v>22.02980946527351</v>
      </c>
      <c r="BV30" s="51"/>
      <c r="BW30" s="51">
        <v>6.5381</v>
      </c>
      <c r="BX30" s="65">
        <v>22.01</v>
      </c>
      <c r="BY30" s="65">
        <f>BX$34/BW30</f>
        <v>22.00639329468806</v>
      </c>
      <c r="BZ30" s="51"/>
      <c r="CA30" s="51">
        <v>6.5691</v>
      </c>
      <c r="CB30" s="65">
        <v>21.89</v>
      </c>
      <c r="CC30" s="65">
        <f>CB$34/CA30</f>
        <v>21.89341005617208</v>
      </c>
      <c r="CD30" s="51"/>
      <c r="CE30" s="51">
        <v>6.5295</v>
      </c>
      <c r="CF30" s="65">
        <v>21.98</v>
      </c>
      <c r="CG30" s="65">
        <f>CF$34/CE30</f>
        <v>21.980243510222838</v>
      </c>
      <c r="CH30" s="51"/>
      <c r="CI30" s="51">
        <v>6.5374</v>
      </c>
      <c r="CJ30" s="65">
        <v>21.97</v>
      </c>
      <c r="CK30" s="65">
        <f>CJ$34/CI30</f>
        <v>21.96591917275981</v>
      </c>
      <c r="CL30" s="51"/>
      <c r="CM30" s="51">
        <v>6.5038</v>
      </c>
      <c r="CN30" s="65">
        <v>21.98</v>
      </c>
      <c r="CO30" s="65">
        <f>CN$34/CM30</f>
        <v>21.976383037608784</v>
      </c>
      <c r="CP30" s="51"/>
      <c r="CQ30" s="51">
        <f t="shared" si="0"/>
        <v>6.610482608695652</v>
      </c>
      <c r="CR30" s="51">
        <f t="shared" si="1"/>
        <v>21.67391304347826</v>
      </c>
      <c r="CS30" s="51">
        <f t="shared" si="2"/>
        <v>21.674014775690804</v>
      </c>
      <c r="CT30" s="51"/>
      <c r="CU30" s="56"/>
      <c r="CV30" s="56"/>
      <c r="CW30" s="56"/>
      <c r="CX30" s="56"/>
      <c r="CY30" s="86"/>
    </row>
    <row r="31" spans="1:103" ht="15.75">
      <c r="A31" s="63">
        <v>20</v>
      </c>
      <c r="B31" s="64" t="s">
        <v>57</v>
      </c>
      <c r="C31" s="95">
        <v>227.7428</v>
      </c>
      <c r="D31" s="96">
        <v>63.58</v>
      </c>
      <c r="E31" s="96">
        <f>D$34/C31*100</f>
        <v>63.58049519018824</v>
      </c>
      <c r="F31" s="51"/>
      <c r="G31" s="51">
        <v>227.6652</v>
      </c>
      <c r="H31" s="51">
        <v>63.52</v>
      </c>
      <c r="I31" s="65">
        <f>H$34/G31*100</f>
        <v>63.51871080867871</v>
      </c>
      <c r="J31" s="51"/>
      <c r="K31" s="51">
        <v>227.7687</v>
      </c>
      <c r="L31" s="65">
        <v>63.5</v>
      </c>
      <c r="M31" s="65">
        <f>L$34/K31*100</f>
        <v>63.49862821362198</v>
      </c>
      <c r="N31" s="51"/>
      <c r="O31" s="51">
        <v>227.9241</v>
      </c>
      <c r="P31" s="65">
        <v>63.14</v>
      </c>
      <c r="Q31" s="65">
        <f>P$34/O31*100</f>
        <v>63.13505241437829</v>
      </c>
      <c r="R31" s="51"/>
      <c r="S31" s="51">
        <v>228.5998</v>
      </c>
      <c r="T31" s="65">
        <v>63.04</v>
      </c>
      <c r="U31" s="65">
        <f>T$34/S31*100</f>
        <v>63.040300122747276</v>
      </c>
      <c r="V31" s="51"/>
      <c r="W31" s="51">
        <v>229.0176</v>
      </c>
      <c r="X31" s="65">
        <v>63.02</v>
      </c>
      <c r="Y31" s="65">
        <f>X$34/W31*100</f>
        <v>63.02135731052986</v>
      </c>
      <c r="Z31" s="51"/>
      <c r="AA31" s="51">
        <v>226.4054</v>
      </c>
      <c r="AB31" s="65">
        <v>63.68</v>
      </c>
      <c r="AC31" s="65">
        <f>AB$34/AA31*100</f>
        <v>63.682226660671525</v>
      </c>
      <c r="AD31" s="51"/>
      <c r="AE31" s="51">
        <v>224.5039</v>
      </c>
      <c r="AF31" s="65">
        <v>63.93</v>
      </c>
      <c r="AG31" s="65">
        <f>AF$34/AE31*100</f>
        <v>63.923165700016796</v>
      </c>
      <c r="AH31" s="51"/>
      <c r="AI31" s="51">
        <v>223.1297</v>
      </c>
      <c r="AJ31" s="65">
        <v>64.06</v>
      </c>
      <c r="AK31" s="65">
        <f>AJ$34/AI31*100</f>
        <v>64.06139568152514</v>
      </c>
      <c r="AL31" s="51"/>
      <c r="AM31" s="51">
        <v>223.9272</v>
      </c>
      <c r="AN31" s="65">
        <v>63.77</v>
      </c>
      <c r="AO31" s="65">
        <f>AN$34/AM31*100</f>
        <v>63.775191222861714</v>
      </c>
      <c r="AP31" s="51"/>
      <c r="AQ31" s="51">
        <v>221.7231</v>
      </c>
      <c r="AR31" s="65">
        <v>64.01</v>
      </c>
      <c r="AS31" s="65">
        <f>AR$34/AQ31*100</f>
        <v>64.0122747697466</v>
      </c>
      <c r="AT31" s="51"/>
      <c r="AU31" s="51">
        <v>219.9956</v>
      </c>
      <c r="AV31" s="65">
        <v>64.34</v>
      </c>
      <c r="AW31" s="65">
        <f>AV$34/AU31*100</f>
        <v>64.33765038937142</v>
      </c>
      <c r="AX31" s="51"/>
      <c r="AY31" s="51">
        <v>219.9473</v>
      </c>
      <c r="AZ31" s="65">
        <v>64.38</v>
      </c>
      <c r="BA31" s="65">
        <f>AZ$34/AY31*100</f>
        <v>64.37905807436599</v>
      </c>
      <c r="BB31" s="51"/>
      <c r="BC31" s="51">
        <v>219.6341</v>
      </c>
      <c r="BD31" s="65">
        <v>64.53</v>
      </c>
      <c r="BE31" s="65">
        <f>BD$34/BC31*100</f>
        <v>64.53460550980017</v>
      </c>
      <c r="BF31" s="51"/>
      <c r="BG31" s="51">
        <v>219.4898</v>
      </c>
      <c r="BH31" s="65">
        <v>64.5</v>
      </c>
      <c r="BI31" s="65">
        <f>BH$34/BG31*100</f>
        <v>64.49958039052383</v>
      </c>
      <c r="BJ31" s="51"/>
      <c r="BK31" s="51">
        <v>218.1998</v>
      </c>
      <c r="BL31" s="65">
        <v>65.04</v>
      </c>
      <c r="BM31" s="65">
        <f>BL$34/BK31*100</f>
        <v>65.03672322339433</v>
      </c>
      <c r="BN31" s="51"/>
      <c r="BO31" s="51">
        <v>219.6582</v>
      </c>
      <c r="BP31" s="65">
        <v>65.34</v>
      </c>
      <c r="BQ31" s="65">
        <f>BP$34/BO31*100</f>
        <v>65.3424274623028</v>
      </c>
      <c r="BR31" s="51"/>
      <c r="BS31" s="51">
        <v>219.4418</v>
      </c>
      <c r="BT31" s="65">
        <v>65.34</v>
      </c>
      <c r="BU31" s="65">
        <f>BT$34/BS31*100</f>
        <v>65.33395187243269</v>
      </c>
      <c r="BV31" s="51"/>
      <c r="BW31" s="51">
        <v>220.4552</v>
      </c>
      <c r="BX31" s="65">
        <v>65.27</v>
      </c>
      <c r="BY31" s="65">
        <f>BX$34/BW31*100</f>
        <v>65.26496086279661</v>
      </c>
      <c r="BZ31" s="51"/>
      <c r="CA31" s="51">
        <v>221.5026</v>
      </c>
      <c r="CB31" s="65">
        <v>64.93</v>
      </c>
      <c r="CC31" s="65">
        <f>CB$34/CA31*100</f>
        <v>64.92926042403113</v>
      </c>
      <c r="CD31" s="51"/>
      <c r="CE31" s="51">
        <v>220.1647</v>
      </c>
      <c r="CF31" s="65">
        <v>65.19</v>
      </c>
      <c r="CG31" s="65">
        <f>CF$34/CE31*100</f>
        <v>65.18756185710062</v>
      </c>
      <c r="CH31" s="51"/>
      <c r="CI31" s="51">
        <v>220.431</v>
      </c>
      <c r="CJ31" s="65">
        <v>65.14</v>
      </c>
      <c r="CK31" s="65">
        <f>CJ$34/CI31*100</f>
        <v>65.1451020954403</v>
      </c>
      <c r="CL31" s="51"/>
      <c r="CM31" s="51">
        <v>219.2977</v>
      </c>
      <c r="CN31" s="65">
        <v>65.18</v>
      </c>
      <c r="CO31" s="65">
        <f>CN$34/CM31*100</f>
        <v>65.1762421584905</v>
      </c>
      <c r="CP31" s="51"/>
      <c r="CQ31" s="51">
        <f t="shared" si="0"/>
        <v>222.896752173913</v>
      </c>
      <c r="CR31" s="51">
        <f t="shared" si="1"/>
        <v>64.27956521739131</v>
      </c>
      <c r="CS31" s="51">
        <f t="shared" si="2"/>
        <v>64.27895314847899</v>
      </c>
      <c r="CT31" s="51"/>
      <c r="CU31" s="56"/>
      <c r="CV31" s="56"/>
      <c r="CW31" s="56"/>
      <c r="CX31" s="56"/>
      <c r="CY31" s="86"/>
    </row>
    <row r="32" spans="1:103" ht="15.75">
      <c r="A32" s="63">
        <v>21</v>
      </c>
      <c r="B32" s="64" t="s">
        <v>58</v>
      </c>
      <c r="C32" s="95">
        <f>1/1.26141</f>
        <v>0.7927636533720203</v>
      </c>
      <c r="D32" s="96">
        <v>182.66</v>
      </c>
      <c r="E32" s="96">
        <f>D$34/C32</f>
        <v>182.652168</v>
      </c>
      <c r="F32" s="51"/>
      <c r="G32" s="95">
        <f>1/1.26141</f>
        <v>0.7927636533720203</v>
      </c>
      <c r="H32" s="65">
        <v>182.41</v>
      </c>
      <c r="I32" s="65">
        <f>H$34/G32</f>
        <v>182.41250010000002</v>
      </c>
      <c r="J32" s="51"/>
      <c r="K32" s="51">
        <f>1/1.25236</f>
        <v>0.7984924462614584</v>
      </c>
      <c r="L32" s="65">
        <v>182.58</v>
      </c>
      <c r="M32" s="65">
        <f>L$34/K32</f>
        <v>181.12882679999998</v>
      </c>
      <c r="N32" s="51"/>
      <c r="O32" s="51">
        <f>1/1.26175</f>
        <v>0.7925500297206262</v>
      </c>
      <c r="P32" s="65">
        <v>181.57</v>
      </c>
      <c r="Q32" s="65">
        <f>P$34/O32</f>
        <v>181.565825</v>
      </c>
      <c r="R32" s="51"/>
      <c r="S32" s="51">
        <f>1/1.25869</f>
        <v>0.7944767973051347</v>
      </c>
      <c r="T32" s="65">
        <v>181.38</v>
      </c>
      <c r="U32" s="65">
        <f>T$34/S32</f>
        <v>181.38981590000003</v>
      </c>
      <c r="V32" s="51"/>
      <c r="W32" s="51">
        <f>1/1.25923</f>
        <v>0.7941360990446542</v>
      </c>
      <c r="X32" s="65">
        <v>181.74</v>
      </c>
      <c r="Y32" s="65">
        <f>X$34/W32</f>
        <v>181.74466590000003</v>
      </c>
      <c r="Z32" s="51"/>
      <c r="AA32" s="51">
        <f>1/1.2646</f>
        <v>0.7907638779060573</v>
      </c>
      <c r="AB32" s="65">
        <v>182.33</v>
      </c>
      <c r="AC32" s="65">
        <f>AB$34/AA32</f>
        <v>182.330028</v>
      </c>
      <c r="AD32" s="51"/>
      <c r="AE32" s="51">
        <f>1/1.26971</f>
        <v>0.7875814162289028</v>
      </c>
      <c r="AF32" s="65">
        <v>182.22</v>
      </c>
      <c r="AG32" s="65">
        <f>AF$34/AE32</f>
        <v>182.21608209999997</v>
      </c>
      <c r="AH32" s="51"/>
      <c r="AI32" s="51">
        <f>1/1.27271</f>
        <v>0.7857249491243096</v>
      </c>
      <c r="AJ32" s="65">
        <v>181.93</v>
      </c>
      <c r="AK32" s="65">
        <f>AJ$34/AI32</f>
        <v>181.9211674</v>
      </c>
      <c r="AL32" s="51"/>
      <c r="AM32" s="51">
        <f>1/1.26939</f>
        <v>0.7877799573023263</v>
      </c>
      <c r="AN32" s="65">
        <v>181.28</v>
      </c>
      <c r="AO32" s="65">
        <f>AN$34/AM32</f>
        <v>181.2815859</v>
      </c>
      <c r="AP32" s="51"/>
      <c r="AQ32" s="51">
        <f>1/1.3038</f>
        <v>0.7669888019634913</v>
      </c>
      <c r="AR32" s="65">
        <v>185.04</v>
      </c>
      <c r="AS32" s="65">
        <f>AR$34/AQ32</f>
        <v>185.048334</v>
      </c>
      <c r="AT32" s="51"/>
      <c r="AU32" s="51">
        <f>1/1.28535</f>
        <v>0.7779982106041157</v>
      </c>
      <c r="AV32" s="65">
        <v>181.93</v>
      </c>
      <c r="AW32" s="65">
        <f>AV$34/AU32</f>
        <v>181.92843899999997</v>
      </c>
      <c r="AX32" s="51"/>
      <c r="AY32" s="51">
        <f>1/1.28329</f>
        <v>0.7792470914602311</v>
      </c>
      <c r="AZ32" s="65">
        <v>181.72</v>
      </c>
      <c r="BA32" s="65">
        <f>AZ$34/AY32</f>
        <v>181.713864</v>
      </c>
      <c r="BB32" s="51"/>
      <c r="BC32" s="51">
        <f>1/1.283</f>
        <v>0.779423226812159</v>
      </c>
      <c r="BD32" s="65">
        <v>181.85</v>
      </c>
      <c r="BE32" s="65">
        <f>BD$34/BC32</f>
        <v>181.85242</v>
      </c>
      <c r="BF32" s="51"/>
      <c r="BG32" s="51">
        <f>1/1.28368</f>
        <v>0.7790103452573851</v>
      </c>
      <c r="BH32" s="65">
        <v>181.73</v>
      </c>
      <c r="BI32" s="65">
        <f>BH$34/BG32</f>
        <v>181.73057759999998</v>
      </c>
      <c r="BJ32" s="51"/>
      <c r="BK32" s="51">
        <f>1/1.28865</f>
        <v>0.7760058976448221</v>
      </c>
      <c r="BL32" s="65">
        <v>182.87</v>
      </c>
      <c r="BM32" s="65">
        <f>BL$34/BK32</f>
        <v>182.8723215</v>
      </c>
      <c r="BN32" s="51"/>
      <c r="BO32" s="51">
        <f>1/1.28139</f>
        <v>0.7804025316258125</v>
      </c>
      <c r="BP32" s="65">
        <v>183.92</v>
      </c>
      <c r="BQ32" s="65">
        <f>BP$34/BO32</f>
        <v>183.91790670000003</v>
      </c>
      <c r="BR32" s="51"/>
      <c r="BS32" s="51">
        <f>1/1.28154</f>
        <v>0.7803111881018151</v>
      </c>
      <c r="BT32" s="65">
        <v>183.74</v>
      </c>
      <c r="BU32" s="65">
        <f>BT$34/BS32</f>
        <v>183.73438979999997</v>
      </c>
      <c r="BV32" s="51"/>
      <c r="BW32" s="51">
        <f>1/1.28154</f>
        <v>0.7803111881018151</v>
      </c>
      <c r="BX32" s="65">
        <v>184.39</v>
      </c>
      <c r="BY32" s="65">
        <f>BX$34/BW32</f>
        <v>184.38797519999997</v>
      </c>
      <c r="BZ32" s="51"/>
      <c r="CA32" s="51">
        <f>1/1.2781</f>
        <v>0.7824113919098662</v>
      </c>
      <c r="CB32" s="65">
        <v>183.81</v>
      </c>
      <c r="CC32" s="65">
        <f>CB$34/CA32</f>
        <v>183.816342</v>
      </c>
      <c r="CD32" s="51"/>
      <c r="CE32" s="51">
        <f>1/1.2781</f>
        <v>0.7824113919098662</v>
      </c>
      <c r="CF32" s="65">
        <v>183.43</v>
      </c>
      <c r="CG32" s="65">
        <f>CF$34/CE32</f>
        <v>183.43291200000002</v>
      </c>
      <c r="CH32" s="51"/>
      <c r="CI32" s="51">
        <f>1/1.28257</f>
        <v>0.7796845396352636</v>
      </c>
      <c r="CJ32" s="65">
        <v>184.18</v>
      </c>
      <c r="CK32" s="65">
        <f>CJ$34/CI32</f>
        <v>184.17705199999997</v>
      </c>
      <c r="CL32" s="51"/>
      <c r="CM32" s="51">
        <f>1/1.28257</f>
        <v>0.7796845396352636</v>
      </c>
      <c r="CN32" s="65">
        <v>183.32</v>
      </c>
      <c r="CO32" s="65">
        <f>CN$34/CM32</f>
        <v>183.3177301</v>
      </c>
      <c r="CP32" s="51"/>
      <c r="CQ32" s="51">
        <f t="shared" si="0"/>
        <v>0.7843879662738876</v>
      </c>
      <c r="CR32" s="51">
        <f t="shared" si="1"/>
        <v>182.69695652173908</v>
      </c>
      <c r="CS32" s="51">
        <f t="shared" si="2"/>
        <v>182.63360560869566</v>
      </c>
      <c r="CT32" s="51"/>
      <c r="CU32" s="56"/>
      <c r="CV32" s="56"/>
      <c r="CW32" s="56"/>
      <c r="CX32" s="56"/>
      <c r="CY32" s="86"/>
    </row>
    <row r="33" spans="1:103" ht="15.75">
      <c r="A33" s="63">
        <v>22</v>
      </c>
      <c r="B33" s="64" t="s">
        <v>59</v>
      </c>
      <c r="C33" s="95">
        <v>387.0839</v>
      </c>
      <c r="D33" s="96">
        <v>37.41</v>
      </c>
      <c r="E33" s="96">
        <f>D$34/C33*100</f>
        <v>37.407910791433075</v>
      </c>
      <c r="F33" s="51">
        <v>37.26</v>
      </c>
      <c r="G33" s="51">
        <v>386.9521</v>
      </c>
      <c r="H33" s="65">
        <v>37.37</v>
      </c>
      <c r="I33" s="65">
        <f>H$34/G33*100</f>
        <v>37.37155063895506</v>
      </c>
      <c r="J33" s="51">
        <v>37.28</v>
      </c>
      <c r="K33" s="51">
        <v>387.1279</v>
      </c>
      <c r="L33" s="65">
        <v>37.36</v>
      </c>
      <c r="M33" s="65">
        <f>L$34/K33*100</f>
        <v>37.35974596509319</v>
      </c>
      <c r="N33" s="51">
        <v>37.25</v>
      </c>
      <c r="O33" s="51">
        <v>387.392</v>
      </c>
      <c r="P33" s="65">
        <v>37.15</v>
      </c>
      <c r="Q33" s="65">
        <f>P$34/O33*100</f>
        <v>37.145836775152816</v>
      </c>
      <c r="R33" s="51">
        <v>37.1</v>
      </c>
      <c r="S33" s="51">
        <v>388.5405</v>
      </c>
      <c r="T33" s="65">
        <v>37.09</v>
      </c>
      <c r="U33" s="65">
        <f>T$34/S33*100</f>
        <v>37.09008456003943</v>
      </c>
      <c r="V33" s="51">
        <v>36.9</v>
      </c>
      <c r="W33" s="51">
        <v>389.2506</v>
      </c>
      <c r="X33" s="65">
        <v>37.08</v>
      </c>
      <c r="Y33" s="65">
        <f>X$34/W33*100</f>
        <v>37.07894091878086</v>
      </c>
      <c r="Z33" s="51">
        <v>36.95</v>
      </c>
      <c r="AA33" s="51">
        <v>384.8108</v>
      </c>
      <c r="AB33" s="65">
        <v>37.47</v>
      </c>
      <c r="AC33" s="65">
        <f>AB$34/AA33*100</f>
        <v>37.467763378782514</v>
      </c>
      <c r="AD33" s="51">
        <v>37.4</v>
      </c>
      <c r="AE33" s="51">
        <v>381.5789</v>
      </c>
      <c r="AF33" s="65">
        <v>37.61</v>
      </c>
      <c r="AG33" s="65">
        <f>AF$34/AE33*100</f>
        <v>37.60952191014755</v>
      </c>
      <c r="AH33" s="51">
        <v>37.4</v>
      </c>
      <c r="AI33" s="51">
        <v>379.2432</v>
      </c>
      <c r="AJ33" s="65">
        <v>37.69</v>
      </c>
      <c r="AK33" s="65">
        <f>AJ$34/AI33*100</f>
        <v>37.69085378458994</v>
      </c>
      <c r="AL33" s="51">
        <v>37.1</v>
      </c>
      <c r="AM33" s="51">
        <v>380.5987</v>
      </c>
      <c r="AN33" s="65">
        <v>37.52</v>
      </c>
      <c r="AO33" s="65">
        <f>AN$34/AM33*100</f>
        <v>37.522461322122226</v>
      </c>
      <c r="AP33" s="51">
        <v>37.13</v>
      </c>
      <c r="AQ33" s="51">
        <v>376.8525</v>
      </c>
      <c r="AR33" s="65">
        <v>37.66</v>
      </c>
      <c r="AS33" s="65">
        <f>AR$34/AQ33*100</f>
        <v>37.661949967162215</v>
      </c>
      <c r="AT33" s="51">
        <v>37.32</v>
      </c>
      <c r="AU33" s="56">
        <v>373.9164</v>
      </c>
      <c r="AV33" s="65">
        <v>37.85</v>
      </c>
      <c r="AW33" s="65">
        <f>AV$34/AU33*100</f>
        <v>37.853381130113576</v>
      </c>
      <c r="AX33" s="51">
        <v>37.56</v>
      </c>
      <c r="AY33" s="51">
        <v>373.8343</v>
      </c>
      <c r="AZ33" s="65">
        <v>37.88</v>
      </c>
      <c r="BA33" s="65">
        <f>AZ$34/AY33*100</f>
        <v>37.87774423053209</v>
      </c>
      <c r="BB33" s="51">
        <v>37.42</v>
      </c>
      <c r="BC33" s="51">
        <v>373.3019</v>
      </c>
      <c r="BD33" s="65">
        <v>37.97</v>
      </c>
      <c r="BE33" s="65">
        <f>BD$34/BC33*100</f>
        <v>37.96926830535821</v>
      </c>
      <c r="BF33" s="51">
        <v>37.5</v>
      </c>
      <c r="BG33" s="51">
        <v>373.0567</v>
      </c>
      <c r="BH33" s="65">
        <v>37.95</v>
      </c>
      <c r="BI33" s="65">
        <f>BH$34/BG33*100</f>
        <v>37.948654989978735</v>
      </c>
      <c r="BJ33" s="51">
        <v>37.57</v>
      </c>
      <c r="BK33" s="51">
        <v>370.8642</v>
      </c>
      <c r="BL33" s="65">
        <v>38.26</v>
      </c>
      <c r="BM33" s="65">
        <f>BL$34/BK33*100</f>
        <v>38.264680171340345</v>
      </c>
      <c r="BN33" s="51">
        <v>37.93</v>
      </c>
      <c r="BO33" s="51">
        <v>373.3428</v>
      </c>
      <c r="BP33" s="65">
        <v>38.44</v>
      </c>
      <c r="BQ33" s="65">
        <f>BP$34/BO33*100</f>
        <v>38.44456087006365</v>
      </c>
      <c r="BR33" s="51">
        <v>38.1</v>
      </c>
      <c r="BS33" s="51">
        <v>372.975</v>
      </c>
      <c r="BT33" s="65">
        <v>38.44</v>
      </c>
      <c r="BU33" s="65">
        <f>BT$34/BS33*100</f>
        <v>38.43957369796903</v>
      </c>
      <c r="BV33" s="51">
        <v>38.17</v>
      </c>
      <c r="BW33" s="51">
        <v>374.6976</v>
      </c>
      <c r="BX33" s="65">
        <v>38.4</v>
      </c>
      <c r="BY33" s="65">
        <f>BX$34/BW33*100</f>
        <v>38.398964925315774</v>
      </c>
      <c r="BZ33" s="51">
        <v>38.01</v>
      </c>
      <c r="CA33" s="51">
        <v>376.4777</v>
      </c>
      <c r="CB33" s="65">
        <v>38.2</v>
      </c>
      <c r="CC33" s="65">
        <f>CB$34/CA33*100</f>
        <v>38.20146585043416</v>
      </c>
      <c r="CD33" s="51">
        <v>37.99</v>
      </c>
      <c r="CE33" s="51">
        <v>374.2038</v>
      </c>
      <c r="CF33" s="65">
        <v>38.35</v>
      </c>
      <c r="CG33" s="65">
        <f>CF$34/CE33*100</f>
        <v>38.35343200683692</v>
      </c>
      <c r="CH33" s="51">
        <v>38.12</v>
      </c>
      <c r="CI33" s="51">
        <v>374.6564</v>
      </c>
      <c r="CJ33" s="65">
        <v>38.33</v>
      </c>
      <c r="CK33" s="65">
        <f>CJ$34/CI33*100</f>
        <v>38.32845241666764</v>
      </c>
      <c r="CL33" s="51">
        <v>38.07</v>
      </c>
      <c r="CM33" s="51">
        <v>372.7303</v>
      </c>
      <c r="CN33" s="65">
        <v>38.35</v>
      </c>
      <c r="CO33" s="65">
        <f>CN$34/CM33*100</f>
        <v>38.346761720203595</v>
      </c>
      <c r="CP33" s="51">
        <v>38.19</v>
      </c>
      <c r="CQ33" s="51">
        <f t="shared" si="0"/>
        <v>378.8473130434783</v>
      </c>
      <c r="CR33" s="51">
        <f t="shared" si="1"/>
        <v>37.81869565217392</v>
      </c>
      <c r="CS33" s="51">
        <f t="shared" si="2"/>
        <v>37.818850449003165</v>
      </c>
      <c r="CT33" s="51">
        <f t="shared" si="2"/>
        <v>37.55304347826087</v>
      </c>
      <c r="CU33" s="56"/>
      <c r="CV33" s="56"/>
      <c r="CW33" s="56"/>
      <c r="CX33" s="56"/>
      <c r="CY33" s="86"/>
    </row>
    <row r="34" spans="1:103" ht="16.5" thickBot="1">
      <c r="A34" s="72">
        <v>23</v>
      </c>
      <c r="B34" s="73" t="s">
        <v>60</v>
      </c>
      <c r="C34" s="97">
        <v>1</v>
      </c>
      <c r="D34" s="98">
        <v>144.8</v>
      </c>
      <c r="E34" s="99">
        <f>D$34/C34</f>
        <v>144.8</v>
      </c>
      <c r="F34" s="74">
        <v>144.74</v>
      </c>
      <c r="G34" s="74">
        <v>1</v>
      </c>
      <c r="H34" s="75">
        <v>144.61</v>
      </c>
      <c r="I34" s="76">
        <f>H$34/G34</f>
        <v>144.61</v>
      </c>
      <c r="J34" s="74">
        <v>144.54</v>
      </c>
      <c r="K34" s="74">
        <v>1</v>
      </c>
      <c r="L34" s="75">
        <v>144.63</v>
      </c>
      <c r="M34" s="76">
        <f>L$34/K34</f>
        <v>144.63</v>
      </c>
      <c r="N34" s="74">
        <v>144.6</v>
      </c>
      <c r="O34" s="74">
        <v>1</v>
      </c>
      <c r="P34" s="75">
        <v>143.9</v>
      </c>
      <c r="Q34" s="76">
        <f>P$34/O34</f>
        <v>143.9</v>
      </c>
      <c r="R34" s="74">
        <v>144.36</v>
      </c>
      <c r="S34" s="74">
        <v>1</v>
      </c>
      <c r="T34" s="75">
        <v>144.11</v>
      </c>
      <c r="U34" s="76">
        <f>T$34/S34</f>
        <v>144.11</v>
      </c>
      <c r="V34" s="74">
        <v>144.38</v>
      </c>
      <c r="W34" s="74">
        <v>1</v>
      </c>
      <c r="X34" s="75">
        <v>144.33</v>
      </c>
      <c r="Y34" s="76">
        <f>X$34/W34</f>
        <v>144.33</v>
      </c>
      <c r="Z34" s="74">
        <v>144.74</v>
      </c>
      <c r="AA34" s="74">
        <v>1</v>
      </c>
      <c r="AB34" s="75">
        <v>144.18</v>
      </c>
      <c r="AC34" s="76">
        <f>AB$34/AA34</f>
        <v>144.18</v>
      </c>
      <c r="AD34" s="74">
        <v>143.74</v>
      </c>
      <c r="AE34" s="74">
        <v>1</v>
      </c>
      <c r="AF34" s="75">
        <v>143.51</v>
      </c>
      <c r="AG34" s="76">
        <f>AF$34/AE34</f>
        <v>143.51</v>
      </c>
      <c r="AH34" s="74">
        <v>143.76</v>
      </c>
      <c r="AI34" s="74">
        <v>1</v>
      </c>
      <c r="AJ34" s="75">
        <v>142.94</v>
      </c>
      <c r="AK34" s="76">
        <f>AJ$34/AI34</f>
        <v>142.94</v>
      </c>
      <c r="AL34" s="74">
        <v>142.88</v>
      </c>
      <c r="AM34" s="74">
        <v>1</v>
      </c>
      <c r="AN34" s="75">
        <v>142.81</v>
      </c>
      <c r="AO34" s="76">
        <f>AN$34/AM34</f>
        <v>142.81</v>
      </c>
      <c r="AP34" s="74">
        <v>142.44</v>
      </c>
      <c r="AQ34" s="74">
        <v>1</v>
      </c>
      <c r="AR34" s="75">
        <v>141.93</v>
      </c>
      <c r="AS34" s="76">
        <f>AR$34/AQ34</f>
        <v>141.93</v>
      </c>
      <c r="AT34" s="74">
        <v>141.86</v>
      </c>
      <c r="AU34" s="74">
        <v>1</v>
      </c>
      <c r="AV34" s="75">
        <v>141.54</v>
      </c>
      <c r="AW34" s="76">
        <f>AV$34/AU34</f>
        <v>141.54</v>
      </c>
      <c r="AX34" s="74">
        <v>142.4</v>
      </c>
      <c r="AY34" s="74">
        <v>1</v>
      </c>
      <c r="AZ34" s="75">
        <v>141.6</v>
      </c>
      <c r="BA34" s="76">
        <f>AZ$34/AY34</f>
        <v>141.6</v>
      </c>
      <c r="BB34" s="74">
        <v>142.32</v>
      </c>
      <c r="BC34" s="74">
        <v>1</v>
      </c>
      <c r="BD34" s="75">
        <v>141.74</v>
      </c>
      <c r="BE34" s="76">
        <f>BD$34/BC34</f>
        <v>141.74</v>
      </c>
      <c r="BF34" s="74">
        <v>141.92</v>
      </c>
      <c r="BG34" s="74">
        <v>1</v>
      </c>
      <c r="BH34" s="75">
        <v>141.57</v>
      </c>
      <c r="BI34" s="76">
        <f>BH$34/BG34</f>
        <v>141.57</v>
      </c>
      <c r="BJ34" s="74">
        <v>142.28</v>
      </c>
      <c r="BK34" s="74">
        <v>1</v>
      </c>
      <c r="BL34" s="75">
        <v>141.91</v>
      </c>
      <c r="BM34" s="76">
        <f>BL$34/BK34</f>
        <v>141.91</v>
      </c>
      <c r="BN34" s="74">
        <v>142.62</v>
      </c>
      <c r="BO34" s="74">
        <v>1</v>
      </c>
      <c r="BP34" s="75">
        <v>143.53</v>
      </c>
      <c r="BQ34" s="76">
        <f>BP$34/BO34</f>
        <v>143.53</v>
      </c>
      <c r="BR34" s="74">
        <v>143.8</v>
      </c>
      <c r="BS34" s="74">
        <v>1</v>
      </c>
      <c r="BT34" s="75">
        <v>143.37</v>
      </c>
      <c r="BU34" s="76">
        <f>BT$34/BS34</f>
        <v>143.37</v>
      </c>
      <c r="BV34" s="74">
        <v>143.67</v>
      </c>
      <c r="BW34" s="74">
        <v>1</v>
      </c>
      <c r="BX34" s="75">
        <v>143.88</v>
      </c>
      <c r="BY34" s="76">
        <f>BX$34/BW34</f>
        <v>143.88</v>
      </c>
      <c r="BZ34" s="74">
        <v>143.58</v>
      </c>
      <c r="CA34" s="74">
        <v>1</v>
      </c>
      <c r="CB34" s="75">
        <v>143.82</v>
      </c>
      <c r="CC34" s="76">
        <f>CB$34/CA34</f>
        <v>143.82</v>
      </c>
      <c r="CD34" s="74">
        <v>144.05</v>
      </c>
      <c r="CE34" s="74">
        <v>1</v>
      </c>
      <c r="CF34" s="75">
        <v>143.52</v>
      </c>
      <c r="CG34" s="76">
        <f>CF$34/CE34</f>
        <v>143.52</v>
      </c>
      <c r="CH34" s="74">
        <v>143.62</v>
      </c>
      <c r="CI34" s="74">
        <v>1</v>
      </c>
      <c r="CJ34" s="75">
        <v>143.6</v>
      </c>
      <c r="CK34" s="76">
        <f>CJ$34/CI34</f>
        <v>143.6</v>
      </c>
      <c r="CL34" s="74">
        <v>143.72</v>
      </c>
      <c r="CM34" s="74">
        <v>1</v>
      </c>
      <c r="CN34" s="75">
        <v>142.93</v>
      </c>
      <c r="CO34" s="76">
        <f>CN$34/CM34</f>
        <v>142.93</v>
      </c>
      <c r="CP34" s="74">
        <v>143</v>
      </c>
      <c r="CQ34" s="77">
        <f t="shared" si="0"/>
        <v>1</v>
      </c>
      <c r="CR34" s="77">
        <f t="shared" si="1"/>
        <v>143.2504347826087</v>
      </c>
      <c r="CS34" s="77">
        <f t="shared" si="2"/>
        <v>143.2504347826087</v>
      </c>
      <c r="CT34" s="77">
        <f t="shared" si="2"/>
        <v>143.43565217391307</v>
      </c>
      <c r="CU34" s="56"/>
      <c r="CV34" s="56"/>
      <c r="CW34" s="56"/>
      <c r="CX34" s="56"/>
      <c r="CY34" s="86"/>
    </row>
    <row r="35" spans="1:103" ht="15.75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5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CA35" s="81"/>
      <c r="CB35" s="81"/>
      <c r="CC35" s="81"/>
      <c r="CE35" s="81"/>
      <c r="CF35" s="81"/>
      <c r="CG35" s="81"/>
      <c r="CI35" s="81"/>
      <c r="CJ35" s="81"/>
      <c r="CK35" s="81"/>
      <c r="CM35" s="81"/>
      <c r="CN35" s="81"/>
      <c r="CO35" s="81"/>
      <c r="CQ35" s="81"/>
      <c r="CR35" s="81"/>
      <c r="CS35" s="81"/>
      <c r="CU35" s="89"/>
      <c r="CV35" s="89"/>
      <c r="CW35" s="89"/>
      <c r="CX35" s="86"/>
      <c r="CY35" s="86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1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35"/>
  <sheetViews>
    <sheetView zoomScale="75" zoomScaleNormal="75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2" sqref="A12"/>
    </sheetView>
  </sheetViews>
  <sheetFormatPr defaultColWidth="9.140625" defaultRowHeight="12.75"/>
  <cols>
    <col min="1" max="1" width="4.421875" style="0" customWidth="1"/>
    <col min="2" max="2" width="35.140625" style="0" customWidth="1"/>
    <col min="3" max="3" width="10.28125" style="0" customWidth="1"/>
    <col min="4" max="4" width="9.8515625" style="0" customWidth="1"/>
    <col min="5" max="5" width="10.421875" style="0" customWidth="1"/>
    <col min="7" max="8" width="10.28125" style="0" customWidth="1"/>
    <col min="9" max="9" width="10.421875" style="0" customWidth="1"/>
    <col min="11" max="11" width="10.28125" style="0" customWidth="1"/>
    <col min="12" max="12" width="11.421875" style="0" customWidth="1"/>
    <col min="15" max="15" width="10.28125" style="0" customWidth="1"/>
    <col min="16" max="16" width="11.421875" style="0" customWidth="1"/>
    <col min="19" max="19" width="10.28125" style="0" customWidth="1"/>
    <col min="20" max="21" width="11.421875" style="0" customWidth="1"/>
    <col min="23" max="24" width="10.28125" style="0" customWidth="1"/>
    <col min="25" max="25" width="10.140625" style="0" customWidth="1"/>
    <col min="27" max="27" width="10.28125" style="0" customWidth="1"/>
    <col min="28" max="28" width="10.421875" style="0" customWidth="1"/>
    <col min="29" max="29" width="10.140625" style="0" customWidth="1"/>
    <col min="31" max="31" width="10.28125" style="0" customWidth="1"/>
    <col min="32" max="32" width="11.421875" style="0" customWidth="1"/>
    <col min="35" max="35" width="10.28125" style="0" customWidth="1"/>
    <col min="36" max="36" width="11.421875" style="0" customWidth="1"/>
    <col min="39" max="39" width="11.28125" style="0" customWidth="1"/>
    <col min="40" max="40" width="12.421875" style="0" customWidth="1"/>
    <col min="41" max="41" width="10.421875" style="0" customWidth="1"/>
    <col min="43" max="43" width="10.28125" style="0" customWidth="1"/>
    <col min="44" max="44" width="11.421875" style="0" customWidth="1"/>
    <col min="47" max="47" width="10.28125" style="0" customWidth="1"/>
    <col min="48" max="48" width="11.421875" style="0" customWidth="1"/>
    <col min="51" max="51" width="10.28125" style="0" customWidth="1"/>
    <col min="52" max="52" width="11.421875" style="0" customWidth="1"/>
    <col min="55" max="55" width="10.28125" style="0" customWidth="1"/>
    <col min="56" max="56" width="11.421875" style="0" customWidth="1"/>
    <col min="59" max="59" width="10.28125" style="0" customWidth="1"/>
    <col min="60" max="60" width="11.421875" style="0" customWidth="1"/>
    <col min="61" max="61" width="11.140625" style="0" customWidth="1"/>
    <col min="63" max="63" width="10.28125" style="0" customWidth="1"/>
    <col min="64" max="64" width="11.421875" style="0" customWidth="1"/>
    <col min="65" max="65" width="10.28125" style="0" customWidth="1"/>
    <col min="67" max="67" width="10.28125" style="0" customWidth="1"/>
    <col min="68" max="68" width="11.421875" style="0" customWidth="1"/>
    <col min="69" max="69" width="10.28125" style="0" customWidth="1"/>
    <col min="71" max="71" width="10.28125" style="0" customWidth="1"/>
    <col min="72" max="72" width="11.421875" style="0" customWidth="1"/>
    <col min="73" max="73" width="10.140625" style="0" customWidth="1"/>
    <col min="75" max="75" width="10.28125" style="0" customWidth="1"/>
    <col min="76" max="76" width="11.421875" style="0" customWidth="1"/>
    <col min="77" max="77" width="10.7109375" style="0" customWidth="1"/>
    <col min="79" max="79" width="10.28125" style="0" customWidth="1"/>
    <col min="80" max="80" width="12.421875" style="0" customWidth="1"/>
    <col min="81" max="81" width="10.28125" style="0" customWidth="1"/>
    <col min="83" max="83" width="10.421875" style="0" customWidth="1"/>
    <col min="84" max="84" width="11.7109375" style="0" customWidth="1"/>
    <col min="85" max="85" width="10.8515625" style="0" customWidth="1"/>
  </cols>
  <sheetData>
    <row r="1" spans="1:90" ht="15.75">
      <c r="A1" s="50"/>
      <c r="B1" s="32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3"/>
      <c r="CF1" s="53"/>
      <c r="CG1" s="53"/>
      <c r="CH1" s="53"/>
      <c r="CI1" s="53"/>
      <c r="CJ1" s="15"/>
      <c r="CK1" s="15"/>
      <c r="CL1" s="15"/>
    </row>
    <row r="2" spans="1:90" ht="18.75">
      <c r="A2" s="51"/>
      <c r="B2" s="100" t="s">
        <v>228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6"/>
      <c r="CF2" s="56"/>
      <c r="CG2" s="56"/>
      <c r="CH2" s="56"/>
      <c r="CI2" s="56"/>
      <c r="CJ2" s="23"/>
      <c r="CK2" s="23"/>
      <c r="CL2" s="23"/>
    </row>
    <row r="3" spans="1:103" ht="15.75">
      <c r="A3" s="52" t="s">
        <v>3</v>
      </c>
      <c r="B3" s="51"/>
      <c r="C3" s="57"/>
      <c r="D3" s="50" t="s">
        <v>229</v>
      </c>
      <c r="E3" s="57"/>
      <c r="F3" s="57"/>
      <c r="G3" s="57"/>
      <c r="H3" s="50" t="s">
        <v>230</v>
      </c>
      <c r="I3" s="57"/>
      <c r="J3" s="57"/>
      <c r="K3" s="57"/>
      <c r="L3" s="50" t="s">
        <v>231</v>
      </c>
      <c r="M3" s="57"/>
      <c r="N3" s="57"/>
      <c r="O3" s="57"/>
      <c r="P3" s="50" t="s">
        <v>232</v>
      </c>
      <c r="Q3" s="57"/>
      <c r="R3" s="57"/>
      <c r="S3" s="57"/>
      <c r="T3" s="50" t="s">
        <v>233</v>
      </c>
      <c r="U3" s="57"/>
      <c r="V3" s="57"/>
      <c r="W3" s="57"/>
      <c r="X3" s="50" t="s">
        <v>234</v>
      </c>
      <c r="Y3" s="57"/>
      <c r="Z3" s="57"/>
      <c r="AA3" s="57"/>
      <c r="AB3" s="50" t="s">
        <v>235</v>
      </c>
      <c r="AC3" s="57"/>
      <c r="AD3" s="57"/>
      <c r="AE3" s="57"/>
      <c r="AF3" s="50" t="s">
        <v>236</v>
      </c>
      <c r="AG3" s="57"/>
      <c r="AH3" s="57"/>
      <c r="AI3" s="57"/>
      <c r="AJ3" s="50" t="s">
        <v>237</v>
      </c>
      <c r="AK3" s="57"/>
      <c r="AL3" s="57"/>
      <c r="AM3" s="57"/>
      <c r="AN3" s="50" t="s">
        <v>238</v>
      </c>
      <c r="AO3" s="57"/>
      <c r="AP3" s="57"/>
      <c r="AQ3" s="57"/>
      <c r="AR3" s="50" t="s">
        <v>239</v>
      </c>
      <c r="AS3" s="57"/>
      <c r="AT3" s="57"/>
      <c r="AU3" s="57"/>
      <c r="AV3" s="50" t="s">
        <v>240</v>
      </c>
      <c r="AW3" s="57"/>
      <c r="AX3" s="57"/>
      <c r="AY3" s="57"/>
      <c r="AZ3" s="50" t="s">
        <v>241</v>
      </c>
      <c r="BA3" s="57"/>
      <c r="BB3" s="57"/>
      <c r="BC3" s="57"/>
      <c r="BD3" s="50" t="s">
        <v>242</v>
      </c>
      <c r="BE3" s="57"/>
      <c r="BF3" s="57"/>
      <c r="BG3" s="57"/>
      <c r="BH3" s="50" t="s">
        <v>243</v>
      </c>
      <c r="BI3" s="57"/>
      <c r="BJ3" s="57"/>
      <c r="BK3" s="57"/>
      <c r="BL3" s="50" t="s">
        <v>244</v>
      </c>
      <c r="BM3" s="57"/>
      <c r="BN3" s="57"/>
      <c r="BO3" s="57"/>
      <c r="BP3" s="50" t="s">
        <v>245</v>
      </c>
      <c r="BQ3" s="57"/>
      <c r="BR3" s="57"/>
      <c r="BS3" s="57"/>
      <c r="BT3" s="50" t="s">
        <v>246</v>
      </c>
      <c r="BU3" s="57"/>
      <c r="BV3" s="57"/>
      <c r="BW3" s="57"/>
      <c r="BX3" s="50" t="s">
        <v>247</v>
      </c>
      <c r="BY3" s="57"/>
      <c r="BZ3" s="57"/>
      <c r="CA3" s="57"/>
      <c r="CB3" s="50" t="s">
        <v>248</v>
      </c>
      <c r="CC3" s="57"/>
      <c r="CD3" s="57"/>
      <c r="CE3" s="94"/>
      <c r="CF3" s="50" t="s">
        <v>25</v>
      </c>
      <c r="CG3" s="57"/>
      <c r="CH3" s="94"/>
      <c r="CI3" s="85"/>
      <c r="CJ3" s="18"/>
      <c r="CK3" s="19"/>
      <c r="CL3" s="20"/>
      <c r="CM3" s="20"/>
      <c r="CN3" s="18"/>
      <c r="CO3" s="19"/>
      <c r="CP3" s="20"/>
      <c r="CQ3" s="20"/>
      <c r="CR3" s="18"/>
      <c r="CS3" s="19"/>
      <c r="CT3" s="20"/>
      <c r="CU3" s="20"/>
      <c r="CV3" s="18"/>
      <c r="CW3" s="19"/>
      <c r="CX3" s="20"/>
      <c r="CY3" s="21"/>
    </row>
    <row r="4" spans="1:103" ht="16.5" thickBo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94"/>
      <c r="CF4" s="94"/>
      <c r="CG4" s="94"/>
      <c r="CH4" s="94"/>
      <c r="CI4" s="85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1"/>
    </row>
    <row r="5" spans="1:103" ht="16.5" thickTop="1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6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1"/>
    </row>
    <row r="6" spans="1:103" ht="15.75">
      <c r="A6" s="57"/>
      <c r="B6" s="51"/>
      <c r="C6" s="59" t="s">
        <v>26</v>
      </c>
      <c r="D6" s="59" t="s">
        <v>26</v>
      </c>
      <c r="E6" s="59" t="s">
        <v>26</v>
      </c>
      <c r="F6" s="59" t="s">
        <v>26</v>
      </c>
      <c r="G6" s="59" t="s">
        <v>26</v>
      </c>
      <c r="H6" s="59" t="s">
        <v>26</v>
      </c>
      <c r="I6" s="59" t="s">
        <v>26</v>
      </c>
      <c r="J6" s="59" t="s">
        <v>26</v>
      </c>
      <c r="K6" s="59" t="s">
        <v>26</v>
      </c>
      <c r="L6" s="59" t="s">
        <v>26</v>
      </c>
      <c r="M6" s="59" t="s">
        <v>26</v>
      </c>
      <c r="N6" s="59" t="s">
        <v>26</v>
      </c>
      <c r="O6" s="59" t="s">
        <v>26</v>
      </c>
      <c r="P6" s="59" t="s">
        <v>26</v>
      </c>
      <c r="Q6" s="59" t="s">
        <v>26</v>
      </c>
      <c r="R6" s="59" t="s">
        <v>26</v>
      </c>
      <c r="S6" s="59" t="s">
        <v>26</v>
      </c>
      <c r="T6" s="59" t="s">
        <v>26</v>
      </c>
      <c r="U6" s="59" t="s">
        <v>26</v>
      </c>
      <c r="V6" s="59" t="s">
        <v>26</v>
      </c>
      <c r="W6" s="59" t="s">
        <v>26</v>
      </c>
      <c r="X6" s="59" t="s">
        <v>26</v>
      </c>
      <c r="Y6" s="59" t="s">
        <v>26</v>
      </c>
      <c r="Z6" s="59" t="s">
        <v>26</v>
      </c>
      <c r="AA6" s="59" t="s">
        <v>26</v>
      </c>
      <c r="AB6" s="59" t="s">
        <v>26</v>
      </c>
      <c r="AC6" s="59" t="s">
        <v>26</v>
      </c>
      <c r="AD6" s="59" t="s">
        <v>26</v>
      </c>
      <c r="AE6" s="59" t="s">
        <v>26</v>
      </c>
      <c r="AF6" s="59" t="s">
        <v>26</v>
      </c>
      <c r="AG6" s="59" t="s">
        <v>26</v>
      </c>
      <c r="AH6" s="59" t="s">
        <v>26</v>
      </c>
      <c r="AI6" s="59" t="s">
        <v>26</v>
      </c>
      <c r="AJ6" s="59" t="s">
        <v>26</v>
      </c>
      <c r="AK6" s="59" t="s">
        <v>26</v>
      </c>
      <c r="AL6" s="59" t="s">
        <v>26</v>
      </c>
      <c r="AM6" s="59" t="s">
        <v>26</v>
      </c>
      <c r="AN6" s="59" t="s">
        <v>26</v>
      </c>
      <c r="AO6" s="59" t="s">
        <v>26</v>
      </c>
      <c r="AP6" s="59" t="s">
        <v>26</v>
      </c>
      <c r="AQ6" s="59" t="s">
        <v>26</v>
      </c>
      <c r="AR6" s="59" t="s">
        <v>26</v>
      </c>
      <c r="AS6" s="59" t="s">
        <v>26</v>
      </c>
      <c r="AT6" s="59" t="s">
        <v>26</v>
      </c>
      <c r="AU6" s="59" t="s">
        <v>26</v>
      </c>
      <c r="AV6" s="59" t="s">
        <v>26</v>
      </c>
      <c r="AW6" s="59" t="s">
        <v>26</v>
      </c>
      <c r="AX6" s="59" t="s">
        <v>26</v>
      </c>
      <c r="AY6" s="59" t="s">
        <v>26</v>
      </c>
      <c r="AZ6" s="59" t="s">
        <v>26</v>
      </c>
      <c r="BA6" s="59" t="s">
        <v>26</v>
      </c>
      <c r="BB6" s="59" t="s">
        <v>26</v>
      </c>
      <c r="BC6" s="59" t="s">
        <v>26</v>
      </c>
      <c r="BD6" s="59" t="s">
        <v>26</v>
      </c>
      <c r="BE6" s="59" t="s">
        <v>26</v>
      </c>
      <c r="BF6" s="59" t="s">
        <v>26</v>
      </c>
      <c r="BG6" s="59" t="s">
        <v>26</v>
      </c>
      <c r="BH6" s="59" t="s">
        <v>26</v>
      </c>
      <c r="BI6" s="59" t="s">
        <v>26</v>
      </c>
      <c r="BJ6" s="59" t="s">
        <v>26</v>
      </c>
      <c r="BK6" s="59" t="s">
        <v>26</v>
      </c>
      <c r="BL6" s="59" t="s">
        <v>26</v>
      </c>
      <c r="BM6" s="59" t="s">
        <v>26</v>
      </c>
      <c r="BN6" s="59" t="s">
        <v>26</v>
      </c>
      <c r="BO6" s="59" t="s">
        <v>26</v>
      </c>
      <c r="BP6" s="59" t="s">
        <v>26</v>
      </c>
      <c r="BQ6" s="59" t="s">
        <v>26</v>
      </c>
      <c r="BR6" s="59" t="s">
        <v>26</v>
      </c>
      <c r="BS6" s="59" t="s">
        <v>26</v>
      </c>
      <c r="BT6" s="59" t="s">
        <v>26</v>
      </c>
      <c r="BU6" s="59" t="s">
        <v>26</v>
      </c>
      <c r="BV6" s="59" t="s">
        <v>26</v>
      </c>
      <c r="BW6" s="59" t="s">
        <v>26</v>
      </c>
      <c r="BX6" s="59" t="s">
        <v>26</v>
      </c>
      <c r="BY6" s="59" t="s">
        <v>26</v>
      </c>
      <c r="BZ6" s="59" t="s">
        <v>26</v>
      </c>
      <c r="CA6" s="59" t="s">
        <v>26</v>
      </c>
      <c r="CB6" s="59" t="s">
        <v>26</v>
      </c>
      <c r="CC6" s="59" t="s">
        <v>26</v>
      </c>
      <c r="CD6" s="59" t="s">
        <v>26</v>
      </c>
      <c r="CE6" s="59" t="s">
        <v>27</v>
      </c>
      <c r="CF6" s="59" t="s">
        <v>27</v>
      </c>
      <c r="CG6" s="59" t="s">
        <v>26</v>
      </c>
      <c r="CH6" s="59" t="s">
        <v>26</v>
      </c>
      <c r="CI6" s="87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1"/>
    </row>
    <row r="7" spans="1:103" ht="15.75">
      <c r="A7" s="51"/>
      <c r="B7" s="60" t="s">
        <v>28</v>
      </c>
      <c r="C7" s="59" t="s">
        <v>29</v>
      </c>
      <c r="D7" s="59" t="s">
        <v>29</v>
      </c>
      <c r="E7" s="59" t="s">
        <v>29</v>
      </c>
      <c r="F7" s="59" t="s">
        <v>30</v>
      </c>
      <c r="G7" s="59" t="s">
        <v>29</v>
      </c>
      <c r="H7" s="59" t="s">
        <v>29</v>
      </c>
      <c r="I7" s="59" t="s">
        <v>29</v>
      </c>
      <c r="J7" s="59" t="s">
        <v>30</v>
      </c>
      <c r="K7" s="59" t="s">
        <v>29</v>
      </c>
      <c r="L7" s="59" t="s">
        <v>29</v>
      </c>
      <c r="M7" s="59" t="s">
        <v>29</v>
      </c>
      <c r="N7" s="59" t="s">
        <v>30</v>
      </c>
      <c r="O7" s="59" t="s">
        <v>29</v>
      </c>
      <c r="P7" s="59" t="s">
        <v>29</v>
      </c>
      <c r="Q7" s="59" t="s">
        <v>29</v>
      </c>
      <c r="R7" s="59" t="s">
        <v>30</v>
      </c>
      <c r="S7" s="59" t="s">
        <v>29</v>
      </c>
      <c r="T7" s="59" t="s">
        <v>29</v>
      </c>
      <c r="U7" s="59" t="s">
        <v>29</v>
      </c>
      <c r="V7" s="59" t="s">
        <v>30</v>
      </c>
      <c r="W7" s="59" t="s">
        <v>29</v>
      </c>
      <c r="X7" s="59" t="s">
        <v>29</v>
      </c>
      <c r="Y7" s="59" t="s">
        <v>29</v>
      </c>
      <c r="Z7" s="59" t="s">
        <v>30</v>
      </c>
      <c r="AA7" s="59" t="s">
        <v>29</v>
      </c>
      <c r="AB7" s="59" t="s">
        <v>29</v>
      </c>
      <c r="AC7" s="59" t="s">
        <v>29</v>
      </c>
      <c r="AD7" s="59" t="s">
        <v>30</v>
      </c>
      <c r="AE7" s="59" t="s">
        <v>29</v>
      </c>
      <c r="AF7" s="59" t="s">
        <v>29</v>
      </c>
      <c r="AG7" s="59" t="s">
        <v>29</v>
      </c>
      <c r="AH7" s="59" t="s">
        <v>30</v>
      </c>
      <c r="AI7" s="59" t="s">
        <v>29</v>
      </c>
      <c r="AJ7" s="59" t="s">
        <v>29</v>
      </c>
      <c r="AK7" s="59" t="s">
        <v>29</v>
      </c>
      <c r="AL7" s="59" t="s">
        <v>30</v>
      </c>
      <c r="AM7" s="59" t="s">
        <v>29</v>
      </c>
      <c r="AN7" s="59" t="s">
        <v>29</v>
      </c>
      <c r="AO7" s="59" t="s">
        <v>29</v>
      </c>
      <c r="AP7" s="59" t="s">
        <v>30</v>
      </c>
      <c r="AQ7" s="59" t="s">
        <v>29</v>
      </c>
      <c r="AR7" s="59" t="s">
        <v>29</v>
      </c>
      <c r="AS7" s="59" t="s">
        <v>29</v>
      </c>
      <c r="AT7" s="59" t="s">
        <v>30</v>
      </c>
      <c r="AU7" s="59" t="s">
        <v>29</v>
      </c>
      <c r="AV7" s="59" t="s">
        <v>29</v>
      </c>
      <c r="AW7" s="59" t="s">
        <v>29</v>
      </c>
      <c r="AX7" s="59" t="s">
        <v>30</v>
      </c>
      <c r="AY7" s="59" t="s">
        <v>29</v>
      </c>
      <c r="AZ7" s="59" t="s">
        <v>29</v>
      </c>
      <c r="BA7" s="59" t="s">
        <v>29</v>
      </c>
      <c r="BB7" s="59" t="s">
        <v>30</v>
      </c>
      <c r="BC7" s="59" t="s">
        <v>29</v>
      </c>
      <c r="BD7" s="59" t="s">
        <v>29</v>
      </c>
      <c r="BE7" s="59" t="s">
        <v>29</v>
      </c>
      <c r="BF7" s="59" t="s">
        <v>30</v>
      </c>
      <c r="BG7" s="59" t="s">
        <v>29</v>
      </c>
      <c r="BH7" s="59" t="s">
        <v>29</v>
      </c>
      <c r="BI7" s="59" t="s">
        <v>29</v>
      </c>
      <c r="BJ7" s="59" t="s">
        <v>30</v>
      </c>
      <c r="BK7" s="59" t="s">
        <v>29</v>
      </c>
      <c r="BL7" s="59" t="s">
        <v>29</v>
      </c>
      <c r="BM7" s="59" t="s">
        <v>29</v>
      </c>
      <c r="BN7" s="59" t="s">
        <v>30</v>
      </c>
      <c r="BO7" s="59" t="s">
        <v>29</v>
      </c>
      <c r="BP7" s="59" t="s">
        <v>29</v>
      </c>
      <c r="BQ7" s="59" t="s">
        <v>29</v>
      </c>
      <c r="BR7" s="59" t="s">
        <v>30</v>
      </c>
      <c r="BS7" s="59" t="s">
        <v>29</v>
      </c>
      <c r="BT7" s="59" t="s">
        <v>29</v>
      </c>
      <c r="BU7" s="59" t="s">
        <v>29</v>
      </c>
      <c r="BV7" s="59" t="s">
        <v>30</v>
      </c>
      <c r="BW7" s="59" t="s">
        <v>29</v>
      </c>
      <c r="BX7" s="59" t="s">
        <v>29</v>
      </c>
      <c r="BY7" s="59" t="s">
        <v>29</v>
      </c>
      <c r="BZ7" s="59" t="s">
        <v>30</v>
      </c>
      <c r="CA7" s="59" t="s">
        <v>29</v>
      </c>
      <c r="CB7" s="59" t="s">
        <v>29</v>
      </c>
      <c r="CC7" s="59" t="s">
        <v>29</v>
      </c>
      <c r="CD7" s="59" t="s">
        <v>30</v>
      </c>
      <c r="CE7" s="59" t="s">
        <v>31</v>
      </c>
      <c r="CF7" s="59" t="s">
        <v>32</v>
      </c>
      <c r="CG7" s="59" t="s">
        <v>32</v>
      </c>
      <c r="CH7" s="59" t="s">
        <v>30</v>
      </c>
      <c r="CI7" s="87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1"/>
    </row>
    <row r="8" spans="1:103" ht="15.75">
      <c r="A8" s="51"/>
      <c r="B8" s="51"/>
      <c r="C8" s="59" t="s">
        <v>33</v>
      </c>
      <c r="D8" s="59" t="s">
        <v>32</v>
      </c>
      <c r="E8" s="59" t="s">
        <v>32</v>
      </c>
      <c r="F8" s="59" t="s">
        <v>34</v>
      </c>
      <c r="G8" s="59" t="s">
        <v>33</v>
      </c>
      <c r="H8" s="59" t="s">
        <v>32</v>
      </c>
      <c r="I8" s="59" t="s">
        <v>32</v>
      </c>
      <c r="J8" s="59" t="s">
        <v>34</v>
      </c>
      <c r="K8" s="59" t="s">
        <v>33</v>
      </c>
      <c r="L8" s="59" t="s">
        <v>32</v>
      </c>
      <c r="M8" s="59" t="s">
        <v>32</v>
      </c>
      <c r="N8" s="59" t="s">
        <v>34</v>
      </c>
      <c r="O8" s="59" t="s">
        <v>33</v>
      </c>
      <c r="P8" s="59" t="s">
        <v>32</v>
      </c>
      <c r="Q8" s="59" t="s">
        <v>32</v>
      </c>
      <c r="R8" s="59" t="s">
        <v>34</v>
      </c>
      <c r="S8" s="59" t="s">
        <v>33</v>
      </c>
      <c r="T8" s="59" t="s">
        <v>32</v>
      </c>
      <c r="U8" s="59" t="s">
        <v>32</v>
      </c>
      <c r="V8" s="59" t="s">
        <v>34</v>
      </c>
      <c r="W8" s="59" t="s">
        <v>33</v>
      </c>
      <c r="X8" s="59" t="s">
        <v>32</v>
      </c>
      <c r="Y8" s="59" t="s">
        <v>32</v>
      </c>
      <c r="Z8" s="59" t="s">
        <v>34</v>
      </c>
      <c r="AA8" s="59" t="s">
        <v>33</v>
      </c>
      <c r="AB8" s="59" t="s">
        <v>32</v>
      </c>
      <c r="AC8" s="59" t="s">
        <v>32</v>
      </c>
      <c r="AD8" s="59" t="s">
        <v>34</v>
      </c>
      <c r="AE8" s="59" t="s">
        <v>33</v>
      </c>
      <c r="AF8" s="59" t="s">
        <v>32</v>
      </c>
      <c r="AG8" s="59" t="s">
        <v>32</v>
      </c>
      <c r="AH8" s="59" t="s">
        <v>34</v>
      </c>
      <c r="AI8" s="59" t="s">
        <v>33</v>
      </c>
      <c r="AJ8" s="59" t="s">
        <v>32</v>
      </c>
      <c r="AK8" s="59" t="s">
        <v>32</v>
      </c>
      <c r="AL8" s="59" t="s">
        <v>34</v>
      </c>
      <c r="AM8" s="59" t="s">
        <v>33</v>
      </c>
      <c r="AN8" s="59" t="s">
        <v>32</v>
      </c>
      <c r="AO8" s="59" t="s">
        <v>32</v>
      </c>
      <c r="AP8" s="59" t="s">
        <v>34</v>
      </c>
      <c r="AQ8" s="59" t="s">
        <v>33</v>
      </c>
      <c r="AR8" s="59" t="s">
        <v>32</v>
      </c>
      <c r="AS8" s="59" t="s">
        <v>32</v>
      </c>
      <c r="AT8" s="59" t="s">
        <v>34</v>
      </c>
      <c r="AU8" s="59" t="s">
        <v>33</v>
      </c>
      <c r="AV8" s="59" t="s">
        <v>32</v>
      </c>
      <c r="AW8" s="59" t="s">
        <v>32</v>
      </c>
      <c r="AX8" s="59" t="s">
        <v>34</v>
      </c>
      <c r="AY8" s="59" t="s">
        <v>33</v>
      </c>
      <c r="AZ8" s="59" t="s">
        <v>32</v>
      </c>
      <c r="BA8" s="59" t="s">
        <v>32</v>
      </c>
      <c r="BB8" s="59" t="s">
        <v>34</v>
      </c>
      <c r="BC8" s="59" t="s">
        <v>33</v>
      </c>
      <c r="BD8" s="59" t="s">
        <v>32</v>
      </c>
      <c r="BE8" s="59" t="s">
        <v>32</v>
      </c>
      <c r="BF8" s="59" t="s">
        <v>34</v>
      </c>
      <c r="BG8" s="59" t="s">
        <v>33</v>
      </c>
      <c r="BH8" s="59" t="s">
        <v>32</v>
      </c>
      <c r="BI8" s="59" t="s">
        <v>32</v>
      </c>
      <c r="BJ8" s="59" t="s">
        <v>34</v>
      </c>
      <c r="BK8" s="59" t="s">
        <v>33</v>
      </c>
      <c r="BL8" s="59" t="s">
        <v>32</v>
      </c>
      <c r="BM8" s="59" t="s">
        <v>32</v>
      </c>
      <c r="BN8" s="59" t="s">
        <v>34</v>
      </c>
      <c r="BO8" s="59" t="s">
        <v>33</v>
      </c>
      <c r="BP8" s="59" t="s">
        <v>32</v>
      </c>
      <c r="BQ8" s="59" t="s">
        <v>32</v>
      </c>
      <c r="BR8" s="59" t="s">
        <v>34</v>
      </c>
      <c r="BS8" s="59" t="s">
        <v>33</v>
      </c>
      <c r="BT8" s="59" t="s">
        <v>32</v>
      </c>
      <c r="BU8" s="59" t="s">
        <v>32</v>
      </c>
      <c r="BV8" s="59" t="s">
        <v>34</v>
      </c>
      <c r="BW8" s="59" t="s">
        <v>33</v>
      </c>
      <c r="BX8" s="59" t="s">
        <v>32</v>
      </c>
      <c r="BY8" s="59" t="s">
        <v>32</v>
      </c>
      <c r="BZ8" s="59" t="s">
        <v>34</v>
      </c>
      <c r="CA8" s="59" t="s">
        <v>33</v>
      </c>
      <c r="CB8" s="59" t="s">
        <v>32</v>
      </c>
      <c r="CC8" s="59" t="s">
        <v>32</v>
      </c>
      <c r="CD8" s="59" t="s">
        <v>34</v>
      </c>
      <c r="CE8" s="59" t="s">
        <v>29</v>
      </c>
      <c r="CF8" s="59" t="s">
        <v>35</v>
      </c>
      <c r="CG8" s="59" t="s">
        <v>35</v>
      </c>
      <c r="CH8" s="59" t="s">
        <v>34</v>
      </c>
      <c r="CI8" s="87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1"/>
    </row>
    <row r="9" spans="1:103" ht="15.75">
      <c r="A9" s="51"/>
      <c r="B9" s="51"/>
      <c r="C9" s="51"/>
      <c r="D9" s="51"/>
      <c r="E9" s="59" t="s">
        <v>36</v>
      </c>
      <c r="F9" s="51"/>
      <c r="G9" s="51"/>
      <c r="H9" s="51"/>
      <c r="I9" s="59" t="s">
        <v>36</v>
      </c>
      <c r="J9" s="51"/>
      <c r="K9" s="51"/>
      <c r="L9" s="51"/>
      <c r="M9" s="59" t="s">
        <v>36</v>
      </c>
      <c r="N9" s="51"/>
      <c r="O9" s="51"/>
      <c r="P9" s="51"/>
      <c r="Q9" s="59" t="s">
        <v>36</v>
      </c>
      <c r="R9" s="51"/>
      <c r="S9" s="51"/>
      <c r="T9" s="51"/>
      <c r="U9" s="59" t="s">
        <v>36</v>
      </c>
      <c r="V9" s="51"/>
      <c r="W9" s="51"/>
      <c r="X9" s="51"/>
      <c r="Y9" s="59" t="s">
        <v>36</v>
      </c>
      <c r="Z9" s="51"/>
      <c r="AA9" s="51"/>
      <c r="AB9" s="51"/>
      <c r="AC9" s="59" t="s">
        <v>36</v>
      </c>
      <c r="AD9" s="51"/>
      <c r="AE9" s="51"/>
      <c r="AF9" s="51"/>
      <c r="AG9" s="59" t="s">
        <v>36</v>
      </c>
      <c r="AH9" s="51"/>
      <c r="AI9" s="51"/>
      <c r="AJ9" s="51"/>
      <c r="AK9" s="59" t="s">
        <v>36</v>
      </c>
      <c r="AL9" s="51"/>
      <c r="AM9" s="51"/>
      <c r="AN9" s="51"/>
      <c r="AO9" s="59" t="s">
        <v>36</v>
      </c>
      <c r="AP9" s="51"/>
      <c r="AQ9" s="51"/>
      <c r="AR9" s="51"/>
      <c r="AS9" s="59" t="s">
        <v>36</v>
      </c>
      <c r="AT9" s="51"/>
      <c r="AU9" s="51"/>
      <c r="AV9" s="51"/>
      <c r="AW9" s="59" t="s">
        <v>36</v>
      </c>
      <c r="AX9" s="51"/>
      <c r="AY9" s="51"/>
      <c r="AZ9" s="51"/>
      <c r="BA9" s="59" t="s">
        <v>36</v>
      </c>
      <c r="BB9" s="51"/>
      <c r="BC9" s="51"/>
      <c r="BD9" s="51"/>
      <c r="BE9" s="59" t="s">
        <v>36</v>
      </c>
      <c r="BF9" s="51"/>
      <c r="BG9" s="51"/>
      <c r="BH9" s="51"/>
      <c r="BI9" s="59" t="s">
        <v>36</v>
      </c>
      <c r="BJ9" s="51"/>
      <c r="BK9" s="51"/>
      <c r="BL9" s="51"/>
      <c r="BM9" s="59" t="s">
        <v>36</v>
      </c>
      <c r="BN9" s="51"/>
      <c r="BO9" s="51"/>
      <c r="BP9" s="51"/>
      <c r="BQ9" s="59" t="s">
        <v>36</v>
      </c>
      <c r="BR9" s="51"/>
      <c r="BS9" s="51"/>
      <c r="BT9" s="51"/>
      <c r="BU9" s="59" t="s">
        <v>36</v>
      </c>
      <c r="BV9" s="51"/>
      <c r="BW9" s="51"/>
      <c r="BX9" s="51"/>
      <c r="BY9" s="59" t="s">
        <v>36</v>
      </c>
      <c r="BZ9" s="51"/>
      <c r="CA9" s="51"/>
      <c r="CB9" s="51"/>
      <c r="CC9" s="59" t="s">
        <v>36</v>
      </c>
      <c r="CD9" s="51"/>
      <c r="CE9" s="59" t="s">
        <v>33</v>
      </c>
      <c r="CF9" s="59" t="s">
        <v>31</v>
      </c>
      <c r="CG9" s="59" t="s">
        <v>31</v>
      </c>
      <c r="CH9" s="51"/>
      <c r="CI9" s="87"/>
      <c r="CJ9" s="22"/>
      <c r="CK9" s="22"/>
      <c r="CL9" s="23"/>
      <c r="CM9" s="22"/>
      <c r="CN9" s="22"/>
      <c r="CO9" s="22"/>
      <c r="CP9" s="23"/>
      <c r="CQ9" s="22"/>
      <c r="CR9" s="22"/>
      <c r="CS9" s="22"/>
      <c r="CT9" s="23"/>
      <c r="CU9" s="22"/>
      <c r="CV9" s="22"/>
      <c r="CW9" s="22"/>
      <c r="CX9" s="23"/>
      <c r="CY9" s="21"/>
    </row>
    <row r="10" spans="1:103" ht="16.5" thickBot="1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9" t="s">
        <v>36</v>
      </c>
      <c r="CH10" s="51"/>
      <c r="CI10" s="56"/>
      <c r="CJ10" s="23"/>
      <c r="CK10" s="22"/>
      <c r="CL10" s="23"/>
      <c r="CM10" s="23"/>
      <c r="CN10" s="23"/>
      <c r="CO10" s="22"/>
      <c r="CP10" s="23"/>
      <c r="CQ10" s="23"/>
      <c r="CR10" s="23"/>
      <c r="CS10" s="22"/>
      <c r="CT10" s="23"/>
      <c r="CU10" s="23"/>
      <c r="CV10" s="23"/>
      <c r="CW10" s="22"/>
      <c r="CX10" s="23"/>
      <c r="CY10" s="21"/>
    </row>
    <row r="11" spans="1:103" ht="16.5" thickTop="1">
      <c r="A11" s="61" t="s">
        <v>3</v>
      </c>
      <c r="B11" s="58"/>
      <c r="C11" s="62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6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1"/>
    </row>
    <row r="12" spans="1:103" ht="15.75">
      <c r="A12" s="63">
        <v>1</v>
      </c>
      <c r="B12" s="64" t="s">
        <v>38</v>
      </c>
      <c r="C12" s="95">
        <v>2.1564</v>
      </c>
      <c r="D12" s="96">
        <v>66.36</v>
      </c>
      <c r="E12" s="96">
        <f>D$34/C12</f>
        <v>66.36060100166944</v>
      </c>
      <c r="F12" s="51">
        <v>66.42</v>
      </c>
      <c r="G12" s="51">
        <v>2.1731</v>
      </c>
      <c r="H12" s="51">
        <v>66.02</v>
      </c>
      <c r="I12" s="65">
        <f>H$34/G12</f>
        <v>66.02089181353827</v>
      </c>
      <c r="J12" s="51">
        <v>66.16</v>
      </c>
      <c r="K12" s="51">
        <v>2.1998</v>
      </c>
      <c r="L12" s="51">
        <v>65.74</v>
      </c>
      <c r="M12" s="65">
        <f>L$34/K12</f>
        <v>65.74234021274661</v>
      </c>
      <c r="N12" s="51">
        <v>65.76</v>
      </c>
      <c r="O12" s="51">
        <v>2.2008</v>
      </c>
      <c r="P12" s="51">
        <v>66</v>
      </c>
      <c r="Q12" s="65">
        <f>P$34/O12</f>
        <v>65.99872773536896</v>
      </c>
      <c r="R12" s="51">
        <v>65.68</v>
      </c>
      <c r="S12" s="51">
        <v>2.1863</v>
      </c>
      <c r="T12" s="51">
        <v>66.13</v>
      </c>
      <c r="U12" s="65">
        <f>T$34/S12</f>
        <v>66.12999130951836</v>
      </c>
      <c r="V12" s="51">
        <v>66.06</v>
      </c>
      <c r="W12" s="51">
        <v>2.1703</v>
      </c>
      <c r="X12" s="51">
        <v>66.35</v>
      </c>
      <c r="Y12" s="65">
        <f>X$34/W12</f>
        <v>66.35027415564669</v>
      </c>
      <c r="Z12" s="51">
        <v>66.41</v>
      </c>
      <c r="AA12" s="51">
        <v>2.1768</v>
      </c>
      <c r="AB12" s="51">
        <v>66.16</v>
      </c>
      <c r="AC12" s="65">
        <f>AB$34/AA12</f>
        <v>66.15674384417493</v>
      </c>
      <c r="AD12" s="51">
        <v>66.26</v>
      </c>
      <c r="AE12" s="51">
        <v>2.1566</v>
      </c>
      <c r="AF12" s="51">
        <v>66.51</v>
      </c>
      <c r="AG12" s="65">
        <f>AF$34/AE12</f>
        <v>66.50746545488269</v>
      </c>
      <c r="AH12" s="51">
        <v>66.42</v>
      </c>
      <c r="AI12" s="51">
        <v>2.1585</v>
      </c>
      <c r="AJ12" s="51">
        <v>66.47</v>
      </c>
      <c r="AK12" s="65">
        <f>AJ$34/AI12</f>
        <v>66.46745425063702</v>
      </c>
      <c r="AL12" s="51">
        <v>66.42</v>
      </c>
      <c r="AM12" s="51">
        <v>2.1291</v>
      </c>
      <c r="AN12" s="51">
        <v>66.84</v>
      </c>
      <c r="AO12" s="65">
        <f>AN$34/AM12</f>
        <v>66.84044901601615</v>
      </c>
      <c r="AP12" s="51">
        <v>66.46</v>
      </c>
      <c r="AQ12" s="51">
        <v>2.1268</v>
      </c>
      <c r="AR12" s="51">
        <v>66.46</v>
      </c>
      <c r="AS12" s="65">
        <f>AR$34/AQ12</f>
        <v>66.46135038555576</v>
      </c>
      <c r="AT12" s="51">
        <v>66.62</v>
      </c>
      <c r="AU12" s="51">
        <v>2.1236</v>
      </c>
      <c r="AV12" s="51">
        <v>66.72</v>
      </c>
      <c r="AW12" s="65">
        <f>AV$34/AU12</f>
        <v>66.72160482200037</v>
      </c>
      <c r="AX12" s="51">
        <v>66.53</v>
      </c>
      <c r="AY12" s="51">
        <v>2.1196</v>
      </c>
      <c r="AZ12" s="51">
        <v>66.75</v>
      </c>
      <c r="BA12" s="65">
        <f>AZ$34/AY12</f>
        <v>66.74844310247215</v>
      </c>
      <c r="BB12" s="51">
        <v>66.54</v>
      </c>
      <c r="BC12" s="51">
        <v>2.1146</v>
      </c>
      <c r="BD12" s="51">
        <v>66.85</v>
      </c>
      <c r="BE12" s="65">
        <f>BD$34/BC12</f>
        <v>66.8542513950629</v>
      </c>
      <c r="BF12" s="51">
        <v>66.6</v>
      </c>
      <c r="BG12" s="51">
        <v>2.1301</v>
      </c>
      <c r="BH12" s="51">
        <v>66.49</v>
      </c>
      <c r="BI12" s="65">
        <f>BH$34/BG12</f>
        <v>66.48983615792686</v>
      </c>
      <c r="BJ12" s="51">
        <v>66.5</v>
      </c>
      <c r="BK12" s="51">
        <v>2.1371</v>
      </c>
      <c r="BL12" s="51">
        <v>66.33</v>
      </c>
      <c r="BM12" s="65">
        <f>BL$34/BK12</f>
        <v>66.33288100697206</v>
      </c>
      <c r="BN12" s="51">
        <v>66.24</v>
      </c>
      <c r="BO12" s="51">
        <v>2.1284</v>
      </c>
      <c r="BP12" s="51">
        <v>66.47</v>
      </c>
      <c r="BQ12" s="65">
        <f>BP$34/BO12</f>
        <v>66.4724675812817</v>
      </c>
      <c r="BR12" s="51">
        <v>66.39</v>
      </c>
      <c r="BS12" s="51">
        <v>2.125</v>
      </c>
      <c r="BT12" s="51">
        <v>66.45</v>
      </c>
      <c r="BU12" s="65">
        <f>BT$34/BS12</f>
        <v>66.45176470588235</v>
      </c>
      <c r="BV12" s="51">
        <v>66.5</v>
      </c>
      <c r="BW12" s="51">
        <v>2.131</v>
      </c>
      <c r="BX12" s="51">
        <v>66.43</v>
      </c>
      <c r="BY12" s="65">
        <f>BX$34/BW12</f>
        <v>66.42890661661193</v>
      </c>
      <c r="BZ12" s="51">
        <v>66.32</v>
      </c>
      <c r="CA12" s="51">
        <v>2.1413</v>
      </c>
      <c r="CB12" s="51">
        <v>66.15</v>
      </c>
      <c r="CC12" s="65">
        <f>CB$34/CA12</f>
        <v>66.15140335310325</v>
      </c>
      <c r="CD12" s="51">
        <v>66.33</v>
      </c>
      <c r="CE12" s="51">
        <f aca="true" t="shared" si="0" ref="CE12:CE34">(+C12+G12+K12+O12+S12+W12+AA12+AE12+AI12+AM12+AQ12+AU12+AY12+BC12+BG12+BK12+BO12+BS12+BW12+CA12)/20</f>
        <v>2.1492600000000004</v>
      </c>
      <c r="CF12" s="51">
        <f aca="true" t="shared" si="1" ref="CF12:CH27">(+D12+H12+L12+P12+T12+X12+AB12+AF12+AJ12+AN12+AR12+AV12+AZ12+BD12+BH12+BL12+BP12+BT12+BX12+CB12)/20</f>
        <v>66.38400000000001</v>
      </c>
      <c r="CG12" s="51">
        <f t="shared" si="1"/>
        <v>66.38439239605341</v>
      </c>
      <c r="CH12" s="51">
        <f t="shared" si="1"/>
        <v>66.33099999999999</v>
      </c>
      <c r="CI12" s="56"/>
      <c r="CJ12" s="23"/>
      <c r="CK12" s="23"/>
      <c r="CL12" s="23"/>
      <c r="CM12" s="23"/>
      <c r="CN12" s="42"/>
      <c r="CO12" s="42"/>
      <c r="CP12" s="23"/>
      <c r="CQ12" s="23"/>
      <c r="CR12" s="23"/>
      <c r="CS12" s="23"/>
      <c r="CT12" s="23"/>
      <c r="CU12" s="23"/>
      <c r="CV12" s="23"/>
      <c r="CW12" s="23"/>
      <c r="CX12" s="23"/>
      <c r="CY12" s="21"/>
    </row>
    <row r="13" spans="1:103" ht="15.75">
      <c r="A13" s="63">
        <v>2</v>
      </c>
      <c r="B13" s="64" t="s">
        <v>39</v>
      </c>
      <c r="C13" s="95">
        <v>118.87</v>
      </c>
      <c r="D13" s="96">
        <v>120.38</v>
      </c>
      <c r="E13" s="96">
        <f>D$34/C13*100</f>
        <v>120.38361234962562</v>
      </c>
      <c r="F13" s="51"/>
      <c r="G13" s="51">
        <v>118.88</v>
      </c>
      <c r="H13" s="51">
        <v>120.68</v>
      </c>
      <c r="I13" s="65">
        <f>H$34/G13*100</f>
        <v>120.68472409152086</v>
      </c>
      <c r="J13" s="51"/>
      <c r="K13" s="51">
        <v>120.31</v>
      </c>
      <c r="L13" s="51">
        <v>120.2</v>
      </c>
      <c r="M13" s="65">
        <f>L$34/K13*100</f>
        <v>120.20613415343695</v>
      </c>
      <c r="N13" s="51"/>
      <c r="O13" s="51">
        <v>121.18</v>
      </c>
      <c r="P13" s="51">
        <v>119.86</v>
      </c>
      <c r="Q13" s="65">
        <f>P$34/O13*100</f>
        <v>119.86301369863013</v>
      </c>
      <c r="R13" s="51"/>
      <c r="S13" s="51">
        <v>121.01</v>
      </c>
      <c r="T13" s="51">
        <v>119.48</v>
      </c>
      <c r="U13" s="65">
        <f>T$34/S13*100</f>
        <v>119.47772911329643</v>
      </c>
      <c r="V13" s="51"/>
      <c r="W13" s="51">
        <v>120.78</v>
      </c>
      <c r="X13" s="51">
        <v>119.22</v>
      </c>
      <c r="Y13" s="65">
        <f>X$34/W13*100</f>
        <v>119.22503725782414</v>
      </c>
      <c r="Z13" s="51"/>
      <c r="AA13" s="51">
        <v>121.41</v>
      </c>
      <c r="AB13" s="51">
        <v>118.61</v>
      </c>
      <c r="AC13" s="65">
        <f>AB$34/AA13*100</f>
        <v>118.6146116464871</v>
      </c>
      <c r="AD13" s="51"/>
      <c r="AE13" s="51">
        <v>119.05</v>
      </c>
      <c r="AF13" s="51">
        <v>120.48</v>
      </c>
      <c r="AG13" s="65">
        <f>AF$34/AE13*100</f>
        <v>120.47879042419152</v>
      </c>
      <c r="AH13" s="51"/>
      <c r="AI13" s="51">
        <v>119.03</v>
      </c>
      <c r="AJ13" s="51">
        <v>120.53</v>
      </c>
      <c r="AK13" s="65">
        <f>AJ$34/AI13*100</f>
        <v>120.53263883054693</v>
      </c>
      <c r="AL13" s="51"/>
      <c r="AM13" s="51">
        <v>118.2</v>
      </c>
      <c r="AN13" s="51">
        <v>120.4</v>
      </c>
      <c r="AO13" s="65">
        <f>AN$34/AM13*100</f>
        <v>120.39763113367175</v>
      </c>
      <c r="AP13" s="51"/>
      <c r="AQ13" s="51">
        <v>117.57</v>
      </c>
      <c r="AR13" s="51">
        <v>120.23</v>
      </c>
      <c r="AS13" s="65">
        <f>AR$34/AQ13*100</f>
        <v>120.22624819256613</v>
      </c>
      <c r="AT13" s="51"/>
      <c r="AU13" s="51">
        <v>117.47</v>
      </c>
      <c r="AV13" s="51">
        <v>120.62</v>
      </c>
      <c r="AW13" s="65">
        <f>AV$34/AU13*100</f>
        <v>120.6180301353537</v>
      </c>
      <c r="AX13" s="51"/>
      <c r="AY13" s="51">
        <v>117.655</v>
      </c>
      <c r="AZ13" s="51">
        <v>120.25</v>
      </c>
      <c r="BA13" s="65">
        <f>AZ$34/AY13*100</f>
        <v>120.24988313288851</v>
      </c>
      <c r="BB13" s="51"/>
      <c r="BC13" s="51">
        <v>116.19</v>
      </c>
      <c r="BD13" s="51">
        <v>121.67</v>
      </c>
      <c r="BE13" s="65">
        <f>BD$34/BC13*100</f>
        <v>121.67140029262416</v>
      </c>
      <c r="BF13" s="51"/>
      <c r="BG13" s="51">
        <v>117.01</v>
      </c>
      <c r="BH13" s="51">
        <v>121.04</v>
      </c>
      <c r="BI13" s="65">
        <f>BH$34/BG13*100</f>
        <v>121.0409366720793</v>
      </c>
      <c r="BJ13" s="51"/>
      <c r="BK13" s="51">
        <v>117.31</v>
      </c>
      <c r="BL13" s="51">
        <v>120.84</v>
      </c>
      <c r="BM13" s="65">
        <f>BL$34/BK13*100</f>
        <v>120.8422129400733</v>
      </c>
      <c r="BN13" s="51"/>
      <c r="BO13" s="51">
        <v>117.21</v>
      </c>
      <c r="BP13" s="51">
        <v>120.71</v>
      </c>
      <c r="BQ13" s="65">
        <f>BP$34/BO13*100</f>
        <v>120.70642436652163</v>
      </c>
      <c r="BR13" s="51"/>
      <c r="BS13" s="51">
        <v>117.78</v>
      </c>
      <c r="BT13" s="51">
        <v>119.89</v>
      </c>
      <c r="BU13" s="65">
        <f>BT$34/BS13*100</f>
        <v>119.89302088639838</v>
      </c>
      <c r="BV13" s="51"/>
      <c r="BW13" s="51">
        <v>119.88</v>
      </c>
      <c r="BX13" s="51">
        <v>118.09</v>
      </c>
      <c r="BY13" s="65">
        <f>BX$34/BW13*100</f>
        <v>118.08475141808476</v>
      </c>
      <c r="BZ13" s="51"/>
      <c r="CA13" s="51">
        <v>119.25</v>
      </c>
      <c r="CB13" s="51">
        <v>118.78</v>
      </c>
      <c r="CC13" s="65">
        <f>CB$34/CA13*100</f>
        <v>118.78406708595388</v>
      </c>
      <c r="CD13" s="51"/>
      <c r="CE13" s="51">
        <f t="shared" si="0"/>
        <v>118.80225</v>
      </c>
      <c r="CF13" s="51">
        <f t="shared" si="1"/>
        <v>120.09800000000003</v>
      </c>
      <c r="CG13" s="51">
        <f t="shared" si="1"/>
        <v>120.09904489108874</v>
      </c>
      <c r="CH13" s="51"/>
      <c r="CI13" s="56"/>
      <c r="CJ13" s="23"/>
      <c r="CK13" s="23"/>
      <c r="CL13" s="23"/>
      <c r="CM13" s="23"/>
      <c r="CN13" s="42"/>
      <c r="CO13" s="42"/>
      <c r="CP13" s="23"/>
      <c r="CQ13" s="23"/>
      <c r="CR13" s="23"/>
      <c r="CS13" s="23"/>
      <c r="CT13" s="23"/>
      <c r="CU13" s="23"/>
      <c r="CV13" s="23"/>
      <c r="CW13" s="23"/>
      <c r="CX13" s="23"/>
      <c r="CY13" s="21"/>
    </row>
    <row r="14" spans="1:103" ht="15.75">
      <c r="A14" s="63">
        <v>3</v>
      </c>
      <c r="B14" s="64" t="s">
        <v>40</v>
      </c>
      <c r="C14" s="95">
        <f>1/1.4558</f>
        <v>0.6869075422448139</v>
      </c>
      <c r="D14" s="96">
        <v>208.32</v>
      </c>
      <c r="E14" s="96">
        <f>D$34/C14</f>
        <v>208.32497999999998</v>
      </c>
      <c r="F14" s="51"/>
      <c r="G14" s="51">
        <f>1/1.4488</f>
        <v>0.6902263942573164</v>
      </c>
      <c r="H14" s="51">
        <v>207.85</v>
      </c>
      <c r="I14" s="65">
        <f>H$34/G14</f>
        <v>207.859336</v>
      </c>
      <c r="J14" s="51"/>
      <c r="K14" s="51">
        <f>1/1.4463</f>
        <v>0.6914194842010648</v>
      </c>
      <c r="L14" s="51">
        <v>209.16</v>
      </c>
      <c r="M14" s="65">
        <f>L$34/K14</f>
        <v>209.163906</v>
      </c>
      <c r="N14" s="51"/>
      <c r="O14" s="51">
        <f>1/1.4492</f>
        <v>0.690035881865857</v>
      </c>
      <c r="P14" s="51">
        <v>210.49</v>
      </c>
      <c r="Q14" s="65">
        <f>P$34/O14</f>
        <v>210.49630000000002</v>
      </c>
      <c r="R14" s="51"/>
      <c r="S14" s="51">
        <f>1/1.4526</f>
        <v>0.6884207627702053</v>
      </c>
      <c r="T14" s="51">
        <v>210.02</v>
      </c>
      <c r="U14" s="65">
        <f>T$34/S14</f>
        <v>210.016908</v>
      </c>
      <c r="V14" s="51"/>
      <c r="W14" s="51">
        <f>1/1.4622</f>
        <v>0.6839009711393791</v>
      </c>
      <c r="X14" s="51">
        <v>210.55</v>
      </c>
      <c r="Y14" s="65">
        <f>X$34/W14</f>
        <v>210.55679999999998</v>
      </c>
      <c r="Z14" s="51"/>
      <c r="AA14" s="51">
        <f>1/1.462</f>
        <v>0.6839945280437757</v>
      </c>
      <c r="AB14" s="51">
        <v>210.54</v>
      </c>
      <c r="AC14" s="65">
        <f>AB$34/AA14</f>
        <v>210.54261999999997</v>
      </c>
      <c r="AD14" s="51"/>
      <c r="AE14" s="51">
        <f>1/1.4702</f>
        <v>0.6801795674057951</v>
      </c>
      <c r="AF14" s="51">
        <v>210.87</v>
      </c>
      <c r="AG14" s="65">
        <f>AF$34/AE14</f>
        <v>210.870786</v>
      </c>
      <c r="AH14" s="51"/>
      <c r="AI14" s="51">
        <f>1/1.4664</f>
        <v>0.6819421713038735</v>
      </c>
      <c r="AJ14" s="51">
        <v>210.38</v>
      </c>
      <c r="AK14" s="65">
        <f>AJ$34/AI14</f>
        <v>210.38440799999998</v>
      </c>
      <c r="AL14" s="51"/>
      <c r="AM14" s="51">
        <f>1/1.473</f>
        <v>0.678886625933469</v>
      </c>
      <c r="AN14" s="51">
        <v>209.63</v>
      </c>
      <c r="AO14" s="65">
        <f>AN$34/AM14</f>
        <v>209.62263000000002</v>
      </c>
      <c r="AP14" s="51"/>
      <c r="AQ14" s="51">
        <f>1/1.4672</f>
        <v>0.6815703380588877</v>
      </c>
      <c r="AR14" s="51">
        <v>207.39</v>
      </c>
      <c r="AS14" s="65">
        <f>AR$34/AQ14</f>
        <v>207.38872</v>
      </c>
      <c r="AT14" s="51"/>
      <c r="AU14" s="51">
        <f>1/1.4627</f>
        <v>0.6836671908115131</v>
      </c>
      <c r="AV14" s="51">
        <v>207.25</v>
      </c>
      <c r="AW14" s="65">
        <f>AV$34/AU14</f>
        <v>207.24996299999995</v>
      </c>
      <c r="AX14" s="51"/>
      <c r="AY14" s="51">
        <f>1/1.4681</f>
        <v>0.6811525100469995</v>
      </c>
      <c r="AZ14" s="51">
        <v>207.7</v>
      </c>
      <c r="BA14" s="65">
        <f>AZ$34/AY14</f>
        <v>207.706788</v>
      </c>
      <c r="BB14" s="51"/>
      <c r="BC14" s="51">
        <f>1/1.464</f>
        <v>0.6830601092896175</v>
      </c>
      <c r="BD14" s="51">
        <v>206.96</v>
      </c>
      <c r="BE14" s="65">
        <f>BD$34/BC14</f>
        <v>206.96568000000002</v>
      </c>
      <c r="BF14" s="51"/>
      <c r="BG14" s="51">
        <f>1/1.4581</f>
        <v>0.6858240175570949</v>
      </c>
      <c r="BH14" s="51">
        <v>206.51</v>
      </c>
      <c r="BI14" s="65">
        <f>BH$34/BG14</f>
        <v>206.51070299999998</v>
      </c>
      <c r="BJ14" s="51"/>
      <c r="BK14" s="51">
        <f>1/1.4654</f>
        <v>0.682407533779173</v>
      </c>
      <c r="BL14" s="51">
        <v>207.73</v>
      </c>
      <c r="BM14" s="65">
        <f>BL$34/BK14</f>
        <v>207.73510399999998</v>
      </c>
      <c r="BN14" s="51"/>
      <c r="BO14" s="51">
        <f>1/1.465</f>
        <v>0.68259385665529</v>
      </c>
      <c r="BP14" s="51">
        <v>207.27</v>
      </c>
      <c r="BQ14" s="65">
        <f>BP$34/BO14</f>
        <v>207.2682</v>
      </c>
      <c r="BR14" s="51"/>
      <c r="BS14" s="51">
        <f>1/1.4727</f>
        <v>0.679024920214572</v>
      </c>
      <c r="BT14" s="51">
        <v>207.96</v>
      </c>
      <c r="BU14" s="65">
        <f>BT$34/BS14</f>
        <v>207.95996699999998</v>
      </c>
      <c r="BV14" s="51"/>
      <c r="BW14" s="51">
        <f>1/1.4742</f>
        <v>0.678334011667345</v>
      </c>
      <c r="BX14" s="51">
        <v>208.69</v>
      </c>
      <c r="BY14" s="65">
        <f>BX$34/BW14</f>
        <v>208.68775200000002</v>
      </c>
      <c r="BZ14" s="51"/>
      <c r="CA14" s="51">
        <f>1/1.4672</f>
        <v>0.6815703380588877</v>
      </c>
      <c r="CB14" s="51">
        <v>207.82</v>
      </c>
      <c r="CC14" s="65">
        <f>CB$34/CA14</f>
        <v>207.82888</v>
      </c>
      <c r="CD14" s="51"/>
      <c r="CE14" s="51">
        <f t="shared" si="0"/>
        <v>0.6837559377652466</v>
      </c>
      <c r="CF14" s="51">
        <f t="shared" si="1"/>
        <v>208.6545</v>
      </c>
      <c r="CG14" s="51">
        <f t="shared" si="1"/>
        <v>208.65702154999994</v>
      </c>
      <c r="CH14" s="51"/>
      <c r="CI14" s="56"/>
      <c r="CJ14" s="23"/>
      <c r="CK14" s="23"/>
      <c r="CL14" s="23"/>
      <c r="CM14" s="23"/>
      <c r="CN14" s="42"/>
      <c r="CO14" s="42"/>
      <c r="CP14" s="23"/>
      <c r="CQ14" s="23"/>
      <c r="CR14" s="23"/>
      <c r="CS14" s="23"/>
      <c r="CT14" s="23"/>
      <c r="CU14" s="23"/>
      <c r="CV14" s="23"/>
      <c r="CW14" s="23"/>
      <c r="CX14" s="23"/>
      <c r="CY14" s="21"/>
    </row>
    <row r="15" spans="1:103" ht="15.75">
      <c r="A15" s="63">
        <v>4</v>
      </c>
      <c r="B15" s="64" t="s">
        <v>41</v>
      </c>
      <c r="C15" s="95">
        <v>1.6704</v>
      </c>
      <c r="D15" s="96">
        <v>85.67</v>
      </c>
      <c r="E15" s="96">
        <f>D$34/C15</f>
        <v>85.66810344827586</v>
      </c>
      <c r="F15" s="51"/>
      <c r="G15" s="51">
        <v>1.6837</v>
      </c>
      <c r="H15" s="51">
        <v>85.21</v>
      </c>
      <c r="I15" s="65">
        <f>H$34/G15</f>
        <v>85.21114212745739</v>
      </c>
      <c r="J15" s="51"/>
      <c r="K15" s="51">
        <v>1.6992</v>
      </c>
      <c r="L15" s="51">
        <v>85.11</v>
      </c>
      <c r="M15" s="65">
        <f>L$34/K15</f>
        <v>85.11064030131827</v>
      </c>
      <c r="N15" s="51"/>
      <c r="O15" s="51">
        <v>1.6998</v>
      </c>
      <c r="P15" s="51">
        <v>85.45</v>
      </c>
      <c r="Q15" s="65">
        <f>P$34/O15</f>
        <v>85.4512295564184</v>
      </c>
      <c r="R15" s="51"/>
      <c r="S15" s="51">
        <v>1.6887</v>
      </c>
      <c r="T15" s="51">
        <v>85.62</v>
      </c>
      <c r="U15" s="65">
        <f>T$34/S15</f>
        <v>85.61615443832534</v>
      </c>
      <c r="V15" s="51"/>
      <c r="W15" s="51">
        <v>1.6816</v>
      </c>
      <c r="X15" s="51">
        <v>85.63</v>
      </c>
      <c r="Y15" s="65">
        <f>X$34/W15</f>
        <v>85.63273073263558</v>
      </c>
      <c r="Z15" s="51"/>
      <c r="AA15" s="51">
        <v>1.6775</v>
      </c>
      <c r="AB15" s="51">
        <v>85.85</v>
      </c>
      <c r="AC15" s="65">
        <f>AB$34/AA15</f>
        <v>85.84798807749627</v>
      </c>
      <c r="AD15" s="51"/>
      <c r="AE15" s="51">
        <v>1.6605</v>
      </c>
      <c r="AF15" s="51">
        <v>86.38</v>
      </c>
      <c r="AG15" s="65">
        <f>AF$34/AE15</f>
        <v>86.37759710930443</v>
      </c>
      <c r="AH15" s="51"/>
      <c r="AI15" s="51">
        <v>1.6575</v>
      </c>
      <c r="AJ15" s="51">
        <v>86.56</v>
      </c>
      <c r="AK15" s="65">
        <f>AJ$34/AI15</f>
        <v>86.5580693815988</v>
      </c>
      <c r="AL15" s="51"/>
      <c r="AM15" s="51">
        <v>1.6325</v>
      </c>
      <c r="AN15" s="51">
        <v>87.18</v>
      </c>
      <c r="AO15" s="65">
        <f>AN$34/AM15</f>
        <v>87.17304747320061</v>
      </c>
      <c r="AP15" s="51"/>
      <c r="AQ15" s="51">
        <v>1.6152</v>
      </c>
      <c r="AR15" s="51">
        <v>87.51</v>
      </c>
      <c r="AS15" s="65">
        <f>AR$34/AQ15</f>
        <v>87.51238236750866</v>
      </c>
      <c r="AT15" s="51"/>
      <c r="AU15" s="51">
        <v>1.6054</v>
      </c>
      <c r="AV15" s="51">
        <v>88.26</v>
      </c>
      <c r="AW15" s="65">
        <f>AV$34/AU15</f>
        <v>88.25837797433661</v>
      </c>
      <c r="AX15" s="51"/>
      <c r="AY15" s="51">
        <v>1.6067</v>
      </c>
      <c r="AZ15" s="51">
        <v>88.06</v>
      </c>
      <c r="BA15" s="65">
        <f>AZ$34/AY15</f>
        <v>88.05626439285491</v>
      </c>
      <c r="BB15" s="51"/>
      <c r="BC15" s="51">
        <v>1.5947</v>
      </c>
      <c r="BD15" s="51">
        <v>88.65</v>
      </c>
      <c r="BE15" s="65">
        <f>BD$34/BC15</f>
        <v>88.64990280303506</v>
      </c>
      <c r="BF15" s="51"/>
      <c r="BG15" s="51">
        <v>1.5895</v>
      </c>
      <c r="BH15" s="51">
        <v>89.1</v>
      </c>
      <c r="BI15" s="65">
        <f>BH$34/BG15</f>
        <v>89.1034916640453</v>
      </c>
      <c r="BJ15" s="51"/>
      <c r="BK15" s="51">
        <v>1.5976</v>
      </c>
      <c r="BL15" s="51">
        <v>88.73</v>
      </c>
      <c r="BM15" s="65">
        <f>BL$34/BK15</f>
        <v>88.73309964947421</v>
      </c>
      <c r="BN15" s="51"/>
      <c r="BO15" s="51">
        <v>1.5879</v>
      </c>
      <c r="BP15" s="51">
        <v>89.1</v>
      </c>
      <c r="BQ15" s="65">
        <f>BP$34/BO15</f>
        <v>89.09880974872472</v>
      </c>
      <c r="BR15" s="51"/>
      <c r="BS15" s="51">
        <v>1.6056</v>
      </c>
      <c r="BT15" s="51">
        <v>87.95</v>
      </c>
      <c r="BU15" s="65">
        <f>BT$34/BS15</f>
        <v>87.94843049327355</v>
      </c>
      <c r="BV15" s="51"/>
      <c r="BW15" s="51">
        <v>1.6138</v>
      </c>
      <c r="BX15" s="51">
        <v>87.72</v>
      </c>
      <c r="BY15" s="65">
        <f>BX$34/BW15</f>
        <v>87.71842855372414</v>
      </c>
      <c r="BZ15" s="51"/>
      <c r="CA15" s="51">
        <v>1.6164</v>
      </c>
      <c r="CB15" s="51">
        <v>87.63</v>
      </c>
      <c r="CC15" s="65">
        <f>CB$34/CA15</f>
        <v>87.63301163078447</v>
      </c>
      <c r="CD15" s="51"/>
      <c r="CE15" s="51">
        <f t="shared" si="0"/>
        <v>1.6392100000000003</v>
      </c>
      <c r="CF15" s="51">
        <f t="shared" si="1"/>
        <v>87.0685</v>
      </c>
      <c r="CG15" s="51">
        <f t="shared" si="1"/>
        <v>87.06794509618963</v>
      </c>
      <c r="CH15" s="51"/>
      <c r="CI15" s="56"/>
      <c r="CJ15" s="23"/>
      <c r="CK15" s="23"/>
      <c r="CL15" s="23"/>
      <c r="CM15" s="23"/>
      <c r="CN15" s="42"/>
      <c r="CO15" s="42"/>
      <c r="CP15" s="23"/>
      <c r="CQ15" s="23"/>
      <c r="CR15" s="23"/>
      <c r="CS15" s="23"/>
      <c r="CT15" s="23"/>
      <c r="CU15" s="23"/>
      <c r="CV15" s="23"/>
      <c r="CW15" s="23"/>
      <c r="CX15" s="23"/>
      <c r="CY15" s="21"/>
    </row>
    <row r="16" spans="1:103" ht="15.75">
      <c r="A16" s="63">
        <v>5</v>
      </c>
      <c r="B16" s="64" t="s">
        <v>42</v>
      </c>
      <c r="C16" s="95">
        <v>7.2322</v>
      </c>
      <c r="D16" s="96">
        <v>19.79</v>
      </c>
      <c r="E16" s="96">
        <f>D$34/C16</f>
        <v>19.786510328807278</v>
      </c>
      <c r="F16" s="51"/>
      <c r="G16" s="51">
        <v>7.2884</v>
      </c>
      <c r="H16" s="51">
        <v>19.68</v>
      </c>
      <c r="I16" s="65">
        <f>H$34/G16</f>
        <v>19.68470446188464</v>
      </c>
      <c r="J16" s="51"/>
      <c r="K16" s="51">
        <v>7.3778</v>
      </c>
      <c r="L16" s="51">
        <v>19.6</v>
      </c>
      <c r="M16" s="65">
        <f>L$34/K16</f>
        <v>19.6020493914175</v>
      </c>
      <c r="N16" s="51"/>
      <c r="O16" s="51">
        <v>7.3811</v>
      </c>
      <c r="P16" s="51">
        <v>19.68</v>
      </c>
      <c r="Q16" s="65">
        <f>P$34/O16</f>
        <v>19.67863868529081</v>
      </c>
      <c r="R16" s="51"/>
      <c r="S16" s="51">
        <v>7.3324</v>
      </c>
      <c r="T16" s="51">
        <v>19.72</v>
      </c>
      <c r="U16" s="65">
        <f>T$34/S16</f>
        <v>19.717964104522395</v>
      </c>
      <c r="V16" s="51"/>
      <c r="W16" s="51">
        <v>7.2787</v>
      </c>
      <c r="X16" s="51">
        <v>19.78</v>
      </c>
      <c r="Y16" s="65">
        <f>X$34/W16</f>
        <v>19.78375259318285</v>
      </c>
      <c r="Z16" s="51"/>
      <c r="AA16" s="51">
        <v>7.3006</v>
      </c>
      <c r="AB16" s="51">
        <v>19.73</v>
      </c>
      <c r="AC16" s="65">
        <f>AB$34/AA16</f>
        <v>19.725775963619427</v>
      </c>
      <c r="AD16" s="51"/>
      <c r="AE16" s="51">
        <v>7.233</v>
      </c>
      <c r="AF16" s="51">
        <v>19.83</v>
      </c>
      <c r="AG16" s="65">
        <f>AF$34/AE16</f>
        <v>19.829946080464538</v>
      </c>
      <c r="AH16" s="51"/>
      <c r="AI16" s="51">
        <v>7.2393</v>
      </c>
      <c r="AJ16" s="51">
        <v>19.82</v>
      </c>
      <c r="AK16" s="65">
        <f>AJ$34/AI16</f>
        <v>19.818214468249693</v>
      </c>
      <c r="AL16" s="51"/>
      <c r="AM16" s="51">
        <v>7.1408</v>
      </c>
      <c r="AN16" s="51">
        <v>19.93</v>
      </c>
      <c r="AO16" s="65">
        <f>AN$34/AM16</f>
        <v>19.929139592202556</v>
      </c>
      <c r="AP16" s="51"/>
      <c r="AQ16" s="51">
        <v>7.1331</v>
      </c>
      <c r="AR16" s="51">
        <v>19.82</v>
      </c>
      <c r="AS16" s="65">
        <f>AR$34/AQ16</f>
        <v>19.81606874991238</v>
      </c>
      <c r="AT16" s="51"/>
      <c r="AU16" s="51">
        <v>7.1222</v>
      </c>
      <c r="AV16" s="51">
        <v>19.89</v>
      </c>
      <c r="AW16" s="65">
        <f>AV$34/AU16</f>
        <v>19.894133835050965</v>
      </c>
      <c r="AX16" s="51"/>
      <c r="AY16" s="51">
        <v>7.1087</v>
      </c>
      <c r="AZ16" s="51">
        <v>19.9</v>
      </c>
      <c r="BA16" s="65">
        <f>AZ$34/AY16</f>
        <v>19.902373148395625</v>
      </c>
      <c r="BB16" s="51"/>
      <c r="BC16" s="51">
        <v>7.0922</v>
      </c>
      <c r="BD16" s="51">
        <v>19.93</v>
      </c>
      <c r="BE16" s="65">
        <f>BD$34/BC16</f>
        <v>19.933166013366797</v>
      </c>
      <c r="BF16" s="51"/>
      <c r="BG16" s="51">
        <v>7.1439</v>
      </c>
      <c r="BH16" s="51">
        <v>19.83</v>
      </c>
      <c r="BI16" s="65">
        <f>BH$34/BG16</f>
        <v>19.825305505396212</v>
      </c>
      <c r="BJ16" s="51"/>
      <c r="BK16" s="51">
        <v>7.1674</v>
      </c>
      <c r="BL16" s="51">
        <v>19.78</v>
      </c>
      <c r="BM16" s="65">
        <f>BL$34/BK16</f>
        <v>19.77844127577643</v>
      </c>
      <c r="BN16" s="51"/>
      <c r="BO16" s="51">
        <v>7.1385</v>
      </c>
      <c r="BP16" s="51">
        <v>19.82</v>
      </c>
      <c r="BQ16" s="65">
        <f>BP$34/BO16</f>
        <v>19.819289766757723</v>
      </c>
      <c r="BR16" s="51"/>
      <c r="BS16" s="51">
        <v>7.1269</v>
      </c>
      <c r="BT16" s="51">
        <v>19.81</v>
      </c>
      <c r="BU16" s="65">
        <f>BT$34/BS16</f>
        <v>19.813663724761117</v>
      </c>
      <c r="BV16" s="51"/>
      <c r="BW16" s="51">
        <v>7.1471</v>
      </c>
      <c r="BX16" s="51">
        <v>19.81</v>
      </c>
      <c r="BY16" s="65">
        <f>BX$34/BW16</f>
        <v>19.80663485889382</v>
      </c>
      <c r="BZ16" s="51"/>
      <c r="CA16" s="51">
        <v>7.1815</v>
      </c>
      <c r="CB16" s="51">
        <v>19.72</v>
      </c>
      <c r="CC16" s="65">
        <f>CB$34/CA16</f>
        <v>19.72429158253847</v>
      </c>
      <c r="CD16" s="51"/>
      <c r="CE16" s="51">
        <f t="shared" si="0"/>
        <v>7.20829</v>
      </c>
      <c r="CF16" s="51">
        <f t="shared" si="1"/>
        <v>19.793499999999995</v>
      </c>
      <c r="CG16" s="51">
        <f t="shared" si="1"/>
        <v>19.79350320652456</v>
      </c>
      <c r="CH16" s="51"/>
      <c r="CI16" s="56"/>
      <c r="CJ16" s="23"/>
      <c r="CK16" s="23"/>
      <c r="CL16" s="23"/>
      <c r="CM16" s="23"/>
      <c r="CN16" s="42"/>
      <c r="CO16" s="42"/>
      <c r="CP16" s="23"/>
      <c r="CQ16" s="23"/>
      <c r="CR16" s="23"/>
      <c r="CS16" s="23"/>
      <c r="CT16" s="23"/>
      <c r="CU16" s="23"/>
      <c r="CV16" s="23"/>
      <c r="CW16" s="23"/>
      <c r="CX16" s="23"/>
      <c r="CY16" s="21"/>
    </row>
    <row r="17" spans="1:103" ht="15.75">
      <c r="A17" s="63">
        <v>6</v>
      </c>
      <c r="B17" s="64" t="s">
        <v>43</v>
      </c>
      <c r="C17" s="95">
        <v>2.4297</v>
      </c>
      <c r="D17" s="96">
        <v>58.9</v>
      </c>
      <c r="E17" s="96">
        <f>D$34/C17</f>
        <v>58.89616001975553</v>
      </c>
      <c r="F17" s="51"/>
      <c r="G17" s="51">
        <v>2.4486</v>
      </c>
      <c r="H17" s="51">
        <v>58.59</v>
      </c>
      <c r="I17" s="65">
        <f>H$34/G17</f>
        <v>58.59266519643878</v>
      </c>
      <c r="J17" s="51"/>
      <c r="K17" s="51">
        <v>2.4786</v>
      </c>
      <c r="L17" s="51">
        <v>58.35</v>
      </c>
      <c r="M17" s="65">
        <f>L$34/K17</f>
        <v>58.34745420802066</v>
      </c>
      <c r="N17" s="51"/>
      <c r="O17" s="51">
        <v>2.4797</v>
      </c>
      <c r="P17" s="51">
        <v>58.57</v>
      </c>
      <c r="Q17" s="65">
        <f>P$34/O17</f>
        <v>58.575634149292256</v>
      </c>
      <c r="R17" s="51"/>
      <c r="S17" s="51">
        <v>2.4633</v>
      </c>
      <c r="T17" s="51">
        <v>58.69</v>
      </c>
      <c r="U17" s="65">
        <f>T$34/S17</f>
        <v>58.693622376486836</v>
      </c>
      <c r="V17" s="51"/>
      <c r="W17" s="51">
        <v>2.4453</v>
      </c>
      <c r="X17" s="51">
        <v>58.89</v>
      </c>
      <c r="Y17" s="65">
        <f>X$34/W17</f>
        <v>58.88847994111152</v>
      </c>
      <c r="Z17" s="51"/>
      <c r="AA17" s="51">
        <v>2.4527</v>
      </c>
      <c r="AB17" s="51">
        <v>58.72</v>
      </c>
      <c r="AC17" s="65">
        <f>AB$34/AA17</f>
        <v>58.71488563623761</v>
      </c>
      <c r="AD17" s="51"/>
      <c r="AE17" s="51">
        <v>2.4299</v>
      </c>
      <c r="AF17" s="51">
        <v>59.03</v>
      </c>
      <c r="AG17" s="65">
        <f>AF$34/AE17</f>
        <v>59.02712045763201</v>
      </c>
      <c r="AH17" s="51"/>
      <c r="AI17" s="51">
        <v>2.4321</v>
      </c>
      <c r="AJ17" s="51">
        <v>58.99</v>
      </c>
      <c r="AK17" s="65">
        <f>AJ$34/AI17</f>
        <v>58.99017310143497</v>
      </c>
      <c r="AL17" s="51"/>
      <c r="AM17" s="51">
        <v>2.399</v>
      </c>
      <c r="AN17" s="51">
        <v>59.32</v>
      </c>
      <c r="AO17" s="65">
        <f>AN$34/AM17</f>
        <v>59.320550229262196</v>
      </c>
      <c r="AP17" s="51"/>
      <c r="AQ17" s="51">
        <v>2.3964</v>
      </c>
      <c r="AR17" s="51">
        <v>58.98</v>
      </c>
      <c r="AS17" s="65">
        <f>AR$34/AQ17</f>
        <v>58.98430979803038</v>
      </c>
      <c r="AT17" s="51"/>
      <c r="AU17" s="51">
        <v>2.3927</v>
      </c>
      <c r="AV17" s="51">
        <v>59.22</v>
      </c>
      <c r="AW17" s="65">
        <f>AV$34/AU17</f>
        <v>59.21762026162912</v>
      </c>
      <c r="AX17" s="51"/>
      <c r="AY17" s="51">
        <v>2.3882</v>
      </c>
      <c r="AZ17" s="51">
        <v>59.24</v>
      </c>
      <c r="BA17" s="65">
        <f>AZ$34/AY17</f>
        <v>59.241269575412446</v>
      </c>
      <c r="BB17" s="51"/>
      <c r="BC17" s="51">
        <v>2.3826</v>
      </c>
      <c r="BD17" s="51">
        <v>59.33</v>
      </c>
      <c r="BE17" s="65">
        <f>BD$34/BC17</f>
        <v>59.3343406362797</v>
      </c>
      <c r="BF17" s="51"/>
      <c r="BG17" s="51">
        <v>2.4</v>
      </c>
      <c r="BH17" s="51">
        <v>59.01</v>
      </c>
      <c r="BI17" s="65">
        <f>BH$34/BG17</f>
        <v>59.0125</v>
      </c>
      <c r="BJ17" s="51"/>
      <c r="BK17" s="51">
        <v>2.4079</v>
      </c>
      <c r="BL17" s="51">
        <v>58.87</v>
      </c>
      <c r="BM17" s="65">
        <f>BL$34/BK17</f>
        <v>58.872876780597196</v>
      </c>
      <c r="BN17" s="51"/>
      <c r="BO17" s="51">
        <v>2.3982</v>
      </c>
      <c r="BP17" s="51">
        <v>58.99</v>
      </c>
      <c r="BQ17" s="65">
        <f>BP$34/BO17</f>
        <v>58.99424568426319</v>
      </c>
      <c r="BR17" s="51"/>
      <c r="BS17" s="51">
        <v>2.3943</v>
      </c>
      <c r="BT17" s="51">
        <v>58.98</v>
      </c>
      <c r="BU17" s="65">
        <f>BT$34/BS17</f>
        <v>58.97757173286556</v>
      </c>
      <c r="BV17" s="51"/>
      <c r="BW17" s="51">
        <v>2.4011</v>
      </c>
      <c r="BX17" s="51">
        <v>58.96</v>
      </c>
      <c r="BY17" s="65">
        <f>BX$34/BW17</f>
        <v>58.9563116904752</v>
      </c>
      <c r="BZ17" s="51"/>
      <c r="CA17" s="51">
        <v>2.4126</v>
      </c>
      <c r="CB17" s="51">
        <v>58.71</v>
      </c>
      <c r="CC17" s="65">
        <f>CB$34/CA17</f>
        <v>58.712592224156516</v>
      </c>
      <c r="CD17" s="51"/>
      <c r="CE17" s="51">
        <f t="shared" si="0"/>
        <v>2.421645</v>
      </c>
      <c r="CF17" s="51">
        <f t="shared" si="1"/>
        <v>58.91700000000001</v>
      </c>
      <c r="CG17" s="51">
        <f t="shared" si="1"/>
        <v>58.917519184969066</v>
      </c>
      <c r="CH17" s="51"/>
      <c r="CI17" s="56"/>
      <c r="CJ17" s="23"/>
      <c r="CK17" s="23"/>
      <c r="CL17" s="23"/>
      <c r="CM17" s="23"/>
      <c r="CN17" s="42"/>
      <c r="CO17" s="42"/>
      <c r="CP17" s="23"/>
      <c r="CQ17" s="23"/>
      <c r="CR17" s="23"/>
      <c r="CS17" s="23"/>
      <c r="CT17" s="23"/>
      <c r="CU17" s="23"/>
      <c r="CV17" s="23"/>
      <c r="CW17" s="23"/>
      <c r="CX17" s="23"/>
      <c r="CY17" s="21"/>
    </row>
    <row r="18" spans="1:103" ht="15.75">
      <c r="A18" s="63">
        <v>7</v>
      </c>
      <c r="B18" s="64" t="s">
        <v>44</v>
      </c>
      <c r="C18" s="95">
        <v>2134.8071</v>
      </c>
      <c r="D18" s="96">
        <v>67.03</v>
      </c>
      <c r="E18" s="96">
        <f>D$34/C18*1000</f>
        <v>67.03181753517683</v>
      </c>
      <c r="F18" s="51">
        <v>66.9</v>
      </c>
      <c r="G18" s="51">
        <v>2151.4111</v>
      </c>
      <c r="H18" s="51">
        <v>66.68</v>
      </c>
      <c r="I18" s="65">
        <f>H$34/G18*1000</f>
        <v>66.68646452553861</v>
      </c>
      <c r="J18" s="51">
        <v>66.64</v>
      </c>
      <c r="K18" s="51">
        <v>2177.7865</v>
      </c>
      <c r="L18" s="51">
        <v>66.4</v>
      </c>
      <c r="M18" s="65">
        <f>L$34/K18*1000</f>
        <v>66.40687689082469</v>
      </c>
      <c r="N18" s="51">
        <v>66.21</v>
      </c>
      <c r="O18" s="51">
        <v>2178.7667</v>
      </c>
      <c r="P18" s="51">
        <v>66.66</v>
      </c>
      <c r="Q18" s="65">
        <f>P$34/O18*1000</f>
        <v>66.66615567421698</v>
      </c>
      <c r="R18" s="51">
        <v>66.21</v>
      </c>
      <c r="S18" s="51">
        <v>2164.3975</v>
      </c>
      <c r="T18" s="51">
        <v>66.8</v>
      </c>
      <c r="U18" s="65">
        <f>T$34/S18*1000</f>
        <v>66.79919007483608</v>
      </c>
      <c r="V18" s="51">
        <v>66.59</v>
      </c>
      <c r="W18" s="51">
        <v>2148.5464</v>
      </c>
      <c r="X18" s="51">
        <v>67.02</v>
      </c>
      <c r="Y18" s="65">
        <f>X$34/W18*1000</f>
        <v>67.02205733141251</v>
      </c>
      <c r="Z18" s="51">
        <v>66.92</v>
      </c>
      <c r="AA18" s="51">
        <v>2155.0028</v>
      </c>
      <c r="AB18" s="51">
        <v>66.82</v>
      </c>
      <c r="AC18" s="65">
        <f>AB$34/AA18*1000</f>
        <v>66.82589925173183</v>
      </c>
      <c r="AD18" s="51">
        <v>66.73</v>
      </c>
      <c r="AE18" s="51">
        <v>2135.0425</v>
      </c>
      <c r="AF18" s="51">
        <v>67.18</v>
      </c>
      <c r="AG18" s="65">
        <f>AF$34/AE18*1000</f>
        <v>67.1789905821547</v>
      </c>
      <c r="AH18" s="51">
        <v>66.92</v>
      </c>
      <c r="AI18" s="51">
        <v>2136.9275</v>
      </c>
      <c r="AJ18" s="51">
        <v>67.14</v>
      </c>
      <c r="AK18" s="65">
        <f>AJ$34/AI18*1000</f>
        <v>67.13844994741282</v>
      </c>
      <c r="AL18" s="51">
        <v>66.91</v>
      </c>
      <c r="AM18" s="51">
        <v>2107.8489</v>
      </c>
      <c r="AN18" s="51">
        <v>67.52</v>
      </c>
      <c r="AO18" s="65">
        <f>AN$34/AM18*1000</f>
        <v>67.51432704687703</v>
      </c>
      <c r="AP18" s="51">
        <v>66.92</v>
      </c>
      <c r="AQ18" s="51">
        <v>2105.5568</v>
      </c>
      <c r="AR18" s="51">
        <v>67.13</v>
      </c>
      <c r="AS18" s="65">
        <f>AR$34/AQ18*1000</f>
        <v>67.13188644447874</v>
      </c>
      <c r="AT18" s="51">
        <v>67.17</v>
      </c>
      <c r="AU18" s="51">
        <v>2102.3561</v>
      </c>
      <c r="AV18" s="51">
        <v>67.4</v>
      </c>
      <c r="AW18" s="65">
        <f>AV$34/AU18*1000</f>
        <v>67.39581367780653</v>
      </c>
      <c r="AX18" s="51">
        <v>67.02</v>
      </c>
      <c r="AY18" s="51">
        <v>2098.369</v>
      </c>
      <c r="AZ18" s="51">
        <v>67.42</v>
      </c>
      <c r="BA18" s="65">
        <f>AZ$34/AY18*1000</f>
        <v>67.42379438506762</v>
      </c>
      <c r="BB18" s="51">
        <v>67.05</v>
      </c>
      <c r="BC18" s="51">
        <v>2093.4912</v>
      </c>
      <c r="BD18" s="51">
        <v>67.53</v>
      </c>
      <c r="BE18" s="65">
        <f>BD$34/BC18*1000</f>
        <v>67.528346906832</v>
      </c>
      <c r="BF18" s="51">
        <v>67.12</v>
      </c>
      <c r="BG18" s="51">
        <v>2108.7672</v>
      </c>
      <c r="BH18" s="51">
        <v>67.16</v>
      </c>
      <c r="BI18" s="65">
        <f>BH$34/BG18*1000</f>
        <v>67.16246345258025</v>
      </c>
      <c r="BJ18" s="51">
        <v>67</v>
      </c>
      <c r="BK18" s="51">
        <v>2115.6796</v>
      </c>
      <c r="BL18" s="51">
        <v>67</v>
      </c>
      <c r="BM18" s="65">
        <f>BL$34/BK18*1000</f>
        <v>67.004474590576</v>
      </c>
      <c r="BN18" s="51">
        <v>66.72</v>
      </c>
      <c r="BO18" s="51">
        <v>2107.1607</v>
      </c>
      <c r="BP18" s="51">
        <v>67.14</v>
      </c>
      <c r="BQ18" s="65">
        <f>BP$34/BO18*1000</f>
        <v>67.14248229857361</v>
      </c>
      <c r="BR18" s="51">
        <v>66.91</v>
      </c>
      <c r="BS18" s="51">
        <v>2103.7266</v>
      </c>
      <c r="BT18" s="51">
        <v>67.12</v>
      </c>
      <c r="BU18" s="65">
        <f>BT$34/BS18*1000</f>
        <v>67.12374126942161</v>
      </c>
      <c r="BV18" s="51">
        <v>66.99</v>
      </c>
      <c r="BW18" s="51">
        <v>2109.6862</v>
      </c>
      <c r="BX18" s="51">
        <v>67.1</v>
      </c>
      <c r="BY18" s="65">
        <f>BX$34/BW18*1000</f>
        <v>67.10002653475195</v>
      </c>
      <c r="BZ18" s="51">
        <v>66.8</v>
      </c>
      <c r="CA18" s="51">
        <v>2119.8489</v>
      </c>
      <c r="CB18" s="51">
        <v>66.82</v>
      </c>
      <c r="CC18" s="65">
        <f>CB$34/CA18*1000</f>
        <v>66.82080029383226</v>
      </c>
      <c r="CD18" s="51">
        <v>66.8</v>
      </c>
      <c r="CE18" s="51">
        <f t="shared" si="0"/>
        <v>2127.758965</v>
      </c>
      <c r="CF18" s="51">
        <f t="shared" si="1"/>
        <v>67.0535</v>
      </c>
      <c r="CG18" s="51">
        <f t="shared" si="1"/>
        <v>67.05520293570513</v>
      </c>
      <c r="CH18" s="51">
        <f t="shared" si="1"/>
        <v>66.82649999999998</v>
      </c>
      <c r="CI18" s="56"/>
      <c r="CJ18" s="23"/>
      <c r="CK18" s="23"/>
      <c r="CL18" s="23"/>
      <c r="CM18" s="23"/>
      <c r="CN18" s="42"/>
      <c r="CO18" s="42"/>
      <c r="CP18" s="23"/>
      <c r="CQ18" s="23"/>
      <c r="CR18" s="23"/>
      <c r="CS18" s="23"/>
      <c r="CT18" s="23"/>
      <c r="CU18" s="23"/>
      <c r="CV18" s="23"/>
      <c r="CW18" s="23"/>
      <c r="CX18" s="23"/>
      <c r="CY18" s="21"/>
    </row>
    <row r="19" spans="1:103" ht="15.75">
      <c r="A19" s="63">
        <v>8</v>
      </c>
      <c r="B19" s="64" t="s">
        <v>45</v>
      </c>
      <c r="C19" s="95">
        <v>44.4762</v>
      </c>
      <c r="D19" s="96">
        <v>3.22</v>
      </c>
      <c r="E19" s="96">
        <f>D$34/C19</f>
        <v>3.2174511311667815</v>
      </c>
      <c r="F19" s="51"/>
      <c r="G19" s="51">
        <v>44.8221</v>
      </c>
      <c r="H19" s="51">
        <v>3.2</v>
      </c>
      <c r="I19" s="65">
        <f>H$34/G19</f>
        <v>3.200876353406021</v>
      </c>
      <c r="J19" s="51"/>
      <c r="K19" s="51">
        <v>45.3716</v>
      </c>
      <c r="L19" s="51">
        <v>3.19</v>
      </c>
      <c r="M19" s="65">
        <f>L$34/K19</f>
        <v>3.1874564705674917</v>
      </c>
      <c r="N19" s="51"/>
      <c r="O19" s="51">
        <v>45.392</v>
      </c>
      <c r="P19" s="51">
        <v>3.2</v>
      </c>
      <c r="Q19" s="65">
        <f>P$34/O19</f>
        <v>3.1999030666196684</v>
      </c>
      <c r="R19" s="51"/>
      <c r="S19" s="51">
        <v>45.0927</v>
      </c>
      <c r="T19" s="51">
        <v>3.21</v>
      </c>
      <c r="U19" s="65">
        <f>T$34/S19</f>
        <v>3.2062839439643227</v>
      </c>
      <c r="V19" s="51"/>
      <c r="W19" s="51">
        <v>44.7624</v>
      </c>
      <c r="X19" s="51">
        <v>3.22</v>
      </c>
      <c r="Y19" s="65">
        <f>X$34/W19</f>
        <v>3.2169856844137046</v>
      </c>
      <c r="Z19" s="51"/>
      <c r="AA19" s="51">
        <v>44.8969</v>
      </c>
      <c r="AB19" s="51">
        <v>3.21</v>
      </c>
      <c r="AC19" s="65">
        <f>AB$34/AA19</f>
        <v>3.207571124064245</v>
      </c>
      <c r="AD19" s="51"/>
      <c r="AE19" s="51">
        <v>44.4811</v>
      </c>
      <c r="AF19" s="51">
        <v>3.22</v>
      </c>
      <c r="AG19" s="65">
        <f>AF$34/AE19</f>
        <v>3.2245155807747565</v>
      </c>
      <c r="AH19" s="51"/>
      <c r="AI19" s="51">
        <v>44.5204</v>
      </c>
      <c r="AJ19" s="51">
        <v>3.22</v>
      </c>
      <c r="AK19" s="65">
        <f>AJ$34/AI19</f>
        <v>3.2225676319170535</v>
      </c>
      <c r="AL19" s="51"/>
      <c r="AM19" s="51">
        <v>43.9145</v>
      </c>
      <c r="AN19" s="51">
        <v>3.24</v>
      </c>
      <c r="AO19" s="65">
        <f>AN$34/AM19</f>
        <v>3.240615286522675</v>
      </c>
      <c r="AP19" s="51"/>
      <c r="AQ19" s="51">
        <v>43.8668</v>
      </c>
      <c r="AR19" s="51">
        <v>3.22</v>
      </c>
      <c r="AS19" s="65">
        <f>AR$34/AQ19</f>
        <v>3.222254643602907</v>
      </c>
      <c r="AT19" s="51"/>
      <c r="AU19" s="51">
        <v>43.8001</v>
      </c>
      <c r="AV19" s="51">
        <v>3.23</v>
      </c>
      <c r="AW19" s="65">
        <f>AV$34/AU19</f>
        <v>3.2349241211778055</v>
      </c>
      <c r="AX19" s="51"/>
      <c r="AY19" s="51">
        <v>43.717</v>
      </c>
      <c r="AZ19" s="51">
        <v>3.24</v>
      </c>
      <c r="BA19" s="65">
        <f>AZ$34/AY19</f>
        <v>3.2362696433881557</v>
      </c>
      <c r="BB19" s="51"/>
      <c r="BC19" s="51">
        <v>43.6154</v>
      </c>
      <c r="BD19" s="51">
        <v>3.24</v>
      </c>
      <c r="BE19" s="65">
        <f>BD$34/BC19</f>
        <v>3.2412863346432683</v>
      </c>
      <c r="BF19" s="51"/>
      <c r="BG19" s="51">
        <v>43.9337</v>
      </c>
      <c r="BH19" s="51">
        <v>3.22</v>
      </c>
      <c r="BI19" s="65">
        <f>BH$34/BG19</f>
        <v>3.223721198078013</v>
      </c>
      <c r="BJ19" s="51"/>
      <c r="BK19" s="51">
        <v>44.0777</v>
      </c>
      <c r="BL19" s="51">
        <v>3.22</v>
      </c>
      <c r="BM19" s="65">
        <f>BL$34/BK19</f>
        <v>3.2161387731211017</v>
      </c>
      <c r="BN19" s="51"/>
      <c r="BO19" s="51">
        <v>43.9002</v>
      </c>
      <c r="BP19" s="51">
        <v>3.22</v>
      </c>
      <c r="BQ19" s="65">
        <f>BP$34/BO19</f>
        <v>3.22276436098241</v>
      </c>
      <c r="BR19" s="51"/>
      <c r="BS19" s="51">
        <v>43.8287</v>
      </c>
      <c r="BT19" s="51">
        <v>3.22</v>
      </c>
      <c r="BU19" s="65">
        <f>BT$34/BS19</f>
        <v>3.221861474330747</v>
      </c>
      <c r="BV19" s="51"/>
      <c r="BW19" s="51">
        <v>43.9528</v>
      </c>
      <c r="BX19" s="51">
        <v>3.22</v>
      </c>
      <c r="BY19" s="65">
        <f>BX$34/BW19</f>
        <v>3.2207276897034998</v>
      </c>
      <c r="BZ19" s="51"/>
      <c r="CA19" s="51">
        <v>44.1646</v>
      </c>
      <c r="CB19" s="51">
        <v>3.21</v>
      </c>
      <c r="CC19" s="65">
        <f>CB$34/CA19</f>
        <v>3.2073198896854045</v>
      </c>
      <c r="CD19" s="51"/>
      <c r="CE19" s="51">
        <f t="shared" si="0"/>
        <v>44.329345</v>
      </c>
      <c r="CF19" s="51">
        <f t="shared" si="1"/>
        <v>3.2184999999999997</v>
      </c>
      <c r="CG19" s="51">
        <f t="shared" si="1"/>
        <v>3.218574720106502</v>
      </c>
      <c r="CH19" s="51"/>
      <c r="CI19" s="56"/>
      <c r="CJ19" s="23"/>
      <c r="CK19" s="23"/>
      <c r="CL19" s="23"/>
      <c r="CM19" s="23"/>
      <c r="CN19" s="42"/>
      <c r="CO19" s="42"/>
      <c r="CP19" s="23"/>
      <c r="CQ19" s="23"/>
      <c r="CR19" s="23"/>
      <c r="CS19" s="23"/>
      <c r="CT19" s="23"/>
      <c r="CU19" s="23"/>
      <c r="CV19" s="23"/>
      <c r="CW19" s="23"/>
      <c r="CX19" s="23"/>
      <c r="CY19" s="21"/>
    </row>
    <row r="20" spans="1:103" ht="15.75">
      <c r="A20" s="63">
        <v>9</v>
      </c>
      <c r="B20" s="64" t="s">
        <v>46</v>
      </c>
      <c r="C20" s="95">
        <f>1/0.907</f>
        <v>1.1025358324145533</v>
      </c>
      <c r="D20" s="96">
        <v>129.79</v>
      </c>
      <c r="E20" s="96">
        <f>D$34/C20</f>
        <v>129.79170000000002</v>
      </c>
      <c r="F20" s="51"/>
      <c r="G20" s="51">
        <f>1/0.9</f>
        <v>1.1111111111111112</v>
      </c>
      <c r="H20" s="51">
        <v>129.12</v>
      </c>
      <c r="I20" s="65">
        <f>H$34/G20</f>
        <v>129.123</v>
      </c>
      <c r="J20" s="51"/>
      <c r="K20" s="51">
        <f>1/0.8891</f>
        <v>1.1247328759419637</v>
      </c>
      <c r="L20" s="51">
        <v>128.58</v>
      </c>
      <c r="M20" s="65">
        <f>L$34/K20</f>
        <v>128.58164200000002</v>
      </c>
      <c r="N20" s="51"/>
      <c r="O20" s="51">
        <f>1/0.8887</f>
        <v>1.1252391133115787</v>
      </c>
      <c r="P20" s="51">
        <v>129.08</v>
      </c>
      <c r="Q20" s="65">
        <f>P$34/O20</f>
        <v>129.083675</v>
      </c>
      <c r="R20" s="51"/>
      <c r="S20" s="51">
        <f>1/0.8946</f>
        <v>1.11781801922647</v>
      </c>
      <c r="T20" s="51">
        <v>129.34</v>
      </c>
      <c r="U20" s="65">
        <f>T$34/S20</f>
        <v>129.341268</v>
      </c>
      <c r="V20" s="51"/>
      <c r="W20" s="51">
        <f>1/0.9012</f>
        <v>1.1096316023080337</v>
      </c>
      <c r="X20" s="51">
        <v>129.77</v>
      </c>
      <c r="Y20" s="65">
        <f>X$34/W20</f>
        <v>129.7728</v>
      </c>
      <c r="Z20" s="51"/>
      <c r="AA20" s="51">
        <f>1/0.8985</f>
        <v>1.1129660545353368</v>
      </c>
      <c r="AB20" s="51">
        <v>129.39</v>
      </c>
      <c r="AC20" s="65">
        <f>AB$34/AA20</f>
        <v>129.39298499999998</v>
      </c>
      <c r="AD20" s="51"/>
      <c r="AE20" s="51">
        <f>1/0.9069</f>
        <v>1.1026574043444701</v>
      </c>
      <c r="AF20" s="51">
        <v>130.08</v>
      </c>
      <c r="AG20" s="65">
        <f>AF$34/AE20</f>
        <v>130.07666700000001</v>
      </c>
      <c r="AH20" s="51"/>
      <c r="AI20" s="51">
        <f>1/0.9061</f>
        <v>1.1036309458117206</v>
      </c>
      <c r="AJ20" s="51">
        <v>129.99</v>
      </c>
      <c r="AK20" s="65">
        <f>AJ$34/AI20</f>
        <v>129.998167</v>
      </c>
      <c r="AL20" s="51"/>
      <c r="AM20" s="51">
        <f>1/0.9186</f>
        <v>1.0886131069018072</v>
      </c>
      <c r="AN20" s="51">
        <v>130.73</v>
      </c>
      <c r="AO20" s="65">
        <f>AN$34/AM20</f>
        <v>130.72596599999997</v>
      </c>
      <c r="AP20" s="51"/>
      <c r="AQ20" s="51">
        <f>1/0.9196</f>
        <v>1.087429317094389</v>
      </c>
      <c r="AR20" s="51">
        <v>129.99</v>
      </c>
      <c r="AS20" s="65">
        <f>AR$34/AQ20</f>
        <v>129.98546</v>
      </c>
      <c r="AT20" s="51"/>
      <c r="AU20" s="51">
        <f>1/0.921</f>
        <v>1.0857763300760044</v>
      </c>
      <c r="AV20" s="51">
        <v>130.5</v>
      </c>
      <c r="AW20" s="65">
        <f>AV$34/AU20</f>
        <v>130.49649</v>
      </c>
      <c r="AX20" s="51"/>
      <c r="AY20" s="51">
        <f>1/0.9228</f>
        <v>1.083658430862592</v>
      </c>
      <c r="AZ20" s="51">
        <v>130.55</v>
      </c>
      <c r="BA20" s="65">
        <f>AZ$34/AY20</f>
        <v>130.55774399999999</v>
      </c>
      <c r="BB20" s="51"/>
      <c r="BC20" s="51">
        <f>1/0.9249</f>
        <v>1.0811979673478214</v>
      </c>
      <c r="BD20" s="51">
        <v>130.75</v>
      </c>
      <c r="BE20" s="65">
        <f>BD$34/BC20</f>
        <v>130.753113</v>
      </c>
      <c r="BF20" s="51"/>
      <c r="BG20" s="51">
        <f>1/0.9182</f>
        <v>1.0890873448050533</v>
      </c>
      <c r="BH20" s="51">
        <v>130.05</v>
      </c>
      <c r="BI20" s="65">
        <f>BH$34/BG20</f>
        <v>130.044666</v>
      </c>
      <c r="BJ20" s="51"/>
      <c r="BK20" s="51">
        <f>1/0.9152</f>
        <v>1.0926573426573427</v>
      </c>
      <c r="BL20" s="51">
        <v>129.74</v>
      </c>
      <c r="BM20" s="65">
        <f>BL$34/BK20</f>
        <v>129.73875199999998</v>
      </c>
      <c r="BN20" s="51"/>
      <c r="BO20" s="51">
        <f>1/0.9189</f>
        <v>1.0882576994232234</v>
      </c>
      <c r="BP20" s="51">
        <v>130.01</v>
      </c>
      <c r="BQ20" s="65">
        <f>BP$34/BO20</f>
        <v>130.00597199999999</v>
      </c>
      <c r="BR20" s="51"/>
      <c r="BS20" s="51">
        <f>1/0.9204</f>
        <v>1.086484137331595</v>
      </c>
      <c r="BT20" s="51">
        <v>129.97</v>
      </c>
      <c r="BU20" s="65">
        <f>BT$34/BS20</f>
        <v>129.969684</v>
      </c>
      <c r="BV20" s="51"/>
      <c r="BW20" s="51">
        <f>1/0.9178</f>
        <v>1.0895619960775769</v>
      </c>
      <c r="BX20" s="51">
        <v>129.93</v>
      </c>
      <c r="BY20" s="65">
        <f>BX$34/BW20</f>
        <v>129.923768</v>
      </c>
      <c r="BZ20" s="51"/>
      <c r="CA20" s="51">
        <f>1/0.9134</f>
        <v>1.0948105977665863</v>
      </c>
      <c r="CB20" s="51">
        <v>129.38</v>
      </c>
      <c r="CC20" s="65">
        <f>CB$34/CA20</f>
        <v>129.38311000000002</v>
      </c>
      <c r="CD20" s="51"/>
      <c r="CE20" s="51">
        <f t="shared" si="0"/>
        <v>1.0988928614674616</v>
      </c>
      <c r="CF20" s="51">
        <f t="shared" si="1"/>
        <v>129.837</v>
      </c>
      <c r="CG20" s="51">
        <f t="shared" si="1"/>
        <v>129.83733145000002</v>
      </c>
      <c r="CH20" s="51"/>
      <c r="CI20" s="56"/>
      <c r="CJ20" s="23"/>
      <c r="CK20" s="23"/>
      <c r="CL20" s="23"/>
      <c r="CM20" s="23"/>
      <c r="CN20" s="42"/>
      <c r="CO20" s="42"/>
      <c r="CP20" s="23"/>
      <c r="CQ20" s="23"/>
      <c r="CR20" s="23"/>
      <c r="CS20" s="23"/>
      <c r="CT20" s="23"/>
      <c r="CU20" s="23"/>
      <c r="CV20" s="23"/>
      <c r="CW20" s="23"/>
      <c r="CX20" s="23"/>
      <c r="CY20" s="21"/>
    </row>
    <row r="21" spans="1:103" ht="15.75">
      <c r="A21" s="63">
        <v>10</v>
      </c>
      <c r="B21" s="64" t="s">
        <v>47</v>
      </c>
      <c r="C21" s="95">
        <v>273.4</v>
      </c>
      <c r="D21" s="96">
        <v>39122.88</v>
      </c>
      <c r="E21" s="96">
        <f>D$34*C21</f>
        <v>39123.53999999999</v>
      </c>
      <c r="F21" s="51"/>
      <c r="G21" s="51">
        <v>272.6</v>
      </c>
      <c r="H21" s="51">
        <v>39108.67</v>
      </c>
      <c r="I21" s="65">
        <f>H$34*G21</f>
        <v>39109.922000000006</v>
      </c>
      <c r="J21" s="51"/>
      <c r="K21" s="51">
        <v>271.6</v>
      </c>
      <c r="L21" s="51">
        <v>39277.59</v>
      </c>
      <c r="M21" s="65">
        <f>L$34*K21</f>
        <v>39278.792</v>
      </c>
      <c r="N21" s="51"/>
      <c r="O21" s="51">
        <v>271.7</v>
      </c>
      <c r="P21" s="51">
        <v>39463.32</v>
      </c>
      <c r="Q21" s="65">
        <f>P$34*O21</f>
        <v>39464.424999999996</v>
      </c>
      <c r="R21" s="51"/>
      <c r="S21" s="51">
        <v>272.9</v>
      </c>
      <c r="T21" s="51">
        <v>39456.21</v>
      </c>
      <c r="U21" s="65">
        <f>T$34*S21</f>
        <v>39455.882</v>
      </c>
      <c r="V21" s="51"/>
      <c r="W21" s="51">
        <v>271.2</v>
      </c>
      <c r="X21" s="51">
        <v>39051.98</v>
      </c>
      <c r="Y21" s="65">
        <f>X$34*W21</f>
        <v>39052.799999999996</v>
      </c>
      <c r="Z21" s="51"/>
      <c r="AA21" s="51">
        <v>278</v>
      </c>
      <c r="AB21" s="51">
        <v>40034.21</v>
      </c>
      <c r="AC21" s="65">
        <f>AB$34*AA21</f>
        <v>40034.78</v>
      </c>
      <c r="AD21" s="51"/>
      <c r="AE21" s="51">
        <v>283.5</v>
      </c>
      <c r="AF21" s="51">
        <v>40662.39</v>
      </c>
      <c r="AG21" s="65">
        <f>AF$34*AE21</f>
        <v>40662.405</v>
      </c>
      <c r="AH21" s="51"/>
      <c r="AI21" s="51">
        <v>280</v>
      </c>
      <c r="AJ21" s="51">
        <v>40170.44</v>
      </c>
      <c r="AK21" s="65">
        <f>AJ$34*AI21</f>
        <v>40171.6</v>
      </c>
      <c r="AL21" s="51"/>
      <c r="AM21" s="51">
        <v>288</v>
      </c>
      <c r="AN21" s="51">
        <v>40986.23</v>
      </c>
      <c r="AO21" s="65">
        <f>AN$34*AM21</f>
        <v>40985.28</v>
      </c>
      <c r="AP21" s="51"/>
      <c r="AQ21" s="51">
        <v>291</v>
      </c>
      <c r="AR21" s="51">
        <v>41132.92</v>
      </c>
      <c r="AS21" s="65">
        <f>AR$34*AQ21</f>
        <v>41132.85</v>
      </c>
      <c r="AT21" s="51"/>
      <c r="AU21" s="51">
        <v>289</v>
      </c>
      <c r="AV21" s="51">
        <v>40949.18</v>
      </c>
      <c r="AW21" s="65">
        <f>AV$34*AU21</f>
        <v>40948.409999999996</v>
      </c>
      <c r="AX21" s="51"/>
      <c r="AY21" s="51">
        <v>288.25</v>
      </c>
      <c r="AZ21" s="51">
        <v>40780.68</v>
      </c>
      <c r="BA21" s="65">
        <f>AZ$34*AY21</f>
        <v>40781.61</v>
      </c>
      <c r="BB21" s="51"/>
      <c r="BC21" s="51">
        <v>288.5</v>
      </c>
      <c r="BD21" s="51">
        <v>40784.68</v>
      </c>
      <c r="BE21" s="65">
        <f>BD$34*BC21</f>
        <v>40785.245</v>
      </c>
      <c r="BF21" s="51"/>
      <c r="BG21" s="51">
        <v>289</v>
      </c>
      <c r="BH21" s="51">
        <v>40931.48</v>
      </c>
      <c r="BI21" s="65">
        <f>BH$34*BG21</f>
        <v>40931.07</v>
      </c>
      <c r="BJ21" s="51"/>
      <c r="BK21" s="51">
        <v>287</v>
      </c>
      <c r="BL21" s="51">
        <v>40684.87</v>
      </c>
      <c r="BM21" s="65">
        <f>BL$34*BK21</f>
        <v>40685.119999999995</v>
      </c>
      <c r="BN21" s="51"/>
      <c r="BO21" s="51">
        <v>288</v>
      </c>
      <c r="BP21" s="51">
        <v>40746.54</v>
      </c>
      <c r="BQ21" s="65">
        <f>BP$34*BO21</f>
        <v>40746.24</v>
      </c>
      <c r="BR21" s="51"/>
      <c r="BS21" s="51">
        <v>291.4</v>
      </c>
      <c r="BT21" s="51">
        <v>41148.31</v>
      </c>
      <c r="BU21" s="65">
        <f>BT$34*BS21</f>
        <v>41148.594</v>
      </c>
      <c r="BV21" s="51"/>
      <c r="BW21" s="51">
        <v>289.9</v>
      </c>
      <c r="BX21" s="51">
        <v>41038.65</v>
      </c>
      <c r="BY21" s="65">
        <f>BX$34*BW21</f>
        <v>41038.244</v>
      </c>
      <c r="BZ21" s="51"/>
      <c r="CA21" s="51">
        <v>291.85</v>
      </c>
      <c r="CB21" s="51">
        <v>41339.44</v>
      </c>
      <c r="CC21" s="65">
        <f>CB$34*CA21</f>
        <v>41340.552500000005</v>
      </c>
      <c r="CD21" s="51"/>
      <c r="CE21" s="51">
        <f t="shared" si="0"/>
        <v>282.84</v>
      </c>
      <c r="CF21" s="51">
        <f t="shared" si="1"/>
        <v>40343.533500000005</v>
      </c>
      <c r="CG21" s="51">
        <f t="shared" si="1"/>
        <v>40343.86807499999</v>
      </c>
      <c r="CH21" s="51"/>
      <c r="CI21" s="56"/>
      <c r="CJ21" s="23"/>
      <c r="CK21" s="23"/>
      <c r="CL21" s="23"/>
      <c r="CM21" s="23"/>
      <c r="CN21" s="42"/>
      <c r="CO21" s="42"/>
      <c r="CP21" s="23"/>
      <c r="CQ21" s="23"/>
      <c r="CR21" s="23"/>
      <c r="CS21" s="23"/>
      <c r="CT21" s="23"/>
      <c r="CU21" s="23"/>
      <c r="CV21" s="23"/>
      <c r="CW21" s="23"/>
      <c r="CX21" s="23"/>
      <c r="CY21" s="21"/>
    </row>
    <row r="22" spans="1:103" ht="15.75">
      <c r="A22" s="63">
        <v>11</v>
      </c>
      <c r="B22" s="70" t="s">
        <v>48</v>
      </c>
      <c r="C22" s="95">
        <v>4.19</v>
      </c>
      <c r="D22" s="96">
        <v>599.58</v>
      </c>
      <c r="E22" s="96">
        <f>D$34*C22</f>
        <v>599.589</v>
      </c>
      <c r="F22" s="51"/>
      <c r="G22" s="51">
        <v>4.18</v>
      </c>
      <c r="H22" s="51">
        <v>599.69</v>
      </c>
      <c r="I22" s="65">
        <f>H$34*G22</f>
        <v>599.7045999999999</v>
      </c>
      <c r="J22" s="51"/>
      <c r="K22" s="51">
        <v>4.18</v>
      </c>
      <c r="L22" s="51">
        <v>604.49</v>
      </c>
      <c r="M22" s="65">
        <f>L$34*K22</f>
        <v>604.5115999999999</v>
      </c>
      <c r="N22" s="51"/>
      <c r="O22" s="51">
        <v>4.18</v>
      </c>
      <c r="P22" s="51">
        <v>607.13</v>
      </c>
      <c r="Q22" s="65">
        <f>P$34*O22</f>
        <v>607.145</v>
      </c>
      <c r="R22" s="51"/>
      <c r="S22" s="51">
        <v>4.18</v>
      </c>
      <c r="T22" s="51">
        <v>604.35</v>
      </c>
      <c r="U22" s="65">
        <f>T$34*S22</f>
        <v>604.3444000000001</v>
      </c>
      <c r="V22" s="51"/>
      <c r="W22" s="51">
        <v>4.17</v>
      </c>
      <c r="X22" s="51">
        <v>600.47</v>
      </c>
      <c r="Y22" s="65">
        <f>X$34*W22</f>
        <v>600.48</v>
      </c>
      <c r="Z22" s="51"/>
      <c r="AA22" s="51">
        <v>4.2</v>
      </c>
      <c r="AB22" s="51">
        <v>604.83</v>
      </c>
      <c r="AC22" s="65">
        <f>AB$34*AA22</f>
        <v>604.842</v>
      </c>
      <c r="AD22" s="51"/>
      <c r="AE22" s="51">
        <v>4.22</v>
      </c>
      <c r="AF22" s="51">
        <v>605.27</v>
      </c>
      <c r="AG22" s="65">
        <f>AF$34*AE22</f>
        <v>605.2746</v>
      </c>
      <c r="AH22" s="51"/>
      <c r="AI22" s="51">
        <v>4.21</v>
      </c>
      <c r="AJ22" s="51">
        <v>603.99</v>
      </c>
      <c r="AK22" s="65">
        <f>AJ$34*AI22</f>
        <v>604.0087</v>
      </c>
      <c r="AL22" s="51"/>
      <c r="AM22" s="51">
        <v>4.27</v>
      </c>
      <c r="AN22" s="51">
        <v>607.68</v>
      </c>
      <c r="AO22" s="65">
        <f>AN$34*AM22</f>
        <v>607.6637</v>
      </c>
      <c r="AP22" s="51"/>
      <c r="AQ22" s="51">
        <v>4.3</v>
      </c>
      <c r="AR22" s="51">
        <v>607.81</v>
      </c>
      <c r="AS22" s="65">
        <f>AR$34*AQ22</f>
        <v>607.805</v>
      </c>
      <c r="AT22" s="51"/>
      <c r="AU22" s="51">
        <v>4.37</v>
      </c>
      <c r="AV22" s="51">
        <v>619.2</v>
      </c>
      <c r="AW22" s="65">
        <f>AV$34*AU22</f>
        <v>619.1853</v>
      </c>
      <c r="AX22" s="51"/>
      <c r="AY22" s="51">
        <v>4.36</v>
      </c>
      <c r="AZ22" s="51">
        <v>616.84</v>
      </c>
      <c r="BA22" s="65">
        <f>AZ$34*AY22</f>
        <v>616.8528</v>
      </c>
      <c r="BB22" s="51"/>
      <c r="BC22" s="51">
        <v>4.51</v>
      </c>
      <c r="BD22" s="51">
        <v>637.57</v>
      </c>
      <c r="BE22" s="65">
        <f>BD$34*BC22</f>
        <v>637.5787</v>
      </c>
      <c r="BF22" s="51"/>
      <c r="BG22" s="51">
        <v>4.49</v>
      </c>
      <c r="BH22" s="51">
        <v>635.93</v>
      </c>
      <c r="BI22" s="65">
        <f>BH$34*BG22</f>
        <v>635.9187000000001</v>
      </c>
      <c r="BJ22" s="51"/>
      <c r="BK22" s="51">
        <v>4.49</v>
      </c>
      <c r="BL22" s="51">
        <v>636.5</v>
      </c>
      <c r="BM22" s="65">
        <f>BL$34*BK22</f>
        <v>636.5024</v>
      </c>
      <c r="BN22" s="51"/>
      <c r="BO22" s="51">
        <v>4.51</v>
      </c>
      <c r="BP22" s="51">
        <v>638.08</v>
      </c>
      <c r="BQ22" s="65">
        <f>BP$34*BO22</f>
        <v>638.0747999999999</v>
      </c>
      <c r="BR22" s="51"/>
      <c r="BS22" s="51">
        <v>4.55</v>
      </c>
      <c r="BT22" s="51">
        <v>642.5</v>
      </c>
      <c r="BU22" s="65">
        <f>BT$34*BS22</f>
        <v>642.5055</v>
      </c>
      <c r="BV22" s="51"/>
      <c r="BW22" s="51">
        <v>4.58</v>
      </c>
      <c r="BX22" s="51">
        <v>648.35</v>
      </c>
      <c r="BY22" s="65">
        <f>BX$34*BW22</f>
        <v>648.3448</v>
      </c>
      <c r="BZ22" s="51"/>
      <c r="CA22" s="51">
        <v>4.57</v>
      </c>
      <c r="CB22" s="51">
        <v>647.32</v>
      </c>
      <c r="CC22" s="65">
        <f>CB$34*CA22</f>
        <v>647.3405</v>
      </c>
      <c r="CD22" s="51"/>
      <c r="CE22" s="51">
        <f t="shared" si="0"/>
        <v>4.335499999999999</v>
      </c>
      <c r="CF22" s="51">
        <f t="shared" si="1"/>
        <v>618.379</v>
      </c>
      <c r="CG22" s="51">
        <f t="shared" si="1"/>
        <v>618.383605</v>
      </c>
      <c r="CH22" s="51"/>
      <c r="CI22" s="56"/>
      <c r="CJ22" s="23"/>
      <c r="CK22" s="23"/>
      <c r="CL22" s="23"/>
      <c r="CM22" s="23"/>
      <c r="CN22" s="42"/>
      <c r="CO22" s="42"/>
      <c r="CP22" s="23"/>
      <c r="CQ22" s="23"/>
      <c r="CR22" s="23"/>
      <c r="CS22" s="23"/>
      <c r="CT22" s="23"/>
      <c r="CU22" s="23"/>
      <c r="CV22" s="23"/>
      <c r="CW22" s="23"/>
      <c r="CX22" s="23"/>
      <c r="CY22" s="21"/>
    </row>
    <row r="23" spans="1:103" ht="15.75">
      <c r="A23" s="63">
        <v>12</v>
      </c>
      <c r="B23" s="64" t="s">
        <v>49</v>
      </c>
      <c r="C23" s="95">
        <f>1/0.5265</f>
        <v>1.8993352326685662</v>
      </c>
      <c r="D23" s="96">
        <v>75.34</v>
      </c>
      <c r="E23" s="96">
        <f>D$34/C23</f>
        <v>75.34214999999999</v>
      </c>
      <c r="F23" s="51"/>
      <c r="G23" s="51">
        <f>1/0.5246</f>
        <v>1.9062142584826536</v>
      </c>
      <c r="H23" s="51">
        <v>75.26</v>
      </c>
      <c r="I23" s="65">
        <f>H$34/G23</f>
        <v>75.26436199999999</v>
      </c>
      <c r="J23" s="51"/>
      <c r="K23" s="51">
        <f>1/0.5205</f>
        <v>1.921229586935639</v>
      </c>
      <c r="L23" s="51">
        <v>75.27</v>
      </c>
      <c r="M23" s="65">
        <f>L$34/K23</f>
        <v>75.27471</v>
      </c>
      <c r="N23" s="51"/>
      <c r="O23" s="51">
        <f>1/0.5212</f>
        <v>1.918649270913277</v>
      </c>
      <c r="P23" s="51">
        <v>75.7</v>
      </c>
      <c r="Q23" s="65">
        <f>P$34/O23</f>
        <v>75.7043</v>
      </c>
      <c r="R23" s="51"/>
      <c r="S23" s="51">
        <f>1/0.5193</f>
        <v>1.9256691700365878</v>
      </c>
      <c r="T23" s="51">
        <v>75.08</v>
      </c>
      <c r="U23" s="65">
        <f>T$34/S23</f>
        <v>75.080394</v>
      </c>
      <c r="V23" s="51"/>
      <c r="W23" s="51">
        <f>1/0.5126</f>
        <v>1.9508388607101055</v>
      </c>
      <c r="X23" s="51">
        <v>73.81</v>
      </c>
      <c r="Y23" s="65">
        <f>X$34/W23</f>
        <v>73.81439999999999</v>
      </c>
      <c r="Z23" s="51"/>
      <c r="AA23" s="51">
        <f>1/0.5153</f>
        <v>1.9406171162429653</v>
      </c>
      <c r="AB23" s="51">
        <v>74.21</v>
      </c>
      <c r="AC23" s="65">
        <f>AB$34/AA23</f>
        <v>74.20835299999999</v>
      </c>
      <c r="AD23" s="51"/>
      <c r="AE23" s="51">
        <f>1/0.5165</f>
        <v>1.9361084220716362</v>
      </c>
      <c r="AF23" s="51">
        <v>74.08</v>
      </c>
      <c r="AG23" s="65">
        <f>AF$34/AE23</f>
        <v>74.081595</v>
      </c>
      <c r="AH23" s="51"/>
      <c r="AI23" s="51">
        <f>1/0.5156</f>
        <v>1.9394879751745542</v>
      </c>
      <c r="AJ23" s="51">
        <v>73.97</v>
      </c>
      <c r="AK23" s="65">
        <f>AJ$34/AI23</f>
        <v>73.97313199999999</v>
      </c>
      <c r="AL23" s="51"/>
      <c r="AM23" s="51">
        <f>1/0.5168</f>
        <v>1.934984520123839</v>
      </c>
      <c r="AN23" s="51">
        <v>73.55</v>
      </c>
      <c r="AO23" s="65">
        <f>AN$34/AM23</f>
        <v>73.54580800000001</v>
      </c>
      <c r="AP23" s="51"/>
      <c r="AQ23" s="51">
        <f>1/0.5032</f>
        <v>1.987281399046105</v>
      </c>
      <c r="AR23" s="51">
        <v>71.13</v>
      </c>
      <c r="AS23" s="65">
        <f>AR$34/AQ23</f>
        <v>71.12732</v>
      </c>
      <c r="AT23" s="51"/>
      <c r="AU23" s="51">
        <f>1/0.4947</f>
        <v>2.0214271275520517</v>
      </c>
      <c r="AV23" s="51">
        <v>70.1</v>
      </c>
      <c r="AW23" s="65">
        <f>AV$34/AU23</f>
        <v>70.094043</v>
      </c>
      <c r="AX23" s="51"/>
      <c r="AY23" s="51">
        <f>1/0.4981</f>
        <v>2.007628990162618</v>
      </c>
      <c r="AZ23" s="51">
        <v>70.46</v>
      </c>
      <c r="BA23" s="65">
        <f>AZ$34/AY23</f>
        <v>70.47118799999998</v>
      </c>
      <c r="BB23" s="51"/>
      <c r="BC23" s="51">
        <f>1/0.4933</f>
        <v>2.027163997567403</v>
      </c>
      <c r="BD23" s="51">
        <v>69.74</v>
      </c>
      <c r="BE23" s="65">
        <f>BD$34/BC23</f>
        <v>69.737821</v>
      </c>
      <c r="BF23" s="51"/>
      <c r="BG23" s="51">
        <f>1/0.4896</f>
        <v>2.0424836601307192</v>
      </c>
      <c r="BH23" s="51">
        <v>69.34</v>
      </c>
      <c r="BI23" s="65">
        <f>BH$34/BG23</f>
        <v>69.34204799999999</v>
      </c>
      <c r="BJ23" s="51"/>
      <c r="BK23" s="51">
        <f>1/0.4875</f>
        <v>2.0512820512820515</v>
      </c>
      <c r="BL23" s="51">
        <v>69.11</v>
      </c>
      <c r="BM23" s="65">
        <f>BL$34/BK23</f>
        <v>69.10799999999999</v>
      </c>
      <c r="BN23" s="51"/>
      <c r="BO23" s="51">
        <f>1/0.4932</f>
        <v>2.02757502027575</v>
      </c>
      <c r="BP23" s="51">
        <v>69.78</v>
      </c>
      <c r="BQ23" s="65">
        <f>BP$34/BO23</f>
        <v>69.777936</v>
      </c>
      <c r="BR23" s="51"/>
      <c r="BS23" s="51">
        <f>1/0.4899</f>
        <v>2.0412329046744233</v>
      </c>
      <c r="BT23" s="51">
        <v>69.18</v>
      </c>
      <c r="BU23" s="65">
        <f>BT$34/BS23</f>
        <v>69.178779</v>
      </c>
      <c r="BV23" s="51"/>
      <c r="BW23" s="51">
        <f>1/0.486</f>
        <v>2.05761316872428</v>
      </c>
      <c r="BX23" s="51">
        <v>68.8</v>
      </c>
      <c r="BY23" s="65">
        <f>BX$34/BW23</f>
        <v>68.79816</v>
      </c>
      <c r="BZ23" s="51"/>
      <c r="CA23" s="51">
        <f>1/0.4941</f>
        <v>2.0238818053025702</v>
      </c>
      <c r="CB23" s="51">
        <v>69.99</v>
      </c>
      <c r="CC23" s="65">
        <f>CB$34/CA23</f>
        <v>69.989265</v>
      </c>
      <c r="CD23" s="51"/>
      <c r="CE23" s="51">
        <f t="shared" si="0"/>
        <v>1.9780352269038897</v>
      </c>
      <c r="CF23" s="51">
        <f t="shared" si="1"/>
        <v>72.195</v>
      </c>
      <c r="CG23" s="51">
        <f t="shared" si="1"/>
        <v>72.19568819999998</v>
      </c>
      <c r="CH23" s="51"/>
      <c r="CI23" s="56"/>
      <c r="CJ23" s="23"/>
      <c r="CK23" s="23"/>
      <c r="CL23" s="23"/>
      <c r="CM23" s="23"/>
      <c r="CN23" s="42"/>
      <c r="CO23" s="42"/>
      <c r="CP23" s="23"/>
      <c r="CQ23" s="23"/>
      <c r="CR23" s="23"/>
      <c r="CS23" s="23"/>
      <c r="CT23" s="23"/>
      <c r="CU23" s="23"/>
      <c r="CV23" s="23"/>
      <c r="CW23" s="23"/>
      <c r="CX23" s="23"/>
      <c r="CY23" s="21"/>
    </row>
    <row r="24" spans="1:103" ht="15.75">
      <c r="A24" s="63">
        <v>13</v>
      </c>
      <c r="B24" s="64" t="s">
        <v>50</v>
      </c>
      <c r="C24" s="95">
        <v>1.551</v>
      </c>
      <c r="D24" s="96">
        <v>92.26</v>
      </c>
      <c r="E24" s="96">
        <f>D$34/C24</f>
        <v>92.26305609284333</v>
      </c>
      <c r="F24" s="51"/>
      <c r="G24" s="51">
        <v>1.5476</v>
      </c>
      <c r="H24" s="51">
        <v>92.7</v>
      </c>
      <c r="I24" s="65">
        <f>H$34/G24</f>
        <v>92.70483329025588</v>
      </c>
      <c r="J24" s="51"/>
      <c r="K24" s="51">
        <v>1.5593</v>
      </c>
      <c r="L24" s="51">
        <v>92.74</v>
      </c>
      <c r="M24" s="65">
        <f>L$34/K24</f>
        <v>92.74674533444495</v>
      </c>
      <c r="N24" s="51"/>
      <c r="O24" s="51">
        <v>1.5585</v>
      </c>
      <c r="P24" s="51">
        <v>93.2</v>
      </c>
      <c r="Q24" s="65">
        <f>P$34/O24</f>
        <v>93.19858838626885</v>
      </c>
      <c r="R24" s="51"/>
      <c r="S24" s="51">
        <v>1.5575</v>
      </c>
      <c r="T24" s="51">
        <v>92.83</v>
      </c>
      <c r="U24" s="65">
        <f>T$34/S24</f>
        <v>92.82825040128411</v>
      </c>
      <c r="V24" s="51"/>
      <c r="W24" s="51">
        <v>1.5645</v>
      </c>
      <c r="X24" s="51">
        <v>92.04</v>
      </c>
      <c r="Y24" s="65">
        <f>X$34/W24</f>
        <v>92.04218600191754</v>
      </c>
      <c r="Z24" s="51"/>
      <c r="AA24" s="51">
        <v>1.5675</v>
      </c>
      <c r="AB24" s="51">
        <v>91.87</v>
      </c>
      <c r="AC24" s="65">
        <f>AB$34/AA24</f>
        <v>91.87240829346092</v>
      </c>
      <c r="AD24" s="51"/>
      <c r="AE24" s="51">
        <v>1.5613</v>
      </c>
      <c r="AF24" s="51">
        <v>91.87</v>
      </c>
      <c r="AG24" s="65">
        <f>AF$34/AE24</f>
        <v>91.86575289822585</v>
      </c>
      <c r="AH24" s="51"/>
      <c r="AI24" s="51">
        <v>1.5636</v>
      </c>
      <c r="AJ24" s="51">
        <v>91.75</v>
      </c>
      <c r="AK24" s="65">
        <f>AJ$34/AI24</f>
        <v>91.75620363264261</v>
      </c>
      <c r="AL24" s="51"/>
      <c r="AM24" s="51">
        <v>1.5647</v>
      </c>
      <c r="AN24" s="51">
        <v>90.95</v>
      </c>
      <c r="AO24" s="65">
        <f>AN$34/AM24</f>
        <v>90.95034191857864</v>
      </c>
      <c r="AP24" s="51"/>
      <c r="AQ24" s="51">
        <v>1.5665</v>
      </c>
      <c r="AR24" s="51">
        <v>90.23</v>
      </c>
      <c r="AS24" s="65">
        <f>AR$34/AQ24</f>
        <v>90.2330035110118</v>
      </c>
      <c r="AT24" s="51"/>
      <c r="AU24" s="51">
        <v>1.5708</v>
      </c>
      <c r="AV24" s="51">
        <v>90.2</v>
      </c>
      <c r="AW24" s="65">
        <f>AV$34/AU24</f>
        <v>90.20244461420933</v>
      </c>
      <c r="AX24" s="51"/>
      <c r="AY24" s="51">
        <v>1.5714</v>
      </c>
      <c r="AZ24" s="51">
        <v>90.04</v>
      </c>
      <c r="BA24" s="65">
        <f>AZ$34/AY24</f>
        <v>90.03436426116838</v>
      </c>
      <c r="BB24" s="51"/>
      <c r="BC24" s="51">
        <v>1.5693</v>
      </c>
      <c r="BD24" s="51">
        <v>90.08</v>
      </c>
      <c r="BE24" s="65">
        <f>BD$34/BC24</f>
        <v>90.0847511629389</v>
      </c>
      <c r="BF24" s="51"/>
      <c r="BG24" s="51">
        <v>1.5658</v>
      </c>
      <c r="BH24" s="51">
        <v>90.45</v>
      </c>
      <c r="BI24" s="65">
        <f>BH$34/BG24</f>
        <v>90.45216502746199</v>
      </c>
      <c r="BJ24" s="51"/>
      <c r="BK24" s="51">
        <v>1.5688</v>
      </c>
      <c r="BL24" s="51">
        <v>90.36</v>
      </c>
      <c r="BM24" s="65">
        <f>BL$34/BK24</f>
        <v>90.36206017338093</v>
      </c>
      <c r="BN24" s="51"/>
      <c r="BO24" s="51">
        <v>1.5661</v>
      </c>
      <c r="BP24" s="51">
        <v>90.34</v>
      </c>
      <c r="BQ24" s="65">
        <f>BP$34/BO24</f>
        <v>90.3390588085052</v>
      </c>
      <c r="BR24" s="51"/>
      <c r="BS24" s="51">
        <v>1.5724</v>
      </c>
      <c r="BT24" s="51">
        <v>89.8</v>
      </c>
      <c r="BU24" s="65">
        <f>BT$34/BS24</f>
        <v>89.80539302976342</v>
      </c>
      <c r="BV24" s="51"/>
      <c r="BW24" s="51">
        <v>1.5769</v>
      </c>
      <c r="BX24" s="51">
        <v>89.77</v>
      </c>
      <c r="BY24" s="65">
        <f>BX$34/BW24</f>
        <v>89.77106982053397</v>
      </c>
      <c r="BZ24" s="51"/>
      <c r="CA24" s="51">
        <v>1.5772</v>
      </c>
      <c r="CB24" s="51">
        <v>89.81</v>
      </c>
      <c r="CC24" s="65">
        <f>CB$34/CA24</f>
        <v>89.8110575703779</v>
      </c>
      <c r="CD24" s="51"/>
      <c r="CE24" s="51">
        <f t="shared" si="0"/>
        <v>1.5650349999999995</v>
      </c>
      <c r="CF24" s="51">
        <f t="shared" si="1"/>
        <v>91.16449999999999</v>
      </c>
      <c r="CG24" s="51">
        <f t="shared" si="1"/>
        <v>91.16618671146371</v>
      </c>
      <c r="CH24" s="51"/>
      <c r="CI24" s="56"/>
      <c r="CJ24" s="23"/>
      <c r="CK24" s="23"/>
      <c r="CL24" s="23"/>
      <c r="CM24" s="23"/>
      <c r="CN24" s="42"/>
      <c r="CO24" s="42"/>
      <c r="CP24" s="23"/>
      <c r="CQ24" s="23"/>
      <c r="CR24" s="23"/>
      <c r="CS24" s="23"/>
      <c r="CT24" s="23"/>
      <c r="CU24" s="23"/>
      <c r="CV24" s="23"/>
      <c r="CW24" s="23"/>
      <c r="CX24" s="23"/>
      <c r="CY24" s="21"/>
    </row>
    <row r="25" spans="1:103" ht="15.75">
      <c r="A25" s="63">
        <v>14</v>
      </c>
      <c r="B25" s="64" t="s">
        <v>51</v>
      </c>
      <c r="C25" s="95">
        <v>15.1712</v>
      </c>
      <c r="D25" s="96">
        <v>9.43</v>
      </c>
      <c r="E25" s="96">
        <f>D$34/C25</f>
        <v>9.432345496730647</v>
      </c>
      <c r="F25" s="51"/>
      <c r="G25" s="51">
        <v>15.2892</v>
      </c>
      <c r="H25" s="51">
        <v>9.38</v>
      </c>
      <c r="I25" s="65">
        <f>H$34/G25</f>
        <v>9.383748005127803</v>
      </c>
      <c r="J25" s="51"/>
      <c r="K25" s="51">
        <v>15.4767</v>
      </c>
      <c r="L25" s="51">
        <v>9.34</v>
      </c>
      <c r="M25" s="65">
        <f>L$34/K25</f>
        <v>9.344369277688397</v>
      </c>
      <c r="N25" s="51"/>
      <c r="O25" s="51">
        <v>15.4836</v>
      </c>
      <c r="P25" s="51">
        <v>9.38</v>
      </c>
      <c r="Q25" s="65">
        <f>P$34/O25</f>
        <v>9.380893332299982</v>
      </c>
      <c r="R25" s="51"/>
      <c r="S25" s="51">
        <v>15.3815</v>
      </c>
      <c r="T25" s="51">
        <v>9.4</v>
      </c>
      <c r="U25" s="65">
        <f>T$34/S25</f>
        <v>9.399603419692488</v>
      </c>
      <c r="V25" s="51"/>
      <c r="W25" s="51">
        <v>15.2689</v>
      </c>
      <c r="X25" s="51">
        <v>9.43</v>
      </c>
      <c r="Y25" s="65">
        <f>X$34/W25</f>
        <v>9.43093477591706</v>
      </c>
      <c r="Z25" s="51"/>
      <c r="AA25" s="51">
        <v>15.3147</v>
      </c>
      <c r="AB25" s="51">
        <v>9.4</v>
      </c>
      <c r="AC25" s="65">
        <f>AB$34/AA25</f>
        <v>9.403383677120674</v>
      </c>
      <c r="AD25" s="51"/>
      <c r="AE25" s="51">
        <v>15.1729</v>
      </c>
      <c r="AF25" s="51">
        <v>9.45</v>
      </c>
      <c r="AG25" s="65">
        <f>AF$34/AE25</f>
        <v>9.453037982191935</v>
      </c>
      <c r="AH25" s="51"/>
      <c r="AI25" s="51">
        <v>15.1863</v>
      </c>
      <c r="AJ25" s="51">
        <v>9.45</v>
      </c>
      <c r="AK25" s="65">
        <f>AJ$34/AI25</f>
        <v>9.447330817908247</v>
      </c>
      <c r="AL25" s="51"/>
      <c r="AM25" s="51">
        <v>14.9796</v>
      </c>
      <c r="AN25" s="51">
        <v>9.5</v>
      </c>
      <c r="AO25" s="65">
        <f>AN$34/AM25</f>
        <v>9.50025367833587</v>
      </c>
      <c r="AP25" s="51"/>
      <c r="AQ25" s="51">
        <v>14.9634</v>
      </c>
      <c r="AR25" s="51">
        <v>9.45</v>
      </c>
      <c r="AS25" s="65">
        <f>AR$34/AQ25</f>
        <v>9.446382506649558</v>
      </c>
      <c r="AT25" s="51"/>
      <c r="AU25" s="51">
        <v>14.9406</v>
      </c>
      <c r="AV25" s="51">
        <v>9.48</v>
      </c>
      <c r="AW25" s="65">
        <f>AV$34/AU25</f>
        <v>9.483554877314164</v>
      </c>
      <c r="AX25" s="51"/>
      <c r="AY25" s="51">
        <v>14.9123</v>
      </c>
      <c r="AZ25" s="51">
        <v>9.49</v>
      </c>
      <c r="BA25" s="65">
        <f>AZ$34/AY25</f>
        <v>9.487470075038726</v>
      </c>
      <c r="BB25" s="51"/>
      <c r="BC25" s="51">
        <v>14.8776</v>
      </c>
      <c r="BD25" s="51">
        <v>9.5</v>
      </c>
      <c r="BE25" s="65">
        <f>BD$34/BC25</f>
        <v>9.502204656665054</v>
      </c>
      <c r="BF25" s="51"/>
      <c r="BG25" s="51">
        <v>14.9862</v>
      </c>
      <c r="BH25" s="51">
        <v>9.45</v>
      </c>
      <c r="BI25" s="65">
        <f>BH$34/BG25</f>
        <v>9.450694639067942</v>
      </c>
      <c r="BJ25" s="51"/>
      <c r="BK25" s="51">
        <v>15.0353</v>
      </c>
      <c r="BL25" s="51">
        <v>9.43</v>
      </c>
      <c r="BM25" s="65">
        <f>BL$34/BK25</f>
        <v>9.428478314366856</v>
      </c>
      <c r="BN25" s="51"/>
      <c r="BO25" s="51">
        <v>14.9748</v>
      </c>
      <c r="BP25" s="51">
        <v>9.45</v>
      </c>
      <c r="BQ25" s="65">
        <f>BP$34/BO25</f>
        <v>9.447872425675133</v>
      </c>
      <c r="BR25" s="51"/>
      <c r="BS25" s="51">
        <v>14.9503</v>
      </c>
      <c r="BT25" s="51">
        <v>9.45</v>
      </c>
      <c r="BU25" s="65">
        <f>BT$34/BS25</f>
        <v>9.445295412132198</v>
      </c>
      <c r="BV25" s="51"/>
      <c r="BW25" s="51">
        <v>14.9927</v>
      </c>
      <c r="BX25" s="51">
        <v>9.44</v>
      </c>
      <c r="BY25" s="65">
        <f>BX$34/BW25</f>
        <v>9.441928405157178</v>
      </c>
      <c r="BZ25" s="51"/>
      <c r="CA25" s="51">
        <v>15.0649</v>
      </c>
      <c r="CB25" s="51">
        <v>9.4</v>
      </c>
      <c r="CC25" s="65">
        <f>CB$34/CA25</f>
        <v>9.40265119582606</v>
      </c>
      <c r="CD25" s="51"/>
      <c r="CE25" s="51">
        <f t="shared" si="0"/>
        <v>15.121135000000004</v>
      </c>
      <c r="CF25" s="51">
        <f t="shared" si="1"/>
        <v>9.434999999999999</v>
      </c>
      <c r="CG25" s="51">
        <f t="shared" si="1"/>
        <v>9.435621648545297</v>
      </c>
      <c r="CH25" s="51"/>
      <c r="CI25" s="56"/>
      <c r="CJ25" s="23"/>
      <c r="CK25" s="23"/>
      <c r="CL25" s="23"/>
      <c r="CM25" s="23"/>
      <c r="CN25" s="42"/>
      <c r="CO25" s="42"/>
      <c r="CP25" s="23"/>
      <c r="CQ25" s="23"/>
      <c r="CR25" s="23"/>
      <c r="CS25" s="23"/>
      <c r="CT25" s="23"/>
      <c r="CU25" s="23"/>
      <c r="CV25" s="23"/>
      <c r="CW25" s="23"/>
      <c r="CX25" s="23"/>
      <c r="CY25" s="21"/>
    </row>
    <row r="26" spans="1:103" ht="15.75">
      <c r="A26" s="63">
        <v>15</v>
      </c>
      <c r="B26" s="64" t="s">
        <v>64</v>
      </c>
      <c r="C26" s="95">
        <v>183.4465</v>
      </c>
      <c r="D26" s="96">
        <v>78.01</v>
      </c>
      <c r="E26" s="96">
        <f>D$34/C26*100</f>
        <v>78.0063942348314</v>
      </c>
      <c r="F26" s="51"/>
      <c r="G26" s="51">
        <v>184.8733</v>
      </c>
      <c r="H26" s="96">
        <v>77.6</v>
      </c>
      <c r="I26" s="96">
        <f>H$34/G26*100</f>
        <v>77.60449994672027</v>
      </c>
      <c r="J26" s="51"/>
      <c r="K26" s="51">
        <v>187.1398</v>
      </c>
      <c r="L26" s="96">
        <v>77.28</v>
      </c>
      <c r="M26" s="96">
        <f>L$34/K26*100</f>
        <v>77.27912501776747</v>
      </c>
      <c r="N26" s="51"/>
      <c r="O26" s="51">
        <v>187.224</v>
      </c>
      <c r="P26" s="96">
        <v>77.58</v>
      </c>
      <c r="Q26" s="96">
        <f>P$34/O26*100</f>
        <v>77.5808657009785</v>
      </c>
      <c r="R26" s="51"/>
      <c r="S26" s="51">
        <v>185.9893</v>
      </c>
      <c r="T26" s="96">
        <v>77.74</v>
      </c>
      <c r="U26" s="96">
        <f>T$34/S26*100</f>
        <v>77.73565468551149</v>
      </c>
      <c r="V26" s="51"/>
      <c r="W26" s="51">
        <v>184.6272</v>
      </c>
      <c r="X26" s="96">
        <v>77.99</v>
      </c>
      <c r="Y26" s="96">
        <f>X$34/W26*100</f>
        <v>77.99500831946756</v>
      </c>
      <c r="Z26" s="51"/>
      <c r="AA26" s="51">
        <v>185.182</v>
      </c>
      <c r="AB26" s="96">
        <v>77.77</v>
      </c>
      <c r="AC26" s="96">
        <f>AB$34/AA26*100</f>
        <v>77.76673758788651</v>
      </c>
      <c r="AD26" s="51"/>
      <c r="AE26" s="51">
        <v>183.4668</v>
      </c>
      <c r="AF26" s="96">
        <v>78.18</v>
      </c>
      <c r="AG26" s="96">
        <f>AF$34/AE26*100</f>
        <v>78.17763213834874</v>
      </c>
      <c r="AH26" s="51"/>
      <c r="AI26" s="51">
        <v>183.6287</v>
      </c>
      <c r="AJ26" s="96">
        <v>78.13</v>
      </c>
      <c r="AK26" s="96">
        <f>AJ$34/AI26*100</f>
        <v>78.13048831691341</v>
      </c>
      <c r="AL26" s="51"/>
      <c r="AM26" s="51">
        <v>181.13</v>
      </c>
      <c r="AN26" s="96">
        <v>78.57</v>
      </c>
      <c r="AO26" s="96">
        <f>AN$34/AM26*100</f>
        <v>78.56787942361841</v>
      </c>
      <c r="AP26" s="51"/>
      <c r="AQ26" s="51">
        <v>180.933</v>
      </c>
      <c r="AR26" s="96">
        <v>78.12</v>
      </c>
      <c r="AS26" s="96">
        <f>AR$34/AQ26*100</f>
        <v>78.12284105166</v>
      </c>
      <c r="AT26" s="51"/>
      <c r="AU26" s="51">
        <v>180.658</v>
      </c>
      <c r="AV26" s="96">
        <v>78.43</v>
      </c>
      <c r="AW26" s="96">
        <f>AV$34/AU26*100</f>
        <v>78.42996158487307</v>
      </c>
      <c r="AX26" s="51"/>
      <c r="AY26" s="51">
        <v>180.3154</v>
      </c>
      <c r="AZ26" s="96">
        <v>78.46</v>
      </c>
      <c r="BA26" s="96">
        <f>AZ$34/AY26*100</f>
        <v>78.46251623544079</v>
      </c>
      <c r="BB26" s="51"/>
      <c r="BC26" s="51">
        <v>179.8962</v>
      </c>
      <c r="BD26" s="96">
        <v>78.58</v>
      </c>
      <c r="BE26" s="96">
        <f>BD$34/BC26*100</f>
        <v>78.5842057808892</v>
      </c>
      <c r="BF26" s="51"/>
      <c r="BG26" s="51">
        <v>181.2089</v>
      </c>
      <c r="BH26" s="96">
        <v>78.16</v>
      </c>
      <c r="BI26" s="96">
        <f>BH$34/BG26*100</f>
        <v>78.15841274904267</v>
      </c>
      <c r="BJ26" s="51"/>
      <c r="BK26" s="51">
        <v>181.8029</v>
      </c>
      <c r="BL26" s="96">
        <v>77.97</v>
      </c>
      <c r="BM26" s="96">
        <f>BL$34/BK26*100</f>
        <v>77.97455376124363</v>
      </c>
      <c r="BN26" s="51"/>
      <c r="BO26" s="51">
        <v>181.0708</v>
      </c>
      <c r="BP26" s="96">
        <v>78.14</v>
      </c>
      <c r="BQ26" s="96">
        <f>BP$34/BO26*100</f>
        <v>78.13518248110684</v>
      </c>
      <c r="BR26" s="51"/>
      <c r="BS26" s="51">
        <v>180.7757</v>
      </c>
      <c r="BT26" s="96">
        <v>78.11</v>
      </c>
      <c r="BU26" s="96">
        <f>BT$34/BS26*100</f>
        <v>78.11337475114189</v>
      </c>
      <c r="BV26" s="51"/>
      <c r="BW26" s="51">
        <v>181.2879</v>
      </c>
      <c r="BX26" s="96">
        <v>78.09</v>
      </c>
      <c r="BY26" s="96">
        <f>BX$34/BW26*100</f>
        <v>78.08574096781969</v>
      </c>
      <c r="BZ26" s="51"/>
      <c r="CA26" s="51">
        <v>182.1612</v>
      </c>
      <c r="CB26" s="96">
        <v>77.76</v>
      </c>
      <c r="CC26" s="96">
        <f>CB$34/CA26*100</f>
        <v>77.76079648135827</v>
      </c>
      <c r="CD26" s="51"/>
      <c r="CE26" s="51">
        <f t="shared" si="0"/>
        <v>182.84088</v>
      </c>
      <c r="CF26" s="51">
        <f t="shared" si="1"/>
        <v>78.0335</v>
      </c>
      <c r="CG26" s="51">
        <f t="shared" si="1"/>
        <v>78.033593560831</v>
      </c>
      <c r="CH26" s="51"/>
      <c r="CI26" s="56"/>
      <c r="CJ26" s="23"/>
      <c r="CK26" s="23"/>
      <c r="CL26" s="23"/>
      <c r="CM26" s="23"/>
      <c r="CN26" s="42"/>
      <c r="CO26" s="48"/>
      <c r="CP26" s="23"/>
      <c r="CQ26" s="23"/>
      <c r="CR26" s="23"/>
      <c r="CS26" s="23"/>
      <c r="CT26" s="23"/>
      <c r="CU26" s="23"/>
      <c r="CV26" s="23"/>
      <c r="CW26" s="23"/>
      <c r="CX26" s="23"/>
      <c r="CY26" s="21"/>
    </row>
    <row r="27" spans="1:103" ht="15.75">
      <c r="A27" s="63">
        <v>16</v>
      </c>
      <c r="B27" s="64" t="s">
        <v>53</v>
      </c>
      <c r="C27" s="95">
        <v>10.471</v>
      </c>
      <c r="D27" s="96">
        <v>13.67</v>
      </c>
      <c r="E27" s="96">
        <f>D$34/C27</f>
        <v>13.666316493171616</v>
      </c>
      <c r="F27" s="51"/>
      <c r="G27" s="51">
        <v>10.5434</v>
      </c>
      <c r="H27" s="51">
        <v>13.61</v>
      </c>
      <c r="I27" s="65">
        <f>H$34/G27</f>
        <v>13.607564922131381</v>
      </c>
      <c r="J27" s="51"/>
      <c r="K27" s="51">
        <v>10.698</v>
      </c>
      <c r="L27" s="51">
        <v>13.52</v>
      </c>
      <c r="M27" s="65">
        <f>L$34/K27</f>
        <v>13.518414656945223</v>
      </c>
      <c r="N27" s="51"/>
      <c r="O27" s="51">
        <v>10.9176</v>
      </c>
      <c r="P27" s="51">
        <v>13.68</v>
      </c>
      <c r="Q27" s="65">
        <f>P$34/O27</f>
        <v>13.304206052612296</v>
      </c>
      <c r="R27" s="51"/>
      <c r="S27" s="51">
        <v>10.6069</v>
      </c>
      <c r="T27" s="51">
        <v>13.63</v>
      </c>
      <c r="U27" s="65">
        <f>T$34/S27</f>
        <v>13.630749794944801</v>
      </c>
      <c r="V27" s="51"/>
      <c r="W27" s="51">
        <v>10.6132</v>
      </c>
      <c r="X27" s="51">
        <v>13.57</v>
      </c>
      <c r="Y27" s="65">
        <f>X$34/W27</f>
        <v>13.568009648362416</v>
      </c>
      <c r="Z27" s="51"/>
      <c r="AA27" s="51">
        <v>10.5937</v>
      </c>
      <c r="AB27" s="51">
        <v>13.59</v>
      </c>
      <c r="AC27" s="65">
        <f>AB$34/AA27</f>
        <v>13.593928466919017</v>
      </c>
      <c r="AD27" s="51"/>
      <c r="AE27" s="51">
        <v>10.5615</v>
      </c>
      <c r="AF27" s="51">
        <v>13.58</v>
      </c>
      <c r="AG27" s="65">
        <f>AF$34/AE27</f>
        <v>13.580457321403209</v>
      </c>
      <c r="AH27" s="51"/>
      <c r="AI27" s="51">
        <v>10.58</v>
      </c>
      <c r="AJ27" s="51">
        <v>13.56</v>
      </c>
      <c r="AK27" s="65">
        <f>AJ$34/AI27</f>
        <v>13.560491493383743</v>
      </c>
      <c r="AL27" s="51"/>
      <c r="AM27" s="51">
        <v>10.4304</v>
      </c>
      <c r="AN27" s="51">
        <v>13.64</v>
      </c>
      <c r="AO27" s="65">
        <f>AN$34/AM27</f>
        <v>13.643772050928057</v>
      </c>
      <c r="AP27" s="51"/>
      <c r="AQ27" s="51">
        <v>10.5261</v>
      </c>
      <c r="AR27" s="51">
        <v>13.43</v>
      </c>
      <c r="AS27" s="65">
        <f>AR$34/AQ27</f>
        <v>13.428525284768337</v>
      </c>
      <c r="AT27" s="51"/>
      <c r="AU27" s="51">
        <v>10.5479</v>
      </c>
      <c r="AV27" s="51">
        <v>13.43</v>
      </c>
      <c r="AW27" s="65">
        <f>AV$34/AU27</f>
        <v>13.433005621972146</v>
      </c>
      <c r="AX27" s="51"/>
      <c r="AY27" s="51">
        <v>10.515</v>
      </c>
      <c r="AZ27" s="51">
        <v>13.45</v>
      </c>
      <c r="BA27" s="65">
        <f>AZ$34/AY27</f>
        <v>13.455064194008557</v>
      </c>
      <c r="BB27" s="51"/>
      <c r="BC27" s="51">
        <v>10.5798</v>
      </c>
      <c r="BD27" s="51">
        <v>13.36</v>
      </c>
      <c r="BE27" s="65">
        <f>BD$34/BC27</f>
        <v>13.362256375356813</v>
      </c>
      <c r="BF27" s="51"/>
      <c r="BG27" s="51">
        <v>10.8645</v>
      </c>
      <c r="BH27" s="51">
        <v>13.04</v>
      </c>
      <c r="BI27" s="65">
        <f>BH$34/BG27</f>
        <v>13.03603479221317</v>
      </c>
      <c r="BJ27" s="51"/>
      <c r="BK27" s="51">
        <v>10.8515</v>
      </c>
      <c r="BL27" s="51">
        <v>13.06</v>
      </c>
      <c r="BM27" s="65">
        <f>BL$34/BK27</f>
        <v>13.063631755978436</v>
      </c>
      <c r="BN27" s="51"/>
      <c r="BO27" s="51">
        <v>10.471</v>
      </c>
      <c r="BP27" s="51">
        <v>13.51</v>
      </c>
      <c r="BQ27" s="65">
        <f>BP$34/BO27</f>
        <v>13.511603476267787</v>
      </c>
      <c r="BR27" s="51"/>
      <c r="BS27" s="51">
        <v>10.7558</v>
      </c>
      <c r="BT27" s="51">
        <v>13.13</v>
      </c>
      <c r="BU27" s="65">
        <f>BT$34/BS27</f>
        <v>13.128730545380167</v>
      </c>
      <c r="BV27" s="51"/>
      <c r="BW27" s="51">
        <v>10.678</v>
      </c>
      <c r="BX27" s="51">
        <v>13.26</v>
      </c>
      <c r="BY27" s="65">
        <f>BX$34/BW27</f>
        <v>13.257164262970592</v>
      </c>
      <c r="BZ27" s="51"/>
      <c r="CA27" s="51">
        <v>10.6304</v>
      </c>
      <c r="CB27" s="51">
        <v>13.32</v>
      </c>
      <c r="CC27" s="65">
        <f>CB$34/CA27</f>
        <v>13.324992474413005</v>
      </c>
      <c r="CD27" s="51"/>
      <c r="CE27" s="51">
        <f t="shared" si="0"/>
        <v>10.621785</v>
      </c>
      <c r="CF27" s="51">
        <f t="shared" si="1"/>
        <v>13.452000000000002</v>
      </c>
      <c r="CG27" s="51">
        <f t="shared" si="1"/>
        <v>13.433745984206539</v>
      </c>
      <c r="CH27" s="51"/>
      <c r="CI27" s="56"/>
      <c r="CJ27" s="23"/>
      <c r="CK27" s="23"/>
      <c r="CL27" s="23"/>
      <c r="CM27" s="23"/>
      <c r="CN27" s="42"/>
      <c r="CO27" s="42"/>
      <c r="CP27" s="23"/>
      <c r="CQ27" s="23"/>
      <c r="CR27" s="23"/>
      <c r="CS27" s="23"/>
      <c r="CT27" s="23"/>
      <c r="CU27" s="23"/>
      <c r="CV27" s="23"/>
      <c r="CW27" s="23"/>
      <c r="CX27" s="23"/>
      <c r="CY27" s="21"/>
    </row>
    <row r="28" spans="1:103" ht="15.75">
      <c r="A28" s="63">
        <v>17</v>
      </c>
      <c r="B28" s="64" t="s">
        <v>54</v>
      </c>
      <c r="C28" s="95">
        <v>8.8389</v>
      </c>
      <c r="D28" s="96">
        <v>16.19</v>
      </c>
      <c r="E28" s="96">
        <f>D$34/C28</f>
        <v>16.189797372976273</v>
      </c>
      <c r="F28" s="51"/>
      <c r="G28" s="51">
        <v>8.8571</v>
      </c>
      <c r="H28" s="51">
        <v>16.2</v>
      </c>
      <c r="I28" s="65">
        <f>H$34/G28</f>
        <v>16.19830418534283</v>
      </c>
      <c r="J28" s="51"/>
      <c r="K28" s="51">
        <v>8.9206</v>
      </c>
      <c r="L28" s="51">
        <v>16.21</v>
      </c>
      <c r="M28" s="65">
        <f>L$34/K28</f>
        <v>16.211913996816357</v>
      </c>
      <c r="N28" s="51"/>
      <c r="O28" s="51">
        <v>8.937</v>
      </c>
      <c r="P28" s="51">
        <v>16.25</v>
      </c>
      <c r="Q28" s="65">
        <f>P$34/O28</f>
        <v>16.252657491328186</v>
      </c>
      <c r="R28" s="51"/>
      <c r="S28" s="51">
        <v>8.9125</v>
      </c>
      <c r="T28" s="51">
        <v>16.22</v>
      </c>
      <c r="U28" s="65">
        <f>T$34/S28</f>
        <v>16.22215988779804</v>
      </c>
      <c r="V28" s="51"/>
      <c r="W28" s="51">
        <v>8.8746</v>
      </c>
      <c r="X28" s="51">
        <v>16.23</v>
      </c>
      <c r="Y28" s="65">
        <f>X$34/W28</f>
        <v>16.2260834291123</v>
      </c>
      <c r="Z28" s="51"/>
      <c r="AA28" s="51">
        <v>8.8261</v>
      </c>
      <c r="AB28" s="51">
        <v>16.32</v>
      </c>
      <c r="AC28" s="65">
        <f>AB$34/AA28</f>
        <v>16.316379828010106</v>
      </c>
      <c r="AD28" s="51"/>
      <c r="AE28" s="51">
        <v>8.7981</v>
      </c>
      <c r="AF28" s="51">
        <v>16.3</v>
      </c>
      <c r="AG28" s="65">
        <f>AF$34/AE28</f>
        <v>16.302383469158116</v>
      </c>
      <c r="AH28" s="51"/>
      <c r="AI28" s="51">
        <v>8.8229</v>
      </c>
      <c r="AJ28" s="51">
        <v>16.26</v>
      </c>
      <c r="AK28" s="65">
        <f>AJ$34/AI28</f>
        <v>16.261093291321448</v>
      </c>
      <c r="AL28" s="51"/>
      <c r="AM28" s="51">
        <v>8.7175</v>
      </c>
      <c r="AN28" s="51">
        <v>16.33</v>
      </c>
      <c r="AO28" s="65">
        <f>AN$34/AM28</f>
        <v>16.3246343561801</v>
      </c>
      <c r="AP28" s="51"/>
      <c r="AQ28" s="51">
        <v>8.7356</v>
      </c>
      <c r="AR28" s="51">
        <v>16.18</v>
      </c>
      <c r="AS28" s="65">
        <f>AR$34/AQ28</f>
        <v>16.18091487705481</v>
      </c>
      <c r="AT28" s="51"/>
      <c r="AU28" s="51">
        <v>8.6655</v>
      </c>
      <c r="AV28" s="51">
        <v>16.35</v>
      </c>
      <c r="AW28" s="65">
        <f>AV$34/AU28</f>
        <v>16.351047256361433</v>
      </c>
      <c r="AX28" s="51"/>
      <c r="AY28" s="51">
        <v>8.6723</v>
      </c>
      <c r="AZ28" s="51">
        <v>16.31</v>
      </c>
      <c r="BA28" s="65">
        <f>AZ$34/AY28</f>
        <v>16.314011277285147</v>
      </c>
      <c r="BB28" s="51"/>
      <c r="BC28" s="51">
        <v>8.5778</v>
      </c>
      <c r="BD28" s="51">
        <v>16.48</v>
      </c>
      <c r="BE28" s="65">
        <f>BD$34/BC28</f>
        <v>16.480915852549607</v>
      </c>
      <c r="BF28" s="51"/>
      <c r="BG28" s="51">
        <v>8.6405</v>
      </c>
      <c r="BH28" s="51">
        <v>16.39</v>
      </c>
      <c r="BI28" s="65">
        <f>BH$34/BG28</f>
        <v>16.391412533996874</v>
      </c>
      <c r="BJ28" s="51"/>
      <c r="BK28" s="51">
        <v>8.7261</v>
      </c>
      <c r="BL28" s="51">
        <v>16.25</v>
      </c>
      <c r="BM28" s="65">
        <f>BL$34/BK28</f>
        <v>16.24551632458945</v>
      </c>
      <c r="BN28" s="51"/>
      <c r="BO28" s="51">
        <v>8.8389</v>
      </c>
      <c r="BP28" s="51">
        <v>16.01</v>
      </c>
      <c r="BQ28" s="65">
        <f>BP$34/BO28</f>
        <v>16.006516647999184</v>
      </c>
      <c r="BR28" s="51"/>
      <c r="BS28" s="51">
        <v>8.7464</v>
      </c>
      <c r="BT28" s="51">
        <v>16.14</v>
      </c>
      <c r="BU28" s="65">
        <f>BT$34/BS28</f>
        <v>16.14492819903046</v>
      </c>
      <c r="BV28" s="51"/>
      <c r="BW28" s="51">
        <v>8.7921</v>
      </c>
      <c r="BX28" s="51">
        <v>16.1</v>
      </c>
      <c r="BY28" s="65">
        <f>BX$34/BW28</f>
        <v>16.100817779597595</v>
      </c>
      <c r="BZ28" s="51"/>
      <c r="CA28" s="51">
        <v>8.856</v>
      </c>
      <c r="CB28" s="51">
        <v>15.99</v>
      </c>
      <c r="CC28" s="65">
        <f>CB$34/CA28</f>
        <v>15.994805781391149</v>
      </c>
      <c r="CD28" s="51"/>
      <c r="CE28" s="51">
        <f t="shared" si="0"/>
        <v>8.787825000000002</v>
      </c>
      <c r="CF28" s="51">
        <f aca="true" t="shared" si="2" ref="CF28:CG34">(+D28+H28+L28+P28+T28+X28+AB28+AF28+AJ28+AN28+AR28+AV28+AZ28+BD28+BH28+BL28+BP28+BT28+BX28+CB28)/20</f>
        <v>16.2355</v>
      </c>
      <c r="CG28" s="51">
        <f t="shared" si="2"/>
        <v>16.235814691894976</v>
      </c>
      <c r="CH28" s="51"/>
      <c r="CI28" s="56"/>
      <c r="CJ28" s="23"/>
      <c r="CK28" s="23"/>
      <c r="CL28" s="23"/>
      <c r="CM28" s="23"/>
      <c r="CN28" s="42"/>
      <c r="CO28" s="42"/>
      <c r="CP28" s="23"/>
      <c r="CQ28" s="23"/>
      <c r="CR28" s="23"/>
      <c r="CS28" s="23"/>
      <c r="CT28" s="23"/>
      <c r="CU28" s="23"/>
      <c r="CV28" s="23"/>
      <c r="CW28" s="23"/>
      <c r="CX28" s="23"/>
      <c r="CY28" s="21"/>
    </row>
    <row r="29" spans="1:103" ht="15.75">
      <c r="A29" s="63">
        <v>18</v>
      </c>
      <c r="B29" s="64" t="s">
        <v>55</v>
      </c>
      <c r="C29" s="95">
        <v>8.203</v>
      </c>
      <c r="D29" s="96">
        <v>17.44</v>
      </c>
      <c r="E29" s="96">
        <f>D$34/C29</f>
        <v>17.44483725466293</v>
      </c>
      <c r="F29" s="51"/>
      <c r="G29" s="51">
        <v>8.2666</v>
      </c>
      <c r="H29" s="51">
        <v>17.35</v>
      </c>
      <c r="I29" s="65">
        <f>H$34/G29</f>
        <v>17.355381898241113</v>
      </c>
      <c r="J29" s="51"/>
      <c r="K29" s="51">
        <v>8.3681</v>
      </c>
      <c r="L29" s="51">
        <v>17.28</v>
      </c>
      <c r="M29" s="65">
        <f>L$34/K29</f>
        <v>17.282298251693934</v>
      </c>
      <c r="N29" s="51"/>
      <c r="O29" s="51">
        <v>8.3697</v>
      </c>
      <c r="P29" s="51">
        <v>17.35</v>
      </c>
      <c r="Q29" s="65">
        <f>P$34/O29</f>
        <v>17.3542659832491</v>
      </c>
      <c r="R29" s="51"/>
      <c r="S29" s="51">
        <v>8.3161</v>
      </c>
      <c r="T29" s="51">
        <v>17.39</v>
      </c>
      <c r="U29" s="65">
        <f>T$34/S29</f>
        <v>17.3855533242746</v>
      </c>
      <c r="V29" s="51"/>
      <c r="W29" s="51">
        <v>8.2559</v>
      </c>
      <c r="X29" s="51">
        <v>17.14</v>
      </c>
      <c r="Y29" s="65">
        <f>X$34/W29</f>
        <v>17.44207173051999</v>
      </c>
      <c r="Z29" s="51"/>
      <c r="AA29" s="51">
        <v>8.2772</v>
      </c>
      <c r="AB29" s="51">
        <v>17.4</v>
      </c>
      <c r="AC29" s="65">
        <f>AB$34/AA29</f>
        <v>17.39839559271251</v>
      </c>
      <c r="AD29" s="51"/>
      <c r="AE29" s="51">
        <v>8.2029</v>
      </c>
      <c r="AF29" s="51">
        <v>17.49</v>
      </c>
      <c r="AG29" s="65">
        <f>AF$34/AE29</f>
        <v>17.485279596240357</v>
      </c>
      <c r="AH29" s="51"/>
      <c r="AI29" s="51">
        <v>8.207</v>
      </c>
      <c r="AJ29" s="51">
        <v>17.48</v>
      </c>
      <c r="AK29" s="65">
        <f>AJ$34/AI29</f>
        <v>17.48141830144998</v>
      </c>
      <c r="AL29" s="51"/>
      <c r="AM29" s="51">
        <v>8.1017</v>
      </c>
      <c r="AN29" s="51">
        <v>17.57</v>
      </c>
      <c r="AO29" s="65">
        <f>AN$34/AM29</f>
        <v>17.565449226705507</v>
      </c>
      <c r="AP29" s="51"/>
      <c r="AQ29" s="51">
        <v>8.0907</v>
      </c>
      <c r="AR29" s="51">
        <v>17.47</v>
      </c>
      <c r="AS29" s="65">
        <f>AR$34/AQ29</f>
        <v>17.470676208486285</v>
      </c>
      <c r="AT29" s="51"/>
      <c r="AU29" s="51">
        <v>8.0745</v>
      </c>
      <c r="AV29" s="51">
        <v>17.55</v>
      </c>
      <c r="AW29" s="65">
        <f>AV$34/AU29</f>
        <v>17.54783577930522</v>
      </c>
      <c r="AX29" s="51"/>
      <c r="AY29" s="51">
        <v>8.0688</v>
      </c>
      <c r="AZ29" s="51">
        <v>17.53</v>
      </c>
      <c r="BA29" s="65">
        <f>AZ$34/AY29</f>
        <v>17.534205829863176</v>
      </c>
      <c r="BB29" s="51"/>
      <c r="BC29" s="51">
        <v>8.042</v>
      </c>
      <c r="BD29" s="51">
        <v>17.58</v>
      </c>
      <c r="BE29" s="65">
        <f>BD$34/BC29</f>
        <v>17.578960457597613</v>
      </c>
      <c r="BF29" s="51"/>
      <c r="BG29" s="51">
        <v>8.1262</v>
      </c>
      <c r="BH29" s="51">
        <v>17.43</v>
      </c>
      <c r="BI29" s="65">
        <f>BH$34/BG29</f>
        <v>17.42881051413945</v>
      </c>
      <c r="BJ29" s="51"/>
      <c r="BK29" s="51">
        <v>8.1228</v>
      </c>
      <c r="BL29" s="51">
        <v>17.45</v>
      </c>
      <c r="BM29" s="65">
        <f>BL$34/BK29</f>
        <v>17.45211010981435</v>
      </c>
      <c r="BN29" s="51"/>
      <c r="BO29" s="51">
        <v>8.203</v>
      </c>
      <c r="BP29" s="51">
        <v>17.25</v>
      </c>
      <c r="BQ29" s="65">
        <f>BP$34/BO29</f>
        <v>17.247348531025235</v>
      </c>
      <c r="BR29" s="51"/>
      <c r="BS29" s="51">
        <v>8.074</v>
      </c>
      <c r="BT29" s="51">
        <v>17.49</v>
      </c>
      <c r="BU29" s="65">
        <f>BT$34/BS29</f>
        <v>17.489472380480557</v>
      </c>
      <c r="BV29" s="51"/>
      <c r="BW29" s="51">
        <v>8.0743</v>
      </c>
      <c r="BX29" s="51">
        <v>17.53</v>
      </c>
      <c r="BY29" s="65">
        <f>BX$34/BW29</f>
        <v>17.53216997139071</v>
      </c>
      <c r="BZ29" s="51"/>
      <c r="CA29" s="51">
        <v>8.1382</v>
      </c>
      <c r="CB29" s="51">
        <v>17.41</v>
      </c>
      <c r="CC29" s="65">
        <f>CB$34/CA29</f>
        <v>17.405568798997322</v>
      </c>
      <c r="CD29" s="51"/>
      <c r="CE29" s="51">
        <f t="shared" si="0"/>
        <v>8.179135</v>
      </c>
      <c r="CF29" s="51">
        <f t="shared" si="2"/>
        <v>17.429000000000006</v>
      </c>
      <c r="CG29" s="51">
        <f t="shared" si="2"/>
        <v>17.444105487042496</v>
      </c>
      <c r="CH29" s="51"/>
      <c r="CI29" s="56"/>
      <c r="CJ29" s="23"/>
      <c r="CK29" s="23"/>
      <c r="CL29" s="23"/>
      <c r="CM29" s="23"/>
      <c r="CN29" s="42"/>
      <c r="CO29" s="42"/>
      <c r="CP29" s="23"/>
      <c r="CQ29" s="23"/>
      <c r="CR29" s="23"/>
      <c r="CS29" s="23"/>
      <c r="CT29" s="23"/>
      <c r="CU29" s="23"/>
      <c r="CV29" s="23"/>
      <c r="CW29" s="23"/>
      <c r="CX29" s="23"/>
      <c r="CY29" s="21"/>
    </row>
    <row r="30" spans="1:103" ht="15.75">
      <c r="A30" s="63">
        <v>19</v>
      </c>
      <c r="B30" s="64" t="s">
        <v>56</v>
      </c>
      <c r="C30" s="95">
        <v>6.5554</v>
      </c>
      <c r="D30" s="96">
        <v>21.83</v>
      </c>
      <c r="E30" s="96">
        <f>D$34/C30</f>
        <v>21.829331543460352</v>
      </c>
      <c r="F30" s="51"/>
      <c r="G30" s="51">
        <v>6.6064</v>
      </c>
      <c r="H30" s="51">
        <v>21.72</v>
      </c>
      <c r="I30" s="65">
        <f>H$34/G30</f>
        <v>21.716820053281666</v>
      </c>
      <c r="J30" s="51"/>
      <c r="K30" s="51">
        <v>6.6874</v>
      </c>
      <c r="L30" s="51">
        <v>21.63</v>
      </c>
      <c r="M30" s="65">
        <f>L$34/K30</f>
        <v>21.625743936357928</v>
      </c>
      <c r="N30" s="51"/>
      <c r="O30" s="51">
        <v>6.6904</v>
      </c>
      <c r="P30" s="51">
        <v>21.71</v>
      </c>
      <c r="Q30" s="65">
        <f>P$34/O30</f>
        <v>21.710211646538323</v>
      </c>
      <c r="R30" s="51"/>
      <c r="S30" s="51">
        <v>6.6462</v>
      </c>
      <c r="T30" s="51">
        <v>21.75</v>
      </c>
      <c r="U30" s="65">
        <f>T$34/S30</f>
        <v>21.753784117239928</v>
      </c>
      <c r="V30" s="51"/>
      <c r="W30" s="51">
        <v>6.5976</v>
      </c>
      <c r="X30" s="51">
        <v>21.83</v>
      </c>
      <c r="Y30" s="65">
        <f>X$34/W30</f>
        <v>21.826118588577664</v>
      </c>
      <c r="Z30" s="51"/>
      <c r="AA30" s="51">
        <v>6.6174</v>
      </c>
      <c r="AB30" s="51">
        <v>21.76</v>
      </c>
      <c r="AC30" s="65">
        <f>AB$34/AA30</f>
        <v>21.7623235711911</v>
      </c>
      <c r="AD30" s="51"/>
      <c r="AE30" s="51">
        <v>6.5561</v>
      </c>
      <c r="AF30" s="51">
        <v>21.88</v>
      </c>
      <c r="AG30" s="65">
        <f>AF$34/AE30</f>
        <v>21.877335611110265</v>
      </c>
      <c r="AH30" s="51"/>
      <c r="AI30" s="51">
        <v>6.5619</v>
      </c>
      <c r="AJ30" s="51">
        <v>21.86</v>
      </c>
      <c r="AK30" s="65">
        <f>AJ$34/AI30</f>
        <v>21.86409424099727</v>
      </c>
      <c r="AL30" s="51"/>
      <c r="AM30" s="51">
        <v>6.4726</v>
      </c>
      <c r="AN30" s="51">
        <v>21.99</v>
      </c>
      <c r="AO30" s="65">
        <f>AN$34/AM30</f>
        <v>21.986527824985323</v>
      </c>
      <c r="AP30" s="51"/>
      <c r="AQ30" s="51">
        <v>6.4656</v>
      </c>
      <c r="AR30" s="51">
        <v>21.86</v>
      </c>
      <c r="AS30" s="65">
        <f>AR$34/AQ30</f>
        <v>21.86185350160851</v>
      </c>
      <c r="AT30" s="51"/>
      <c r="AU30" s="51">
        <v>6.4557</v>
      </c>
      <c r="AV30" s="51">
        <v>21.95</v>
      </c>
      <c r="AW30" s="65">
        <f>AV$34/AU30</f>
        <v>21.948045912914168</v>
      </c>
      <c r="AX30" s="51"/>
      <c r="AY30" s="51">
        <v>6.4435</v>
      </c>
      <c r="AZ30" s="51">
        <v>21.96</v>
      </c>
      <c r="BA30" s="65">
        <f>AZ$34/AY30</f>
        <v>21.95701094125863</v>
      </c>
      <c r="BB30" s="51"/>
      <c r="BC30" s="51">
        <v>6.4285</v>
      </c>
      <c r="BD30" s="51">
        <v>21.99</v>
      </c>
      <c r="BE30" s="65">
        <f>BD$34/BC30</f>
        <v>21.991133234813724</v>
      </c>
      <c r="BF30" s="51"/>
      <c r="BG30" s="51">
        <v>6.4754</v>
      </c>
      <c r="BH30" s="51">
        <v>21.87</v>
      </c>
      <c r="BI30" s="65">
        <f>BH$34/BG30</f>
        <v>21.872007906847454</v>
      </c>
      <c r="BJ30" s="51"/>
      <c r="BK30" s="51">
        <v>6.4966</v>
      </c>
      <c r="BL30" s="51">
        <v>21.82</v>
      </c>
      <c r="BM30" s="65">
        <f>BL$34/BK30</f>
        <v>21.82064464489117</v>
      </c>
      <c r="BN30" s="51"/>
      <c r="BO30" s="51">
        <v>6.4705</v>
      </c>
      <c r="BP30" s="51">
        <v>21.87</v>
      </c>
      <c r="BQ30" s="65">
        <f>BP$34/BO30</f>
        <v>21.865389073487364</v>
      </c>
      <c r="BR30" s="51"/>
      <c r="BS30" s="51">
        <v>6.4599</v>
      </c>
      <c r="BT30" s="51">
        <v>21.86</v>
      </c>
      <c r="BU30" s="65">
        <f>BT$34/BS30</f>
        <v>21.859471508846887</v>
      </c>
      <c r="BV30" s="51"/>
      <c r="BW30" s="51">
        <v>6.4782</v>
      </c>
      <c r="BX30" s="51">
        <v>21.85</v>
      </c>
      <c r="BY30" s="65">
        <f>BX$34/BW30</f>
        <v>21.851748942607514</v>
      </c>
      <c r="BZ30" s="51"/>
      <c r="CA30" s="51">
        <v>6.5094</v>
      </c>
      <c r="CB30" s="51">
        <v>21.76</v>
      </c>
      <c r="CC30" s="65">
        <f>CB$34/CA30</f>
        <v>21.760838172489017</v>
      </c>
      <c r="CD30" s="51"/>
      <c r="CE30" s="51">
        <f t="shared" si="0"/>
        <v>6.533735</v>
      </c>
      <c r="CF30" s="51">
        <f t="shared" si="2"/>
        <v>21.8375</v>
      </c>
      <c r="CG30" s="51">
        <f t="shared" si="2"/>
        <v>21.837021748675213</v>
      </c>
      <c r="CH30" s="51"/>
      <c r="CI30" s="56"/>
      <c r="CJ30" s="23"/>
      <c r="CK30" s="23"/>
      <c r="CL30" s="23"/>
      <c r="CM30" s="23"/>
      <c r="CN30" s="42"/>
      <c r="CO30" s="42"/>
      <c r="CP30" s="23"/>
      <c r="CQ30" s="23"/>
      <c r="CR30" s="23"/>
      <c r="CS30" s="23"/>
      <c r="CT30" s="23"/>
      <c r="CU30" s="23"/>
      <c r="CV30" s="23"/>
      <c r="CW30" s="23"/>
      <c r="CX30" s="23"/>
      <c r="CY30" s="21"/>
    </row>
    <row r="31" spans="1:103" ht="15.75">
      <c r="A31" s="63">
        <v>20</v>
      </c>
      <c r="B31" s="64" t="s">
        <v>57</v>
      </c>
      <c r="C31" s="95">
        <v>221.0386</v>
      </c>
      <c r="D31" s="96">
        <v>64.74</v>
      </c>
      <c r="E31" s="96">
        <f>D$34/C31*100</f>
        <v>64.73982372309632</v>
      </c>
      <c r="F31" s="51"/>
      <c r="G31" s="51">
        <v>222.7578</v>
      </c>
      <c r="H31" s="51">
        <v>64.4</v>
      </c>
      <c r="I31" s="65">
        <f>H$34/G31*100</f>
        <v>64.40627443797703</v>
      </c>
      <c r="J31" s="51"/>
      <c r="K31" s="51">
        <v>225.4887</v>
      </c>
      <c r="L31" s="51">
        <v>64.13</v>
      </c>
      <c r="M31" s="65">
        <f>L$34/K31*100</f>
        <v>64.13625161704334</v>
      </c>
      <c r="N31" s="51"/>
      <c r="O31" s="51">
        <v>225.5902</v>
      </c>
      <c r="P31" s="51">
        <v>64.38</v>
      </c>
      <c r="Q31" s="65">
        <f>P$34/O31*100</f>
        <v>64.38666218656661</v>
      </c>
      <c r="R31" s="51"/>
      <c r="S31" s="51">
        <v>224.1024</v>
      </c>
      <c r="T31" s="51">
        <v>64.52</v>
      </c>
      <c r="U31" s="65">
        <f>T$34/S31*100</f>
        <v>64.51515021704365</v>
      </c>
      <c r="V31" s="51"/>
      <c r="W31" s="51">
        <v>222.4612</v>
      </c>
      <c r="X31" s="51">
        <v>64.73</v>
      </c>
      <c r="Y31" s="65">
        <f>X$34/W31*100</f>
        <v>64.73038893973421</v>
      </c>
      <c r="Z31" s="51"/>
      <c r="AA31" s="51">
        <v>223.1297</v>
      </c>
      <c r="AB31" s="51">
        <v>64.54</v>
      </c>
      <c r="AC31" s="65">
        <f>AB$34/AA31*100</f>
        <v>64.54093740098247</v>
      </c>
      <c r="AD31" s="51"/>
      <c r="AE31" s="51">
        <v>221.063</v>
      </c>
      <c r="AF31" s="51">
        <v>64.88</v>
      </c>
      <c r="AG31" s="65">
        <f>AF$34/AE31*100</f>
        <v>64.88195672726779</v>
      </c>
      <c r="AH31" s="51"/>
      <c r="AI31" s="51">
        <v>221.2581</v>
      </c>
      <c r="AJ31" s="51">
        <v>64.84</v>
      </c>
      <c r="AK31" s="65">
        <f>AJ$34/AI31*100</f>
        <v>64.84282383334215</v>
      </c>
      <c r="AL31" s="51"/>
      <c r="AM31" s="51">
        <v>218.2473</v>
      </c>
      <c r="AN31" s="51">
        <v>65.21</v>
      </c>
      <c r="AO31" s="65">
        <f>AN$34/AM31*100</f>
        <v>65.20584676190725</v>
      </c>
      <c r="AP31" s="51"/>
      <c r="AQ31" s="51">
        <v>218.01</v>
      </c>
      <c r="AR31" s="51">
        <v>64.84</v>
      </c>
      <c r="AS31" s="65">
        <f>AR$34/AQ31*100</f>
        <v>64.83647539103711</v>
      </c>
      <c r="AT31" s="51"/>
      <c r="AU31" s="51">
        <v>217.6786</v>
      </c>
      <c r="AV31" s="51">
        <v>65.09</v>
      </c>
      <c r="AW31" s="65">
        <f>AV$34/AU31*100</f>
        <v>65.0913778387035</v>
      </c>
      <c r="AX31" s="51"/>
      <c r="AY31" s="51">
        <v>217.2658</v>
      </c>
      <c r="AZ31" s="51">
        <v>65.12</v>
      </c>
      <c r="BA31" s="65">
        <f>AZ$34/AY31*100</f>
        <v>65.11839415131143</v>
      </c>
      <c r="BB31" s="51"/>
      <c r="BC31" s="51">
        <v>216.7607</v>
      </c>
      <c r="BD31" s="51">
        <v>65.22</v>
      </c>
      <c r="BE31" s="65">
        <f>BD$34/BC31*100</f>
        <v>65.21938709369364</v>
      </c>
      <c r="BF31" s="51"/>
      <c r="BG31" s="51">
        <v>218.3424</v>
      </c>
      <c r="BH31" s="51">
        <v>64.87</v>
      </c>
      <c r="BI31" s="65">
        <f>BH$34/BG31*100</f>
        <v>64.8660086176574</v>
      </c>
      <c r="BJ31" s="51"/>
      <c r="BK31" s="51">
        <v>219.0581</v>
      </c>
      <c r="BL31" s="51">
        <v>64.71</v>
      </c>
      <c r="BM31" s="65">
        <f>BL$34/BK31*100</f>
        <v>64.71342534240915</v>
      </c>
      <c r="BN31" s="51"/>
      <c r="BO31" s="51">
        <v>218.1761</v>
      </c>
      <c r="BP31" s="51">
        <v>64.85</v>
      </c>
      <c r="BQ31" s="65">
        <f>BP$34/BO31*100</f>
        <v>64.84669952391668</v>
      </c>
      <c r="BR31" s="51"/>
      <c r="BS31" s="51">
        <v>217.8205</v>
      </c>
      <c r="BT31" s="51">
        <v>64.83</v>
      </c>
      <c r="BU31" s="65">
        <f>BT$34/BS31*100</f>
        <v>64.82860887749317</v>
      </c>
      <c r="BV31" s="51"/>
      <c r="BW31" s="51">
        <v>218.4376</v>
      </c>
      <c r="BX31" s="51">
        <v>64.81</v>
      </c>
      <c r="BY31" s="65">
        <f>BX$34/BW31*100</f>
        <v>64.80569279281589</v>
      </c>
      <c r="BZ31" s="51"/>
      <c r="CA31" s="51">
        <v>219.4898</v>
      </c>
      <c r="CB31" s="51">
        <v>64.53</v>
      </c>
      <c r="CC31" s="65">
        <f>CB$34/CA31*100</f>
        <v>64.53602855349087</v>
      </c>
      <c r="CD31" s="51"/>
      <c r="CE31" s="51">
        <f t="shared" si="0"/>
        <v>220.30883000000003</v>
      </c>
      <c r="CF31" s="51">
        <f t="shared" si="2"/>
        <v>64.76199999999999</v>
      </c>
      <c r="CG31" s="51">
        <f t="shared" si="2"/>
        <v>64.76241070137449</v>
      </c>
      <c r="CH31" s="51"/>
      <c r="CI31" s="56"/>
      <c r="CJ31" s="23"/>
      <c r="CK31" s="23"/>
      <c r="CL31" s="23"/>
      <c r="CM31" s="23"/>
      <c r="CN31" s="42"/>
      <c r="CO31" s="42"/>
      <c r="CP31" s="23"/>
      <c r="CQ31" s="23"/>
      <c r="CR31" s="23"/>
      <c r="CS31" s="23"/>
      <c r="CT31" s="23"/>
      <c r="CU31" s="23"/>
      <c r="CV31" s="23"/>
      <c r="CW31" s="23"/>
      <c r="CX31" s="23"/>
      <c r="CY31" s="21"/>
    </row>
    <row r="32" spans="1:103" ht="15.75">
      <c r="A32" s="63">
        <v>21</v>
      </c>
      <c r="B32" s="64" t="s">
        <v>58</v>
      </c>
      <c r="C32" s="95">
        <f>1/1.28823</f>
        <v>0.7762588978676168</v>
      </c>
      <c r="D32" s="96">
        <v>184.34</v>
      </c>
      <c r="E32" s="96">
        <f>D$34/C32</f>
        <v>184.345713</v>
      </c>
      <c r="F32" s="51"/>
      <c r="G32" s="95">
        <f>1/1.27781</f>
        <v>0.782588960800119</v>
      </c>
      <c r="H32" s="65">
        <v>183.32</v>
      </c>
      <c r="I32" s="65">
        <f>H$34/G32</f>
        <v>183.3274007</v>
      </c>
      <c r="J32" s="51"/>
      <c r="K32" s="95">
        <f>1/1.27308</f>
        <v>0.7854965909447953</v>
      </c>
      <c r="L32" s="65">
        <v>184.11</v>
      </c>
      <c r="M32" s="65">
        <f>L$34/K32</f>
        <v>184.1128296</v>
      </c>
      <c r="N32" s="51"/>
      <c r="O32" s="95">
        <f>1/1.27096</f>
        <v>0.7868068231887706</v>
      </c>
      <c r="P32" s="65">
        <v>184.6</v>
      </c>
      <c r="Q32" s="65">
        <f>P$34/O32</f>
        <v>184.60694</v>
      </c>
      <c r="R32" s="51"/>
      <c r="S32" s="95">
        <f>1/1.27096</f>
        <v>0.7868068231887706</v>
      </c>
      <c r="T32" s="65">
        <v>183.76</v>
      </c>
      <c r="U32" s="65">
        <f>T$34/S32</f>
        <v>183.75539680000003</v>
      </c>
      <c r="V32" s="51"/>
      <c r="W32" s="95">
        <f>1/1.28143</f>
        <v>0.7803781712617934</v>
      </c>
      <c r="X32" s="65">
        <v>184.52</v>
      </c>
      <c r="Y32" s="65">
        <f>X$34/W32</f>
        <v>184.52592</v>
      </c>
      <c r="Z32" s="51"/>
      <c r="AA32" s="95">
        <f>1/1.27436</f>
        <v>0.784707617941555</v>
      </c>
      <c r="AB32" s="65">
        <v>183.52</v>
      </c>
      <c r="AC32" s="65">
        <f>AB$34/AA32</f>
        <v>183.52058359999998</v>
      </c>
      <c r="AD32" s="51"/>
      <c r="AE32" s="95">
        <f>1/1.27436</f>
        <v>0.784707617941555</v>
      </c>
      <c r="AF32" s="65">
        <v>182.78</v>
      </c>
      <c r="AG32" s="65">
        <f>AF$34/AE32</f>
        <v>182.7814548</v>
      </c>
      <c r="AH32" s="51"/>
      <c r="AI32" s="95">
        <f>1/1.2833</f>
        <v>0.7792410192472531</v>
      </c>
      <c r="AJ32" s="65">
        <v>184.11</v>
      </c>
      <c r="AK32" s="65">
        <f>AJ$34/AI32</f>
        <v>184.11505100000002</v>
      </c>
      <c r="AL32" s="51"/>
      <c r="AM32" s="95">
        <f>1/1.28975</f>
        <v>0.7753440589261485</v>
      </c>
      <c r="AN32" s="65">
        <v>183.55</v>
      </c>
      <c r="AO32" s="65">
        <f>AN$34/AM32</f>
        <v>183.5443225</v>
      </c>
      <c r="AP32" s="51"/>
      <c r="AQ32" s="95">
        <f>1/1.28975</f>
        <v>0.7753440589261485</v>
      </c>
      <c r="AR32" s="65">
        <v>182.31</v>
      </c>
      <c r="AS32" s="65">
        <f>AR$34/AQ32</f>
        <v>182.30616249999997</v>
      </c>
      <c r="AT32" s="51"/>
      <c r="AU32" s="95">
        <f>1/1.29451</f>
        <v>0.7724930668747247</v>
      </c>
      <c r="AV32" s="65">
        <v>183.42</v>
      </c>
      <c r="AW32" s="65">
        <f>AV$34/AU32</f>
        <v>183.41912190000002</v>
      </c>
      <c r="AX32" s="51"/>
      <c r="AY32" s="95">
        <f>1/1.29451</f>
        <v>0.7724930668747247</v>
      </c>
      <c r="AZ32" s="65">
        <v>183.14</v>
      </c>
      <c r="BA32" s="65">
        <f>AZ$34/AY32</f>
        <v>183.1472748</v>
      </c>
      <c r="BB32" s="51"/>
      <c r="BC32" s="95">
        <f>1/1.29455</f>
        <v>0.7724691977907381</v>
      </c>
      <c r="BD32" s="65">
        <v>183.01</v>
      </c>
      <c r="BE32" s="65">
        <f>BD$34/BC32</f>
        <v>183.0105335</v>
      </c>
      <c r="BF32" s="51"/>
      <c r="BG32" s="95">
        <f>1/1.29455</f>
        <v>0.7724691977907381</v>
      </c>
      <c r="BH32" s="65">
        <v>183.35</v>
      </c>
      <c r="BI32" s="65">
        <f>BH$34/BG32</f>
        <v>183.3471165</v>
      </c>
      <c r="BJ32" s="51"/>
      <c r="BK32" s="95">
        <f>1/1.28823</f>
        <v>0.7762588978676168</v>
      </c>
      <c r="BL32" s="65">
        <v>182.62</v>
      </c>
      <c r="BM32" s="65">
        <f>BL$34/BK32</f>
        <v>182.61948479999998</v>
      </c>
      <c r="BN32" s="51"/>
      <c r="BO32" s="95">
        <f>1/1.29117</f>
        <v>0.774491352804046</v>
      </c>
      <c r="BP32" s="65">
        <v>182.68</v>
      </c>
      <c r="BQ32" s="65">
        <f>BP$34/BO32</f>
        <v>182.67473159999997</v>
      </c>
      <c r="BR32" s="51"/>
      <c r="BS32" s="95">
        <f>1/1.29349</f>
        <v>0.7731022273075169</v>
      </c>
      <c r="BT32" s="65">
        <v>182.65</v>
      </c>
      <c r="BU32" s="65">
        <f>BT$34/BS32</f>
        <v>182.65372290000002</v>
      </c>
      <c r="BV32" s="51"/>
      <c r="BW32" s="95">
        <f>1/1.29041</f>
        <v>0.7749474973070574</v>
      </c>
      <c r="BX32" s="65">
        <v>182.67</v>
      </c>
      <c r="BY32" s="65">
        <f>BX$34/BW32</f>
        <v>182.6704396</v>
      </c>
      <c r="BZ32" s="51"/>
      <c r="CA32" s="95">
        <f>1/1.28901</f>
        <v>0.7757891715347437</v>
      </c>
      <c r="CB32" s="65">
        <v>182.58</v>
      </c>
      <c r="CC32" s="65">
        <f>CB$34/CA32</f>
        <v>182.5882665</v>
      </c>
      <c r="CD32" s="51"/>
      <c r="CE32" s="51">
        <f t="shared" si="0"/>
        <v>0.7781097158193216</v>
      </c>
      <c r="CF32" s="51">
        <f t="shared" si="2"/>
        <v>183.35199999999998</v>
      </c>
      <c r="CG32" s="51">
        <f t="shared" si="2"/>
        <v>183.35362333</v>
      </c>
      <c r="CH32" s="51"/>
      <c r="CI32" s="56"/>
      <c r="CJ32" s="23"/>
      <c r="CK32" s="23"/>
      <c r="CL32" s="23"/>
      <c r="CM32" s="23"/>
      <c r="CN32" s="42"/>
      <c r="CO32" s="42"/>
      <c r="CP32" s="23"/>
      <c r="CQ32" s="23"/>
      <c r="CR32" s="23"/>
      <c r="CS32" s="23"/>
      <c r="CT32" s="23"/>
      <c r="CU32" s="23"/>
      <c r="CV32" s="23"/>
      <c r="CW32" s="23"/>
      <c r="CX32" s="23"/>
      <c r="CY32" s="21"/>
    </row>
    <row r="33" spans="1:103" ht="15.75">
      <c r="A33" s="63">
        <v>22</v>
      </c>
      <c r="B33" s="64" t="s">
        <v>59</v>
      </c>
      <c r="C33" s="95">
        <v>375.6891</v>
      </c>
      <c r="D33" s="96">
        <v>38.09</v>
      </c>
      <c r="E33" s="96">
        <f>D$34/C33*100</f>
        <v>38.09000580533212</v>
      </c>
      <c r="F33" s="51">
        <v>37.92</v>
      </c>
      <c r="G33" s="51">
        <v>378.6111</v>
      </c>
      <c r="H33" s="65">
        <v>37.89</v>
      </c>
      <c r="I33" s="65">
        <f>H$34/G33*100</f>
        <v>37.89376486848906</v>
      </c>
      <c r="J33" s="51">
        <v>37.73</v>
      </c>
      <c r="K33" s="51">
        <v>383.2527</v>
      </c>
      <c r="L33" s="65">
        <v>37.73</v>
      </c>
      <c r="M33" s="65">
        <f>L$34/K33*100</f>
        <v>37.73489397465432</v>
      </c>
      <c r="N33" s="51">
        <v>37.56</v>
      </c>
      <c r="O33" s="51">
        <v>383.4252</v>
      </c>
      <c r="P33" s="65">
        <v>37.88</v>
      </c>
      <c r="Q33" s="65">
        <f>P$34/O33*100</f>
        <v>37.88222579006283</v>
      </c>
      <c r="R33" s="51">
        <v>37.57</v>
      </c>
      <c r="S33" s="51">
        <v>380.8965</v>
      </c>
      <c r="T33" s="65">
        <v>37.96</v>
      </c>
      <c r="U33" s="65">
        <f>T$34/S33*100</f>
        <v>37.957817937418696</v>
      </c>
      <c r="V33" s="51">
        <v>37.85</v>
      </c>
      <c r="W33" s="51">
        <v>378.107</v>
      </c>
      <c r="X33" s="65">
        <v>38.08</v>
      </c>
      <c r="Y33" s="65">
        <f>X$34/W33*100</f>
        <v>38.084457574178735</v>
      </c>
      <c r="Z33" s="51">
        <v>37.93</v>
      </c>
      <c r="AA33" s="51">
        <v>379.2432</v>
      </c>
      <c r="AB33" s="65">
        <v>37.97</v>
      </c>
      <c r="AC33" s="65">
        <f>AB$34/AA33*100</f>
        <v>37.97299463774169</v>
      </c>
      <c r="AD33" s="51">
        <v>37.81</v>
      </c>
      <c r="AE33" s="51">
        <v>375.7305</v>
      </c>
      <c r="AF33" s="65">
        <v>38.17</v>
      </c>
      <c r="AG33" s="65">
        <f>AF$34/AE33*100</f>
        <v>38.17363775365588</v>
      </c>
      <c r="AH33" s="51">
        <v>37.93</v>
      </c>
      <c r="AI33" s="51">
        <v>376.0622</v>
      </c>
      <c r="AJ33" s="65">
        <v>38.15</v>
      </c>
      <c r="AK33" s="65">
        <f>AJ$34/AI33*100</f>
        <v>38.150603809688924</v>
      </c>
      <c r="AL33" s="51">
        <v>37.95</v>
      </c>
      <c r="AM33" s="51">
        <v>370.9449</v>
      </c>
      <c r="AN33" s="65">
        <v>38.37</v>
      </c>
      <c r="AO33" s="65">
        <f>AN$34/AM33*100</f>
        <v>38.36418832015213</v>
      </c>
      <c r="AP33" s="51">
        <v>37.92</v>
      </c>
      <c r="AQ33" s="51">
        <v>370.5415</v>
      </c>
      <c r="AR33" s="65">
        <v>38.15</v>
      </c>
      <c r="AS33" s="65">
        <f>AR$34/AQ33*100</f>
        <v>38.146874236758904</v>
      </c>
      <c r="AT33" s="51">
        <v>38.09</v>
      </c>
      <c r="AU33" s="51">
        <v>369.9783</v>
      </c>
      <c r="AV33" s="65">
        <v>38.3</v>
      </c>
      <c r="AW33" s="65">
        <f>AV$34/AU33*100</f>
        <v>38.29684065254638</v>
      </c>
      <c r="AX33" s="51">
        <v>38.03</v>
      </c>
      <c r="AY33" s="51">
        <v>369.2766</v>
      </c>
      <c r="AZ33" s="65">
        <v>38.31</v>
      </c>
      <c r="BA33" s="65">
        <f>AZ$34/AY33*100</f>
        <v>38.31274443059755</v>
      </c>
      <c r="BB33" s="51">
        <v>38.04</v>
      </c>
      <c r="BC33" s="51">
        <v>368.4182</v>
      </c>
      <c r="BD33" s="65">
        <v>38.37</v>
      </c>
      <c r="BE33" s="65">
        <f>BD$34/BC33*100</f>
        <v>38.372154252965785</v>
      </c>
      <c r="BF33" s="51">
        <v>38.12</v>
      </c>
      <c r="BG33" s="51">
        <v>371.1065</v>
      </c>
      <c r="BH33" s="65">
        <v>38.16</v>
      </c>
      <c r="BI33" s="65">
        <f>BH$34/BG33*100</f>
        <v>38.16424665156768</v>
      </c>
      <c r="BJ33" s="51">
        <v>38</v>
      </c>
      <c r="BK33" s="51">
        <v>372.323</v>
      </c>
      <c r="BL33" s="65">
        <v>38.07</v>
      </c>
      <c r="BM33" s="65">
        <f>BL$34/BK33*100</f>
        <v>38.07446759936936</v>
      </c>
      <c r="BN33" s="51">
        <v>37.85</v>
      </c>
      <c r="BO33" s="51">
        <v>370.8238</v>
      </c>
      <c r="BP33" s="65">
        <v>38.15</v>
      </c>
      <c r="BQ33" s="65">
        <f>BP$34/BO33*100</f>
        <v>38.15289094173567</v>
      </c>
      <c r="BR33" s="51">
        <v>37.95</v>
      </c>
      <c r="BS33" s="51">
        <v>370.2195</v>
      </c>
      <c r="BT33" s="65">
        <v>38.14</v>
      </c>
      <c r="BU33" s="65">
        <f>BT$34/BS33*100</f>
        <v>38.14223724033985</v>
      </c>
      <c r="BV33" s="51">
        <v>38.01</v>
      </c>
      <c r="BW33" s="51">
        <v>371.2683</v>
      </c>
      <c r="BX33" s="65">
        <v>38.13</v>
      </c>
      <c r="BY33" s="65">
        <f>BX$34/BW33*100</f>
        <v>38.128760252356585</v>
      </c>
      <c r="BZ33" s="51">
        <v>37.95</v>
      </c>
      <c r="CA33" s="51">
        <v>373.0567</v>
      </c>
      <c r="CB33" s="65">
        <v>37.97</v>
      </c>
      <c r="CC33" s="65">
        <f>CB$34/CA33*100</f>
        <v>37.97009945137027</v>
      </c>
      <c r="CD33" s="51">
        <v>37.95</v>
      </c>
      <c r="CE33" s="51">
        <f t="shared" si="0"/>
        <v>374.44874000000004</v>
      </c>
      <c r="CF33" s="51">
        <f t="shared" si="2"/>
        <v>38.102</v>
      </c>
      <c r="CG33" s="51">
        <f t="shared" si="2"/>
        <v>38.10329530904912</v>
      </c>
      <c r="CH33" s="51">
        <f>(+F33+J33+N33+R33+V33+Z33+AD33+AH33+AL33+AP33+AT33+AX33+BB33+BF33+BJ33+BN33+BR33+BV33+BZ33+CD33)/20</f>
        <v>37.908</v>
      </c>
      <c r="CI33" s="56"/>
      <c r="CJ33" s="23"/>
      <c r="CK33" s="23"/>
      <c r="CL33" s="23"/>
      <c r="CM33" s="23"/>
      <c r="CN33" s="42"/>
      <c r="CO33" s="42"/>
      <c r="CP33" s="23"/>
      <c r="CQ33" s="23"/>
      <c r="CR33" s="23"/>
      <c r="CS33" s="23"/>
      <c r="CT33" s="23"/>
      <c r="CU33" s="23"/>
      <c r="CV33" s="23"/>
      <c r="CW33" s="23"/>
      <c r="CX33" s="23"/>
      <c r="CY33" s="21"/>
    </row>
    <row r="34" spans="1:103" ht="16.5" thickBot="1">
      <c r="A34" s="72">
        <v>23</v>
      </c>
      <c r="B34" s="73" t="s">
        <v>60</v>
      </c>
      <c r="C34" s="97">
        <v>1</v>
      </c>
      <c r="D34" s="98">
        <v>143.1</v>
      </c>
      <c r="E34" s="99">
        <f>D$34/C34</f>
        <v>143.1</v>
      </c>
      <c r="F34" s="74">
        <v>143.14</v>
      </c>
      <c r="G34" s="74">
        <v>1</v>
      </c>
      <c r="H34" s="75">
        <v>143.47</v>
      </c>
      <c r="I34" s="76">
        <f>H$34/G34</f>
        <v>143.47</v>
      </c>
      <c r="J34" s="74">
        <v>143.84</v>
      </c>
      <c r="K34" s="74">
        <v>1</v>
      </c>
      <c r="L34" s="75">
        <v>144.62</v>
      </c>
      <c r="M34" s="76">
        <f>L$34/K34</f>
        <v>144.62</v>
      </c>
      <c r="N34" s="74">
        <v>144.6</v>
      </c>
      <c r="O34" s="74">
        <v>1</v>
      </c>
      <c r="P34" s="75">
        <v>145.25</v>
      </c>
      <c r="Q34" s="76">
        <f>P$34/O34</f>
        <v>145.25</v>
      </c>
      <c r="R34" s="74">
        <v>144.92</v>
      </c>
      <c r="S34" s="74">
        <v>1</v>
      </c>
      <c r="T34" s="75">
        <v>144.58</v>
      </c>
      <c r="U34" s="76">
        <f>T$34/S34</f>
        <v>144.58</v>
      </c>
      <c r="V34" s="74">
        <v>144.61</v>
      </c>
      <c r="W34" s="74">
        <v>1</v>
      </c>
      <c r="X34" s="75">
        <v>144</v>
      </c>
      <c r="Y34" s="76">
        <f>X$34/W34</f>
        <v>144</v>
      </c>
      <c r="Z34" s="74">
        <v>144.12</v>
      </c>
      <c r="AA34" s="74">
        <v>1</v>
      </c>
      <c r="AB34" s="75">
        <v>144.01</v>
      </c>
      <c r="AC34" s="76">
        <f>AB$34/AA34</f>
        <v>144.01</v>
      </c>
      <c r="AD34" s="74">
        <v>144.34</v>
      </c>
      <c r="AE34" s="74">
        <v>1</v>
      </c>
      <c r="AF34" s="75">
        <v>143.43</v>
      </c>
      <c r="AG34" s="76">
        <f>AF$34/AE34</f>
        <v>143.43</v>
      </c>
      <c r="AH34" s="74">
        <v>143.62</v>
      </c>
      <c r="AI34" s="74">
        <v>1</v>
      </c>
      <c r="AJ34" s="75">
        <v>143.47</v>
      </c>
      <c r="AK34" s="76">
        <f>AJ$34/AI34</f>
        <v>143.47</v>
      </c>
      <c r="AL34" s="74">
        <v>143.56</v>
      </c>
      <c r="AM34" s="74">
        <v>1</v>
      </c>
      <c r="AN34" s="75">
        <v>142.31</v>
      </c>
      <c r="AO34" s="76">
        <f>AN$34/AM34</f>
        <v>142.31</v>
      </c>
      <c r="AP34" s="74">
        <v>142.82</v>
      </c>
      <c r="AQ34" s="74">
        <v>1</v>
      </c>
      <c r="AR34" s="75">
        <v>141.35</v>
      </c>
      <c r="AS34" s="76">
        <f>AR$34/AQ34</f>
        <v>141.35</v>
      </c>
      <c r="AT34" s="74">
        <v>141.61</v>
      </c>
      <c r="AU34" s="74">
        <v>1</v>
      </c>
      <c r="AV34" s="75">
        <v>141.69</v>
      </c>
      <c r="AW34" s="76">
        <f>AV$34/AU34</f>
        <v>141.69</v>
      </c>
      <c r="AX34" s="74">
        <v>141.98</v>
      </c>
      <c r="AY34" s="74">
        <v>1</v>
      </c>
      <c r="AZ34" s="75">
        <v>141.48</v>
      </c>
      <c r="BA34" s="76">
        <f>AZ$34/AY34</f>
        <v>141.48</v>
      </c>
      <c r="BB34" s="74">
        <v>142.08</v>
      </c>
      <c r="BC34" s="74">
        <v>1</v>
      </c>
      <c r="BD34" s="75">
        <v>141.37</v>
      </c>
      <c r="BE34" s="76">
        <f>BD$34/BC34</f>
        <v>141.37</v>
      </c>
      <c r="BF34" s="74">
        <v>141.86</v>
      </c>
      <c r="BG34" s="74">
        <v>1</v>
      </c>
      <c r="BH34" s="75">
        <v>141.63</v>
      </c>
      <c r="BI34" s="76">
        <f>BH$34/BG34</f>
        <v>141.63</v>
      </c>
      <c r="BJ34" s="74">
        <v>142.04</v>
      </c>
      <c r="BK34" s="74">
        <v>1</v>
      </c>
      <c r="BL34" s="75">
        <v>141.76</v>
      </c>
      <c r="BM34" s="76">
        <f>BL$34/BK34</f>
        <v>141.76</v>
      </c>
      <c r="BN34" s="74">
        <v>142.16</v>
      </c>
      <c r="BO34" s="74">
        <v>1</v>
      </c>
      <c r="BP34" s="75">
        <v>141.48</v>
      </c>
      <c r="BQ34" s="76">
        <f>BP$34/BO34</f>
        <v>141.48</v>
      </c>
      <c r="BR34" s="74">
        <v>142</v>
      </c>
      <c r="BS34" s="74">
        <v>1</v>
      </c>
      <c r="BT34" s="75">
        <v>141.21</v>
      </c>
      <c r="BU34" s="76">
        <f>BT$34/BS34</f>
        <v>141.21</v>
      </c>
      <c r="BV34" s="74">
        <v>141.55</v>
      </c>
      <c r="BW34" s="74">
        <v>1</v>
      </c>
      <c r="BX34" s="75">
        <v>141.56</v>
      </c>
      <c r="BY34" s="76">
        <f>BX$34/BW34</f>
        <v>141.56</v>
      </c>
      <c r="BZ34" s="74">
        <v>141.54</v>
      </c>
      <c r="CA34" s="74">
        <v>1</v>
      </c>
      <c r="CB34" s="75">
        <v>141.65</v>
      </c>
      <c r="CC34" s="76">
        <f>CB$34/CA34</f>
        <v>141.65</v>
      </c>
      <c r="CD34" s="74">
        <v>141.5</v>
      </c>
      <c r="CE34" s="77">
        <f t="shared" si="0"/>
        <v>1</v>
      </c>
      <c r="CF34" s="77">
        <f t="shared" si="2"/>
        <v>142.67100000000002</v>
      </c>
      <c r="CG34" s="77">
        <f t="shared" si="2"/>
        <v>142.67100000000002</v>
      </c>
      <c r="CH34" s="77">
        <f>(+F34+J34+N34+R34+V34+Z34+AD34+AH34+AL34+AP34+AT34+AX34+BB34+BF34+BJ34+BN34+BR34+BV34+BZ34+CD34)/20</f>
        <v>142.8945</v>
      </c>
      <c r="CI34" s="56"/>
      <c r="CJ34" s="23"/>
      <c r="CK34" s="23"/>
      <c r="CL34" s="23"/>
      <c r="CM34" s="23"/>
      <c r="CN34" s="42"/>
      <c r="CO34" s="42"/>
      <c r="CP34" s="23"/>
      <c r="CQ34" s="23"/>
      <c r="CR34" s="23"/>
      <c r="CS34" s="23"/>
      <c r="CT34" s="23"/>
      <c r="CU34" s="23"/>
      <c r="CV34" s="23"/>
      <c r="CW34" s="23"/>
      <c r="CX34" s="23"/>
      <c r="CY34" s="21"/>
    </row>
    <row r="35" spans="1:103" ht="15.75">
      <c r="A35" s="81"/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1"/>
      <c r="AO35" s="81"/>
      <c r="AP35" s="81"/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81"/>
      <c r="BG35" s="81"/>
      <c r="BH35" s="81"/>
      <c r="BI35" s="81"/>
      <c r="BJ35" s="81"/>
      <c r="BK35" s="81"/>
      <c r="BL35" s="81"/>
      <c r="BM35" s="81"/>
      <c r="BN35" s="81"/>
      <c r="BO35" s="81"/>
      <c r="BP35" s="81"/>
      <c r="BQ35" s="81"/>
      <c r="BR35" s="81"/>
      <c r="BS35" s="81"/>
      <c r="BT35" s="81"/>
      <c r="BU35" s="81"/>
      <c r="BV35" s="81"/>
      <c r="BW35" s="81"/>
      <c r="BX35" s="81"/>
      <c r="BY35" s="81"/>
      <c r="BZ35" s="81"/>
      <c r="CA35" s="81"/>
      <c r="CB35" s="81"/>
      <c r="CC35" s="81"/>
      <c r="CD35" s="81"/>
      <c r="CE35" s="81"/>
      <c r="CF35" s="81"/>
      <c r="CG35" s="81"/>
      <c r="CH35" s="55"/>
      <c r="CI35" s="89"/>
      <c r="CJ35" s="14"/>
      <c r="CK35" s="14"/>
      <c r="CL35" s="35"/>
      <c r="CM35" s="14"/>
      <c r="CN35" s="14"/>
      <c r="CO35" s="14"/>
      <c r="CP35" s="35"/>
      <c r="CQ35" s="14"/>
      <c r="CR35" s="14"/>
      <c r="CS35" s="14"/>
      <c r="CT35" s="35"/>
      <c r="CU35" s="14"/>
      <c r="CV35" s="14"/>
      <c r="CW35" s="14"/>
      <c r="CX35" s="35"/>
      <c r="CY35" s="21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Najada  Samarxhi</dc:creator>
  <cp:keywords/>
  <dc:description/>
  <cp:lastModifiedBy>Najada  Samarxhiu</cp:lastModifiedBy>
  <cp:lastPrinted>2002-01-03T09:19:56Z</cp:lastPrinted>
  <dcterms:created xsi:type="dcterms:W3CDTF">2018-03-05T12:38:31Z</dcterms:created>
  <dcterms:modified xsi:type="dcterms:W3CDTF">2018-03-05T12:38:32Z</dcterms:modified>
  <cp:category/>
  <cp:version/>
  <cp:contentType/>
  <cp:contentStatus/>
</cp:coreProperties>
</file>