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520" tabRatio="601" activeTab="6"/>
  </bookViews>
  <sheets>
    <sheet name="Janar" sheetId="1" r:id="rId1"/>
    <sheet name="Shkurt" sheetId="2" r:id="rId2"/>
    <sheet name="Mars" sheetId="3" r:id="rId3"/>
    <sheet name="Prill" sheetId="4" r:id="rId4"/>
    <sheet name="Maj" sheetId="5" r:id="rId5"/>
    <sheet name="Qershor" sheetId="6" r:id="rId6"/>
    <sheet name="Korrik" sheetId="7" r:id="rId7"/>
    <sheet name="Gusht" sheetId="8" r:id="rId8"/>
    <sheet name="Shtator" sheetId="9" r:id="rId9"/>
    <sheet name="Tetor" sheetId="10" r:id="rId10"/>
    <sheet name="Nentor" sheetId="11" r:id="rId11"/>
    <sheet name="Dhjetor" sheetId="12" r:id="rId12"/>
  </sheets>
  <externalReferences>
    <externalReference r:id="rId15"/>
  </externalReferences>
  <definedNames>
    <definedName name="_xlnm.Print_Area" localSheetId="11">'Dhjetor'!$A$1:$BP$26</definedName>
    <definedName name="_xlnm.Print_Area" localSheetId="7">'Gusht'!$A$1:$BS$25</definedName>
    <definedName name="_xlnm.Print_Area" localSheetId="0">'Janar'!$A$1:$BO$36</definedName>
    <definedName name="_xlnm.Print_Area" localSheetId="6">'Korrik'!$A$1:$BV$25</definedName>
    <definedName name="_xlnm.Print_Area" localSheetId="4">'Maj'!$A$1:$BO$25</definedName>
    <definedName name="_xlnm.Print_Area" localSheetId="2">'Mars'!$A$1:$BL$25</definedName>
    <definedName name="_xlnm.Print_Area" localSheetId="10">'Nentor'!$A$1:$BJ$25</definedName>
    <definedName name="_xlnm.Print_Area" localSheetId="3">'Prill'!$A$1:$BO$25</definedName>
    <definedName name="_xlnm.Print_Area" localSheetId="5">'Qershor'!$A$1:$BM$25</definedName>
    <definedName name="_xlnm.Print_Area" localSheetId="1">'Shkurt'!$A$1:$BJ$37</definedName>
    <definedName name="_xlnm.Print_Area" localSheetId="8">'Shtator'!$A$1:$BP$25</definedName>
    <definedName name="_xlnm.Print_Area" localSheetId="9">'Tetor'!$A$1:$BV$26</definedName>
  </definedNames>
  <calcPr fullCalcOnLoad="1"/>
</workbook>
</file>

<file path=xl/sharedStrings.xml><?xml version="1.0" encoding="utf-8"?>
<sst xmlns="http://schemas.openxmlformats.org/spreadsheetml/2006/main" count="2497" uniqueCount="304">
  <si>
    <t xml:space="preserve">         Kurset e Kembimit</t>
  </si>
  <si>
    <t/>
  </si>
  <si>
    <t xml:space="preserve">   </t>
  </si>
  <si>
    <t xml:space="preserve">         KURSI  MESATAR</t>
  </si>
  <si>
    <t>Kursi</t>
  </si>
  <si>
    <t>Kursi i</t>
  </si>
  <si>
    <t>Lloji i Monedhave</t>
  </si>
  <si>
    <t>Kundrejt</t>
  </si>
  <si>
    <t>Ne Tregun</t>
  </si>
  <si>
    <t>Valutave</t>
  </si>
  <si>
    <t>Lekut</t>
  </si>
  <si>
    <t>USD</t>
  </si>
  <si>
    <t>Lire</t>
  </si>
  <si>
    <t xml:space="preserve">Kundrejt </t>
  </si>
  <si>
    <t>(sipas fix.)</t>
  </si>
  <si>
    <t xml:space="preserve"> </t>
  </si>
  <si>
    <t>Marka Gjermane (DEM)</t>
  </si>
  <si>
    <t>Jeni Japonez (per 100) (JPY)</t>
  </si>
  <si>
    <t>Sterlina Angleze (GBP)</t>
  </si>
  <si>
    <t>Franga Zvicerane (CHF)</t>
  </si>
  <si>
    <t>Franga Franceze (FRF)</t>
  </si>
  <si>
    <t>Gulden Hollandez (NLG)</t>
  </si>
  <si>
    <t>Lira Italiane (per 1000) (ITL)</t>
  </si>
  <si>
    <t>Franga Belge (BEF)</t>
  </si>
  <si>
    <t>E U R O</t>
  </si>
  <si>
    <t>Ari (oz)</t>
  </si>
  <si>
    <t>Argjendi (oz)</t>
  </si>
  <si>
    <t>Dollare Australian (AUD)</t>
  </si>
  <si>
    <t>Dollar Kanadez (CAD)</t>
  </si>
  <si>
    <t>Shilinge Austriake (ATS)</t>
  </si>
  <si>
    <t>Peseta Spanj.(per 100) (ESP)</t>
  </si>
  <si>
    <t>Korona Suedeze (SEK)</t>
  </si>
  <si>
    <t>Korona Norvegjeze (NOK)</t>
  </si>
  <si>
    <t>Korona Daneze (DKK)</t>
  </si>
  <si>
    <t>Marku Finlandez (FIM)</t>
  </si>
  <si>
    <t>Eskudo Portug.(per 100) (PTE)</t>
  </si>
  <si>
    <t>Spec Drawing RIGH</t>
  </si>
  <si>
    <t>Dhrahmi Greke (per 100) (GRD)</t>
  </si>
  <si>
    <t>Dollari Amerikan (USD)</t>
  </si>
  <si>
    <t xml:space="preserve">    DT. 14.02.2001</t>
  </si>
  <si>
    <t>KURSI  MESATAR</t>
  </si>
  <si>
    <t>Janar' 02</t>
  </si>
  <si>
    <t xml:space="preserve">    DT. 03.01.2002</t>
  </si>
  <si>
    <t xml:space="preserve">    DT. 04.01.2002</t>
  </si>
  <si>
    <t xml:space="preserve">    DT. 07.01.2002</t>
  </si>
  <si>
    <t xml:space="preserve">    DT. 08.01.2002</t>
  </si>
  <si>
    <t xml:space="preserve">    DT. 09.01.2002</t>
  </si>
  <si>
    <t xml:space="preserve">    DT. 10.01.2002</t>
  </si>
  <si>
    <t xml:space="preserve">    DT. 11.01.2002</t>
  </si>
  <si>
    <t xml:space="preserve">    DT. 14.01.2002</t>
  </si>
  <si>
    <t xml:space="preserve">    DT. 15.01.2002</t>
  </si>
  <si>
    <t xml:space="preserve">    DT. 16.01.2002</t>
  </si>
  <si>
    <t xml:space="preserve">    DT. 17.01.2002</t>
  </si>
  <si>
    <t xml:space="preserve">    DT. 18.01.2002</t>
  </si>
  <si>
    <t xml:space="preserve">    DT. 21.01.2002</t>
  </si>
  <si>
    <t xml:space="preserve">    DT. 22.01.2002</t>
  </si>
  <si>
    <t xml:space="preserve">    DT. 23.01.2002</t>
  </si>
  <si>
    <t xml:space="preserve">    DT. 24.01.2002</t>
  </si>
  <si>
    <t xml:space="preserve">    DT. 25.01.2002</t>
  </si>
  <si>
    <t xml:space="preserve">    DT. 28.01.2002</t>
  </si>
  <si>
    <t xml:space="preserve">    DT. 29.01.2002</t>
  </si>
  <si>
    <t xml:space="preserve">    DT. 30.01.2002</t>
  </si>
  <si>
    <t xml:space="preserve">    DT. 31.01.2002</t>
  </si>
  <si>
    <t xml:space="preserve">    DT. 01.02.2002</t>
  </si>
  <si>
    <t>Shkurt' 2002</t>
  </si>
  <si>
    <t xml:space="preserve">    DT. 08.02.2002</t>
  </si>
  <si>
    <t xml:space="preserve">    DT. 11.02.2002</t>
  </si>
  <si>
    <t xml:space="preserve">    DT. 12.02.2002</t>
  </si>
  <si>
    <t xml:space="preserve">    DT. 13.02.2002</t>
  </si>
  <si>
    <t xml:space="preserve">    DT. 15.02.2002</t>
  </si>
  <si>
    <t xml:space="preserve">    DT. 18.02.2002</t>
  </si>
  <si>
    <t xml:space="preserve">    DT. 19.02.2002</t>
  </si>
  <si>
    <t xml:space="preserve">    DT. 20.02.2002</t>
  </si>
  <si>
    <t xml:space="preserve">    DT. 21.02.2002</t>
  </si>
  <si>
    <t xml:space="preserve">    DT. 25.02.2002</t>
  </si>
  <si>
    <t xml:space="preserve">    DT. 26.02.2002</t>
  </si>
  <si>
    <t xml:space="preserve">    DT. 27.02.2002</t>
  </si>
  <si>
    <t xml:space="preserve">    DT. 28.02.2002</t>
  </si>
  <si>
    <t xml:space="preserve">       KURSI  MESATAR</t>
  </si>
  <si>
    <t xml:space="preserve">    DT. 02.02.2002</t>
  </si>
  <si>
    <t xml:space="preserve">    DT. 05.02.2002</t>
  </si>
  <si>
    <t xml:space="preserve">    DT. 06.02.2002</t>
  </si>
  <si>
    <t xml:space="preserve">    DT. 07.02.2002</t>
  </si>
  <si>
    <t>Mars' 2002</t>
  </si>
  <si>
    <t>Kurset e Kembimit</t>
  </si>
  <si>
    <t xml:space="preserve">    DT. 01.03.2002</t>
  </si>
  <si>
    <t xml:space="preserve">    DT. 04.04.2002</t>
  </si>
  <si>
    <t xml:space="preserve">    DT. 05.03.2002</t>
  </si>
  <si>
    <t xml:space="preserve">    DT. 06.03.2002</t>
  </si>
  <si>
    <t xml:space="preserve">    DT. 07.03.2002</t>
  </si>
  <si>
    <t xml:space="preserve">    DT. 08.03.2002</t>
  </si>
  <si>
    <t xml:space="preserve">    DT. 11.03.2002</t>
  </si>
  <si>
    <t xml:space="preserve">    DT. 12.03.2002</t>
  </si>
  <si>
    <t xml:space="preserve">    DT. 13.03.2002</t>
  </si>
  <si>
    <t xml:space="preserve">    DT. 14.03.2002</t>
  </si>
  <si>
    <t xml:space="preserve">    DT. 15.03.2002</t>
  </si>
  <si>
    <t xml:space="preserve">    DT. 18.03.2002</t>
  </si>
  <si>
    <t xml:space="preserve">    DT. 19.03.2002</t>
  </si>
  <si>
    <t xml:space="preserve">    DT. 20.03.2002</t>
  </si>
  <si>
    <t xml:space="preserve">    DT. 21.03.2002</t>
  </si>
  <si>
    <t xml:space="preserve">    DT. 25.03.2002</t>
  </si>
  <si>
    <t xml:space="preserve">    DT. 26.03.2002</t>
  </si>
  <si>
    <t xml:space="preserve">    DT. 27.03.2002</t>
  </si>
  <si>
    <t xml:space="preserve">    DT. 28.03.2002</t>
  </si>
  <si>
    <t xml:space="preserve">    DT. 29.03.2002</t>
  </si>
  <si>
    <t>Prill' 2002</t>
  </si>
  <si>
    <t xml:space="preserve">    DT. 02.04.2002</t>
  </si>
  <si>
    <t xml:space="preserve">    DT. 03.04.2002</t>
  </si>
  <si>
    <t xml:space="preserve">    DT. 05.04.2002</t>
  </si>
  <si>
    <t xml:space="preserve">    DT. 08.04.2002</t>
  </si>
  <si>
    <t xml:space="preserve">    DT. 09.04.2002</t>
  </si>
  <si>
    <t xml:space="preserve">    DT. 10.04.2002</t>
  </si>
  <si>
    <t xml:space="preserve">    DT. 11.04.2002</t>
  </si>
  <si>
    <t xml:space="preserve">    DT. 12.04.2002</t>
  </si>
  <si>
    <t xml:space="preserve">    DT. 15.04.2002</t>
  </si>
  <si>
    <t xml:space="preserve">    DT. 16.04.2002</t>
  </si>
  <si>
    <t xml:space="preserve">    DT. 17.04.2002</t>
  </si>
  <si>
    <t xml:space="preserve">    DT. 18.04.2002</t>
  </si>
  <si>
    <t xml:space="preserve">    DT. 19.04.2002</t>
  </si>
  <si>
    <t xml:space="preserve">    DT. 22.04.2002</t>
  </si>
  <si>
    <t xml:space="preserve">    DT. 23.04.2002</t>
  </si>
  <si>
    <t xml:space="preserve">    DT. 24.04.2002</t>
  </si>
  <si>
    <t xml:space="preserve">    DT. 25.04.2002</t>
  </si>
  <si>
    <t xml:space="preserve">    DT. 26.04.2002</t>
  </si>
  <si>
    <t xml:space="preserve">    DT. 29.04.2002</t>
  </si>
  <si>
    <t xml:space="preserve">    DT. 30.04.2002</t>
  </si>
  <si>
    <t>Maj' 2002</t>
  </si>
  <si>
    <t xml:space="preserve">    DT. 02.05.2002</t>
  </si>
  <si>
    <t xml:space="preserve">    DT. 03.05.2002</t>
  </si>
  <si>
    <t xml:space="preserve">    DT. 07.05.2002</t>
  </si>
  <si>
    <t xml:space="preserve">    DT. 08.05.2002</t>
  </si>
  <si>
    <t xml:space="preserve">    DT. 09.05.2002</t>
  </si>
  <si>
    <t xml:space="preserve">    DT. 10.05.2002</t>
  </si>
  <si>
    <t xml:space="preserve">    DT. 13.05.2002</t>
  </si>
  <si>
    <t xml:space="preserve">    DT. 14.05.2002</t>
  </si>
  <si>
    <t xml:space="preserve">    DT. 15.05.2002</t>
  </si>
  <si>
    <t xml:space="preserve">    DT. 16.05.2002</t>
  </si>
  <si>
    <t xml:space="preserve">    DT. 17.05.2002</t>
  </si>
  <si>
    <t xml:space="preserve">    DT. 20.05.2002</t>
  </si>
  <si>
    <t xml:space="preserve">    DT. 21.05.2002</t>
  </si>
  <si>
    <t xml:space="preserve">    DT. 22.05.2002</t>
  </si>
  <si>
    <t xml:space="preserve">    DT. 23.05.2002</t>
  </si>
  <si>
    <t xml:space="preserve">    DT. 24.05.2002</t>
  </si>
  <si>
    <t xml:space="preserve">    DT. 27.05.2002</t>
  </si>
  <si>
    <t xml:space="preserve">    DT. 28.05.2002</t>
  </si>
  <si>
    <t xml:space="preserve">    DT. 29.05.2002</t>
  </si>
  <si>
    <t xml:space="preserve">    DT. 30.05.2002</t>
  </si>
  <si>
    <t xml:space="preserve">    DT. 31.05.2002</t>
  </si>
  <si>
    <t>Qershor' 2002</t>
  </si>
  <si>
    <t xml:space="preserve">    DT. 03.06.2002</t>
  </si>
  <si>
    <t xml:space="preserve">    DT. 04.06.2002</t>
  </si>
  <si>
    <t xml:space="preserve">    DT. 05.06.2002</t>
  </si>
  <si>
    <t xml:space="preserve">    DT. 06.06.2002</t>
  </si>
  <si>
    <t xml:space="preserve">    DT. 07.06.2002</t>
  </si>
  <si>
    <t xml:space="preserve">    DT. 10.06.2002</t>
  </si>
  <si>
    <t xml:space="preserve">    DT. 11.06.2002</t>
  </si>
  <si>
    <t xml:space="preserve">    DT. 12.06.2002</t>
  </si>
  <si>
    <t xml:space="preserve">    DT. 13.06.2002</t>
  </si>
  <si>
    <t xml:space="preserve">    DT. 14.06.2002</t>
  </si>
  <si>
    <t xml:space="preserve">    DT. 17.06.2002</t>
  </si>
  <si>
    <t xml:space="preserve">    DT. 18.06.2002</t>
  </si>
  <si>
    <t xml:space="preserve">    DT. 19.06.2002</t>
  </si>
  <si>
    <t xml:space="preserve">    DT. 20.06.2002</t>
  </si>
  <si>
    <t xml:space="preserve">    DT. 21.06.2002</t>
  </si>
  <si>
    <t xml:space="preserve">    DT. 24.06.2002</t>
  </si>
  <si>
    <t xml:space="preserve">    DT. 25.06.2002</t>
  </si>
  <si>
    <t xml:space="preserve">    DT. 26.06.2002</t>
  </si>
  <si>
    <t xml:space="preserve">    DT. 27.06.2002</t>
  </si>
  <si>
    <t xml:space="preserve">    DT. 28.06.2002</t>
  </si>
  <si>
    <t>Korrik' 2002</t>
  </si>
  <si>
    <t xml:space="preserve">    DT. 01.07.2002</t>
  </si>
  <si>
    <t xml:space="preserve">    DT. 02.07.2002</t>
  </si>
  <si>
    <t xml:space="preserve">    DT. 03.07.2002</t>
  </si>
  <si>
    <t xml:space="preserve">    DT. 04.07.2002</t>
  </si>
  <si>
    <t xml:space="preserve">    DT. 08.07.2002</t>
  </si>
  <si>
    <t xml:space="preserve">    DT. 09.07.2002</t>
  </si>
  <si>
    <t xml:space="preserve">    DT. 10.07.2002</t>
  </si>
  <si>
    <t xml:space="preserve">    DT. 11.07.2002</t>
  </si>
  <si>
    <t xml:space="preserve">    DT. 15.07.2002</t>
  </si>
  <si>
    <t xml:space="preserve">    DT. 16.07.2002</t>
  </si>
  <si>
    <t xml:space="preserve">    DT. 17.07.2002</t>
  </si>
  <si>
    <t xml:space="preserve">    DT. 18.07.2002</t>
  </si>
  <si>
    <t xml:space="preserve">    DT. 22.07.2002</t>
  </si>
  <si>
    <t xml:space="preserve">    DT. 23.07.2002</t>
  </si>
  <si>
    <t xml:space="preserve">    DT. 24.07.2002</t>
  </si>
  <si>
    <t xml:space="preserve">    DT. 25.07.2002</t>
  </si>
  <si>
    <t xml:space="preserve">    DT. 29.07.2002</t>
  </si>
  <si>
    <t xml:space="preserve">    DT. 30.07.2002</t>
  </si>
  <si>
    <t xml:space="preserve">    DT. 31.07.2002</t>
  </si>
  <si>
    <t xml:space="preserve">    DT. 05.07.2002</t>
  </si>
  <si>
    <t xml:space="preserve">    DT. 12.07.2002</t>
  </si>
  <si>
    <t xml:space="preserve">    DT. 19.07.2002</t>
  </si>
  <si>
    <t xml:space="preserve">    DT. 26.07.2002</t>
  </si>
  <si>
    <t xml:space="preserve">    DT. 01.08.2002</t>
  </si>
  <si>
    <t>Gusht' 2002</t>
  </si>
  <si>
    <t xml:space="preserve">    DT. 02.08.2002</t>
  </si>
  <si>
    <t xml:space="preserve">    DT. 05.08.2002</t>
  </si>
  <si>
    <t xml:space="preserve">    DT. 06.08.2002</t>
  </si>
  <si>
    <t xml:space="preserve">    DT. 07.08.2002</t>
  </si>
  <si>
    <t xml:space="preserve">    DT. 08.08.2002</t>
  </si>
  <si>
    <t xml:space="preserve">    DT. 09.08.2002</t>
  </si>
  <si>
    <t xml:space="preserve">    DT. 12.08.2002</t>
  </si>
  <si>
    <t xml:space="preserve">    DT. 13.08.2002</t>
  </si>
  <si>
    <t xml:space="preserve">    DT. 14.08.2002</t>
  </si>
  <si>
    <t xml:space="preserve">    DT. 15.08.2002</t>
  </si>
  <si>
    <t xml:space="preserve">    DT. 16.08.2002</t>
  </si>
  <si>
    <t xml:space="preserve">    DT. 19.08.2002</t>
  </si>
  <si>
    <t xml:space="preserve">    DT. 20.08.2002</t>
  </si>
  <si>
    <t xml:space="preserve">    DT. 21.08.2002</t>
  </si>
  <si>
    <t xml:space="preserve">    DT. 22.08.2002</t>
  </si>
  <si>
    <t xml:space="preserve">    DT. 23.08.2002</t>
  </si>
  <si>
    <t xml:space="preserve">    DT. 26.08.2002</t>
  </si>
  <si>
    <t xml:space="preserve">    DT. 27.08.2002</t>
  </si>
  <si>
    <t xml:space="preserve">    DT. 28.08.2002</t>
  </si>
  <si>
    <t xml:space="preserve">    DT. 29.08.2002</t>
  </si>
  <si>
    <t xml:space="preserve">    DT. 30.08.2002</t>
  </si>
  <si>
    <t>Shtator' 2002</t>
  </si>
  <si>
    <t xml:space="preserve">    DT. 02.09.2002</t>
  </si>
  <si>
    <t xml:space="preserve">    DT. 03.09.2002</t>
  </si>
  <si>
    <t xml:space="preserve">    DT. 04.09.2002</t>
  </si>
  <si>
    <t xml:space="preserve">    DT. 05.09.2002</t>
  </si>
  <si>
    <t xml:space="preserve">    DT. 06.09.2002</t>
  </si>
  <si>
    <t xml:space="preserve">    DT. 09.09.2002</t>
  </si>
  <si>
    <t xml:space="preserve">    DT. 10.09.2002</t>
  </si>
  <si>
    <t xml:space="preserve">    DT. 11.09.2002</t>
  </si>
  <si>
    <t xml:space="preserve">    DT. 12.09.2002</t>
  </si>
  <si>
    <t xml:space="preserve">    DT. 13.09.2002</t>
  </si>
  <si>
    <t xml:space="preserve">    DT. 16.09.2002</t>
  </si>
  <si>
    <t xml:space="preserve">    DT. 17.09.2002</t>
  </si>
  <si>
    <t xml:space="preserve">    DT. 18.09.2002</t>
  </si>
  <si>
    <t xml:space="preserve">    DT. 19.09.2002</t>
  </si>
  <si>
    <t xml:space="preserve">    DT. 20.09.2002</t>
  </si>
  <si>
    <t xml:space="preserve">    DT. 23.09.2002</t>
  </si>
  <si>
    <t xml:space="preserve">    DT. 24.09.2002</t>
  </si>
  <si>
    <t xml:space="preserve">    DT. 25.09.2002</t>
  </si>
  <si>
    <t xml:space="preserve">    DT. 26.09.2002</t>
  </si>
  <si>
    <t xml:space="preserve">    DT. 27.09.2002</t>
  </si>
  <si>
    <t xml:space="preserve">    DT. 30.09.2002</t>
  </si>
  <si>
    <t>Tetor' 2002</t>
  </si>
  <si>
    <t xml:space="preserve">    DT. 01.10.2002</t>
  </si>
  <si>
    <t xml:space="preserve">    DT. 02.10.2002</t>
  </si>
  <si>
    <t xml:space="preserve">    DT. 03.10.2002</t>
  </si>
  <si>
    <t xml:space="preserve">    DT. 04.10.2002</t>
  </si>
  <si>
    <t xml:space="preserve">    DT. 07.10.2002</t>
  </si>
  <si>
    <t xml:space="preserve">    DT. 08.10.2002</t>
  </si>
  <si>
    <t xml:space="preserve">    DT. 09.10.2002</t>
  </si>
  <si>
    <t xml:space="preserve">    DT. 10.10.2002</t>
  </si>
  <si>
    <t xml:space="preserve">    DT. 11.10.2002</t>
  </si>
  <si>
    <t xml:space="preserve">    DT. 14.10.2002</t>
  </si>
  <si>
    <t xml:space="preserve">    DT. 15.10.2002</t>
  </si>
  <si>
    <t xml:space="preserve">    DT. 16.10.2002</t>
  </si>
  <si>
    <t xml:space="preserve">    DT. 17.10.2002</t>
  </si>
  <si>
    <t xml:space="preserve">    DT. 18.10.2002</t>
  </si>
  <si>
    <t xml:space="preserve">    DT. 21.10.2002</t>
  </si>
  <si>
    <t xml:space="preserve">    DT. 22.10.2002</t>
  </si>
  <si>
    <t xml:space="preserve">    DT. 23.10.2002</t>
  </si>
  <si>
    <t xml:space="preserve">    DT. 24.10.2002</t>
  </si>
  <si>
    <t xml:space="preserve">    DT. 25.10.2002</t>
  </si>
  <si>
    <t xml:space="preserve">    DT. 28.10.2002</t>
  </si>
  <si>
    <t xml:space="preserve">    DT. 29.10.2002</t>
  </si>
  <si>
    <t xml:space="preserve">    DT. 30.10.2002</t>
  </si>
  <si>
    <t xml:space="preserve">    DT. 31.10.2002</t>
  </si>
  <si>
    <t>Nentor' 2002</t>
  </si>
  <si>
    <t xml:space="preserve">    DT. 01.11.2002</t>
  </si>
  <si>
    <t xml:space="preserve">    DT. 04.11.2002</t>
  </si>
  <si>
    <t xml:space="preserve">    DT. 05.11.2002</t>
  </si>
  <si>
    <t xml:space="preserve">    DT. 06.11.2002</t>
  </si>
  <si>
    <t xml:space="preserve">    DT. 07.11.2002</t>
  </si>
  <si>
    <t xml:space="preserve">    DT. 08.11.2002</t>
  </si>
  <si>
    <t xml:space="preserve">    DT. 11.11.2002</t>
  </si>
  <si>
    <t xml:space="preserve">    DT. 12.11.2002</t>
  </si>
  <si>
    <t xml:space="preserve">    DT. 13.11.2002</t>
  </si>
  <si>
    <t xml:space="preserve">    DT. 14.11.2002</t>
  </si>
  <si>
    <t xml:space="preserve">    DT. 15.11.2002</t>
  </si>
  <si>
    <t xml:space="preserve">    DT. 18.11.2002</t>
  </si>
  <si>
    <t xml:space="preserve">    DT. 19.11.2002</t>
  </si>
  <si>
    <t xml:space="preserve">    DT. 20.11.2002</t>
  </si>
  <si>
    <t xml:space="preserve">    DT. 21.11.2002</t>
  </si>
  <si>
    <t xml:space="preserve">    DT. 22.11.2002</t>
  </si>
  <si>
    <t xml:space="preserve">    DT. 25.11.2002</t>
  </si>
  <si>
    <t xml:space="preserve">    DT. 26.11.2002</t>
  </si>
  <si>
    <t xml:space="preserve">    DT. 27.11.2002</t>
  </si>
  <si>
    <t>Dhjetor' 2002</t>
  </si>
  <si>
    <t xml:space="preserve">    DT. 02.12.2002</t>
  </si>
  <si>
    <t xml:space="preserve">    DT. 03.12.2002</t>
  </si>
  <si>
    <t xml:space="preserve">    DT. 04.12.2002</t>
  </si>
  <si>
    <t xml:space="preserve">    DT. 06.12.2002</t>
  </si>
  <si>
    <t xml:space="preserve">    DT. 09.12.2002</t>
  </si>
  <si>
    <t xml:space="preserve">    DT. 10.12.2002</t>
  </si>
  <si>
    <t xml:space="preserve">    DT. 11.12.2002</t>
  </si>
  <si>
    <t xml:space="preserve">    DT. 12.12.2002</t>
  </si>
  <si>
    <t xml:space="preserve">    DT. 13.12.2002</t>
  </si>
  <si>
    <t xml:space="preserve">    DT. 16.12.2002</t>
  </si>
  <si>
    <t xml:space="preserve">    DT. 17.12.2002</t>
  </si>
  <si>
    <t xml:space="preserve">    DT. 18.12.2002</t>
  </si>
  <si>
    <t xml:space="preserve">    DT. 19.12.2002</t>
  </si>
  <si>
    <t xml:space="preserve">    DT. 20.12.2002</t>
  </si>
  <si>
    <t xml:space="preserve">    DT. 23.12.2002</t>
  </si>
  <si>
    <t xml:space="preserve">    DT. 24.12.2002</t>
  </si>
  <si>
    <t xml:space="preserve">    DT. 26.12.2002</t>
  </si>
  <si>
    <t xml:space="preserve">    DT. 27.12.2002</t>
  </si>
  <si>
    <t xml:space="preserve">    DT. 28.12.2002</t>
  </si>
  <si>
    <t xml:space="preserve">    DT. 30.12.2002</t>
  </si>
  <si>
    <t xml:space="preserve">    DT. 31.12.2002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</si>
</sst>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00_)"/>
    <numFmt numFmtId="180" formatCode="0.00_)"/>
    <numFmt numFmtId="181" formatCode="0.00000_)"/>
    <numFmt numFmtId="182" formatCode="0.0000_)"/>
    <numFmt numFmtId="183" formatCode="0.000"/>
    <numFmt numFmtId="184" formatCode="0.0000"/>
    <numFmt numFmtId="185" formatCode="0.0_)"/>
    <numFmt numFmtId="186" formatCode="0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00000"/>
    <numFmt numFmtId="191" formatCode="0.00;[Red]0.00"/>
    <numFmt numFmtId="192" formatCode="0.00_);\(0.00\)"/>
    <numFmt numFmtId="193" formatCode="0_);\(0\)"/>
    <numFmt numFmtId="194" formatCode="0.000_);\(0.000\)"/>
    <numFmt numFmtId="195" formatCode="0.00000"/>
  </numFmts>
  <fonts count="49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Tms Rmn"/>
      <family val="0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Tms Rmn"/>
      <family val="0"/>
    </font>
    <font>
      <sz val="12"/>
      <color indexed="12"/>
      <name val="Tms Rmn"/>
      <family val="0"/>
    </font>
    <font>
      <sz val="12"/>
      <name val="Helv"/>
      <family val="0"/>
    </font>
    <font>
      <sz val="12"/>
      <color indexed="12"/>
      <name val="Arial MT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7.5"/>
      <color indexed="12"/>
      <name val="Helv"/>
      <family val="0"/>
    </font>
    <font>
      <u val="single"/>
      <sz val="7.5"/>
      <color indexed="36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178" fontId="0" fillId="0" borderId="0" xfId="0" applyAlignment="1">
      <alignment/>
    </xf>
    <xf numFmtId="179" fontId="5" fillId="0" borderId="0" xfId="0" applyNumberFormat="1" applyFont="1" applyAlignment="1" applyProtection="1">
      <alignment/>
      <protection/>
    </xf>
    <xf numFmtId="179" fontId="6" fillId="0" borderId="0" xfId="0" applyNumberFormat="1" applyFont="1" applyAlignment="1" applyProtection="1">
      <alignment horizontal="left"/>
      <protection/>
    </xf>
    <xf numFmtId="179" fontId="6" fillId="0" borderId="10" xfId="0" applyNumberFormat="1" applyFont="1" applyBorder="1" applyAlignment="1" applyProtection="1">
      <alignment horizontal="left"/>
      <protection/>
    </xf>
    <xf numFmtId="179" fontId="7" fillId="0" borderId="0" xfId="0" applyNumberFormat="1" applyFont="1" applyAlignment="1" applyProtection="1">
      <alignment/>
      <protection/>
    </xf>
    <xf numFmtId="179" fontId="7" fillId="0" borderId="0" xfId="0" applyNumberFormat="1" applyFont="1" applyAlignment="1" applyProtection="1">
      <alignment horizontal="right"/>
      <protection/>
    </xf>
    <xf numFmtId="179" fontId="8" fillId="0" borderId="0" xfId="0" applyNumberFormat="1" applyFont="1" applyAlignment="1" applyProtection="1">
      <alignment horizontal="left"/>
      <protection/>
    </xf>
    <xf numFmtId="179" fontId="9" fillId="0" borderId="0" xfId="0" applyNumberFormat="1" applyFont="1" applyAlignment="1" applyProtection="1">
      <alignment/>
      <protection/>
    </xf>
    <xf numFmtId="179" fontId="9" fillId="0" borderId="0" xfId="0" applyNumberFormat="1" applyFont="1" applyAlignment="1" applyProtection="1">
      <alignment horizontal="left"/>
      <protection/>
    </xf>
    <xf numFmtId="178" fontId="9" fillId="0" borderId="0" xfId="0" applyFont="1" applyAlignment="1">
      <alignment/>
    </xf>
    <xf numFmtId="178" fontId="10" fillId="0" borderId="0" xfId="0" applyFont="1" applyAlignment="1">
      <alignment/>
    </xf>
    <xf numFmtId="179" fontId="9" fillId="0" borderId="0" xfId="0" applyNumberFormat="1" applyFont="1" applyBorder="1" applyAlignment="1" applyProtection="1">
      <alignment/>
      <protection/>
    </xf>
    <xf numFmtId="179" fontId="8" fillId="0" borderId="0" xfId="0" applyNumberFormat="1" applyFont="1" applyAlignment="1" applyProtection="1">
      <alignment/>
      <protection/>
    </xf>
    <xf numFmtId="179" fontId="9" fillId="0" borderId="11" xfId="0" applyNumberFormat="1" applyFont="1" applyBorder="1" applyAlignment="1" applyProtection="1">
      <alignment/>
      <protection/>
    </xf>
    <xf numFmtId="179" fontId="9" fillId="0" borderId="0" xfId="0" applyNumberFormat="1" applyFont="1" applyAlignment="1" applyProtection="1">
      <alignment horizontal="center"/>
      <protection/>
    </xf>
    <xf numFmtId="179" fontId="8" fillId="0" borderId="0" xfId="0" applyNumberFormat="1" applyFont="1" applyAlignment="1" applyProtection="1">
      <alignment horizontal="center"/>
      <protection/>
    </xf>
    <xf numFmtId="179" fontId="9" fillId="0" borderId="11" xfId="0" applyNumberFormat="1" applyFont="1" applyBorder="1" applyAlignment="1" applyProtection="1">
      <alignment horizontal="left"/>
      <protection/>
    </xf>
    <xf numFmtId="179" fontId="8" fillId="0" borderId="11" xfId="0" applyNumberFormat="1" applyFont="1" applyBorder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79" fontId="7" fillId="0" borderId="0" xfId="0" applyNumberFormat="1" applyFont="1" applyAlignment="1" applyProtection="1">
      <alignment horizontal="left"/>
      <protection/>
    </xf>
    <xf numFmtId="180" fontId="9" fillId="0" borderId="0" xfId="0" applyNumberFormat="1" applyFont="1" applyAlignment="1" applyProtection="1">
      <alignment/>
      <protection/>
    </xf>
    <xf numFmtId="179" fontId="12" fillId="0" borderId="0" xfId="0" applyNumberFormat="1" applyFont="1" applyAlignment="1" applyProtection="1">
      <alignment/>
      <protection/>
    </xf>
    <xf numFmtId="183" fontId="9" fillId="0" borderId="0" xfId="0" applyNumberFormat="1" applyFont="1" applyAlignment="1" applyProtection="1">
      <alignment/>
      <protection/>
    </xf>
    <xf numFmtId="2" fontId="9" fillId="0" borderId="0" xfId="0" applyNumberFormat="1" applyFont="1" applyAlignment="1" applyProtection="1">
      <alignment/>
      <protection/>
    </xf>
    <xf numFmtId="179" fontId="9" fillId="0" borderId="0" xfId="0" applyNumberFormat="1" applyFont="1" applyAlignment="1" applyProtection="1">
      <alignment horizontal="right"/>
      <protection/>
    </xf>
    <xf numFmtId="178" fontId="7" fillId="0" borderId="0" xfId="0" applyNumberFormat="1" applyFont="1" applyAlignment="1" applyProtection="1">
      <alignment horizontal="left"/>
      <protection/>
    </xf>
    <xf numFmtId="37" fontId="7" fillId="0" borderId="10" xfId="0" applyNumberFormat="1" applyFont="1" applyBorder="1" applyAlignment="1" applyProtection="1">
      <alignment/>
      <protection/>
    </xf>
    <xf numFmtId="179" fontId="7" fillId="0" borderId="10" xfId="0" applyNumberFormat="1" applyFont="1" applyBorder="1" applyAlignment="1" applyProtection="1">
      <alignment horizontal="left"/>
      <protection/>
    </xf>
    <xf numFmtId="179" fontId="9" fillId="0" borderId="10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/>
      <protection/>
    </xf>
    <xf numFmtId="180" fontId="9" fillId="0" borderId="12" xfId="0" applyNumberFormat="1" applyFont="1" applyBorder="1" applyAlignment="1" applyProtection="1">
      <alignment/>
      <protection/>
    </xf>
    <xf numFmtId="179" fontId="9" fillId="0" borderId="12" xfId="0" applyNumberFormat="1" applyFont="1" applyBorder="1" applyAlignment="1" applyProtection="1">
      <alignment/>
      <protection/>
    </xf>
    <xf numFmtId="183" fontId="9" fillId="0" borderId="10" xfId="0" applyNumberFormat="1" applyFont="1" applyBorder="1" applyAlignment="1" applyProtection="1">
      <alignment/>
      <protection/>
    </xf>
    <xf numFmtId="2" fontId="9" fillId="0" borderId="10" xfId="0" applyNumberFormat="1" applyFont="1" applyBorder="1" applyAlignment="1" applyProtection="1">
      <alignment/>
      <protection/>
    </xf>
    <xf numFmtId="2" fontId="9" fillId="0" borderId="12" xfId="0" applyNumberFormat="1" applyFont="1" applyBorder="1" applyAlignment="1" applyProtection="1">
      <alignment/>
      <protection/>
    </xf>
    <xf numFmtId="178" fontId="12" fillId="0" borderId="0" xfId="0" applyFont="1" applyAlignment="1">
      <alignment/>
    </xf>
    <xf numFmtId="178" fontId="13" fillId="0" borderId="0" xfId="0" applyFont="1" applyAlignment="1">
      <alignment/>
    </xf>
    <xf numFmtId="179" fontId="8" fillId="0" borderId="0" xfId="0" applyNumberFormat="1" applyFont="1" applyBorder="1" applyAlignment="1" applyProtection="1">
      <alignment/>
      <protection/>
    </xf>
    <xf numFmtId="179" fontId="8" fillId="0" borderId="0" xfId="0" applyNumberFormat="1" applyFont="1" applyBorder="1" applyAlignment="1" applyProtection="1">
      <alignment horizontal="left"/>
      <protection/>
    </xf>
    <xf numFmtId="179" fontId="11" fillId="0" borderId="0" xfId="0" applyNumberFormat="1" applyFont="1" applyBorder="1" applyAlignment="1" applyProtection="1">
      <alignment/>
      <protection/>
    </xf>
    <xf numFmtId="178" fontId="10" fillId="0" borderId="0" xfId="0" applyFont="1" applyBorder="1" applyAlignment="1">
      <alignment/>
    </xf>
    <xf numFmtId="179" fontId="9" fillId="0" borderId="0" xfId="0" applyNumberFormat="1" applyFont="1" applyBorder="1" applyAlignment="1" applyProtection="1">
      <alignment horizontal="center"/>
      <protection/>
    </xf>
    <xf numFmtId="180" fontId="9" fillId="0" borderId="0" xfId="0" applyNumberFormat="1" applyFont="1" applyBorder="1" applyAlignment="1" applyProtection="1">
      <alignment/>
      <protection/>
    </xf>
    <xf numFmtId="178" fontId="12" fillId="0" borderId="0" xfId="0" applyFont="1" applyBorder="1" applyAlignment="1">
      <alignment/>
    </xf>
    <xf numFmtId="179" fontId="11" fillId="0" borderId="0" xfId="0" applyNumberFormat="1" applyFont="1" applyAlignment="1" applyProtection="1">
      <alignment/>
      <protection/>
    </xf>
    <xf numFmtId="178" fontId="12" fillId="0" borderId="0" xfId="0" applyNumberFormat="1" applyFont="1" applyAlignment="1" applyProtection="1">
      <alignment/>
      <protection/>
    </xf>
    <xf numFmtId="194" fontId="9" fillId="0" borderId="0" xfId="0" applyNumberFormat="1" applyFont="1" applyAlignment="1" applyProtection="1">
      <alignment/>
      <protection/>
    </xf>
    <xf numFmtId="179" fontId="11" fillId="0" borderId="0" xfId="0" applyNumberFormat="1" applyFont="1" applyFill="1" applyBorder="1" applyAlignment="1" applyProtection="1">
      <alignment/>
      <protection/>
    </xf>
    <xf numFmtId="179" fontId="8" fillId="0" borderId="0" xfId="0" applyNumberFormat="1" applyFont="1" applyFill="1" applyBorder="1" applyAlignment="1" applyProtection="1">
      <alignment horizontal="left"/>
      <protection/>
    </xf>
    <xf numFmtId="179" fontId="8" fillId="0" borderId="0" xfId="0" applyNumberFormat="1" applyFont="1" applyFill="1" applyBorder="1" applyAlignment="1" applyProtection="1">
      <alignment/>
      <protection/>
    </xf>
    <xf numFmtId="179" fontId="9" fillId="0" borderId="0" xfId="0" applyNumberFormat="1" applyFont="1" applyFill="1" applyBorder="1" applyAlignment="1" applyProtection="1">
      <alignment/>
      <protection/>
    </xf>
    <xf numFmtId="179" fontId="9" fillId="0" borderId="0" xfId="0" applyNumberFormat="1" applyFont="1" applyFill="1" applyBorder="1" applyAlignment="1" applyProtection="1">
      <alignment horizontal="center"/>
      <protection/>
    </xf>
    <xf numFmtId="178" fontId="12" fillId="0" borderId="0" xfId="0" applyFont="1" applyFill="1" applyBorder="1" applyAlignment="1">
      <alignment/>
    </xf>
    <xf numFmtId="178" fontId="10" fillId="0" borderId="0" xfId="0" applyFont="1" applyFill="1" applyBorder="1" applyAlignment="1">
      <alignment/>
    </xf>
    <xf numFmtId="2" fontId="9" fillId="0" borderId="0" xfId="0" applyNumberFormat="1" applyFont="1" applyFill="1" applyBorder="1" applyAlignment="1" applyProtection="1">
      <alignment/>
      <protection/>
    </xf>
    <xf numFmtId="178" fontId="0" fillId="0" borderId="0" xfId="0" applyFill="1" applyBorder="1" applyAlignment="1">
      <alignment/>
    </xf>
    <xf numFmtId="183" fontId="9" fillId="0" borderId="0" xfId="0" applyNumberFormat="1" applyFont="1" applyFill="1" applyBorder="1" applyAlignment="1" applyProtection="1">
      <alignment/>
      <protection/>
    </xf>
    <xf numFmtId="180" fontId="9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samarxhiu\AppData\Local\Microsoft\Windows\Temporary%20Internet%20Files\Content.IE5\ERRW2YYX\faqeban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ndor.r"/>
      <sheetName val="Dhetor.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52"/>
  <sheetViews>
    <sheetView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0" sqref="C10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19" width="13.28125" style="0" customWidth="1"/>
    <col min="20" max="20" width="11.7109375" style="0" customWidth="1"/>
  </cols>
  <sheetData>
    <row r="1" spans="1:67" ht="15.75" customHeight="1">
      <c r="A1" s="6" t="s">
        <v>0</v>
      </c>
      <c r="B1" s="4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8" t="s">
        <v>1</v>
      </c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9"/>
      <c r="BI1" s="9"/>
      <c r="BJ1" s="9"/>
      <c r="BK1" s="9"/>
      <c r="BL1" s="9"/>
      <c r="BM1" s="9"/>
      <c r="BN1" s="9"/>
      <c r="BO1" s="10"/>
    </row>
    <row r="2" spans="1:67" ht="15.75" customHeight="1">
      <c r="A2" s="6"/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9"/>
      <c r="BI2" s="9"/>
      <c r="BJ2" s="9"/>
      <c r="BK2" s="9"/>
      <c r="BL2" s="9"/>
      <c r="BM2" s="9"/>
      <c r="BN2" s="9"/>
      <c r="BO2" s="10"/>
    </row>
    <row r="3" spans="1:67" ht="15.75" customHeight="1">
      <c r="A3" s="7"/>
      <c r="B3" s="5" t="s">
        <v>41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11"/>
      <c r="BI3" s="11"/>
      <c r="BJ3" s="11"/>
      <c r="BK3" s="11"/>
      <c r="BL3" s="11"/>
      <c r="BM3" s="11"/>
      <c r="BN3" s="11"/>
      <c r="BO3" s="10"/>
    </row>
    <row r="4" spans="1:66" ht="15.75" customHeight="1">
      <c r="A4" s="8" t="s">
        <v>2</v>
      </c>
      <c r="B4" s="7"/>
      <c r="C4" s="6" t="s">
        <v>42</v>
      </c>
      <c r="D4" s="12"/>
      <c r="E4" s="12"/>
      <c r="F4" s="6" t="s">
        <v>43</v>
      </c>
      <c r="G4" s="12"/>
      <c r="H4" s="12"/>
      <c r="I4" s="6" t="s">
        <v>44</v>
      </c>
      <c r="J4" s="12"/>
      <c r="K4" s="12"/>
      <c r="L4" s="6" t="s">
        <v>45</v>
      </c>
      <c r="M4" s="12"/>
      <c r="N4" s="12"/>
      <c r="O4" s="6" t="s">
        <v>46</v>
      </c>
      <c r="P4" s="6"/>
      <c r="Q4" s="6"/>
      <c r="R4" s="6" t="s">
        <v>47</v>
      </c>
      <c r="S4" s="12"/>
      <c r="T4" s="12"/>
      <c r="U4" s="6" t="s">
        <v>48</v>
      </c>
      <c r="V4" s="12"/>
      <c r="W4" s="12"/>
      <c r="X4" s="6" t="s">
        <v>49</v>
      </c>
      <c r="Y4" s="12"/>
      <c r="Z4" s="12"/>
      <c r="AA4" s="6" t="s">
        <v>50</v>
      </c>
      <c r="AB4" s="12"/>
      <c r="AC4" s="12"/>
      <c r="AD4" s="6" t="s">
        <v>51</v>
      </c>
      <c r="AE4" s="12"/>
      <c r="AF4" s="12"/>
      <c r="AG4" s="6" t="s">
        <v>52</v>
      </c>
      <c r="AH4" s="12"/>
      <c r="AI4" s="12"/>
      <c r="AJ4" s="6" t="s">
        <v>53</v>
      </c>
      <c r="AK4" s="12"/>
      <c r="AL4" s="12"/>
      <c r="AM4" s="6" t="s">
        <v>54</v>
      </c>
      <c r="AN4" s="12"/>
      <c r="AO4" s="12"/>
      <c r="AP4" s="6" t="s">
        <v>55</v>
      </c>
      <c r="AQ4" s="12"/>
      <c r="AR4" s="12"/>
      <c r="AS4" s="6" t="s">
        <v>56</v>
      </c>
      <c r="AT4" s="12"/>
      <c r="AU4" s="12"/>
      <c r="AV4" s="6" t="s">
        <v>57</v>
      </c>
      <c r="AW4" s="12"/>
      <c r="AX4" s="12"/>
      <c r="AY4" s="6" t="s">
        <v>58</v>
      </c>
      <c r="AZ4" s="12"/>
      <c r="BA4" s="12"/>
      <c r="BB4" s="6" t="s">
        <v>59</v>
      </c>
      <c r="BC4" s="12"/>
      <c r="BD4" s="12"/>
      <c r="BE4" s="6" t="s">
        <v>60</v>
      </c>
      <c r="BF4" s="12"/>
      <c r="BG4" s="12"/>
      <c r="BH4" s="6" t="s">
        <v>61</v>
      </c>
      <c r="BI4" s="12"/>
      <c r="BJ4" s="12"/>
      <c r="BK4" s="6" t="s">
        <v>62</v>
      </c>
      <c r="BL4" s="12"/>
      <c r="BM4" s="44"/>
      <c r="BN4" s="6" t="s">
        <v>3</v>
      </c>
    </row>
    <row r="5" spans="1:67" ht="15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44"/>
      <c r="BO5" s="44"/>
    </row>
    <row r="6" spans="1:67" ht="15" customHeight="1" thickTop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</row>
    <row r="7" spans="1:67" ht="15.75" customHeight="1">
      <c r="A7" s="12"/>
      <c r="B7" s="7"/>
      <c r="C7" s="14" t="s">
        <v>4</v>
      </c>
      <c r="D7" s="14" t="s">
        <v>4</v>
      </c>
      <c r="E7" s="14" t="s">
        <v>4</v>
      </c>
      <c r="F7" s="14" t="s">
        <v>4</v>
      </c>
      <c r="G7" s="14" t="s">
        <v>4</v>
      </c>
      <c r="H7" s="14" t="s">
        <v>4</v>
      </c>
      <c r="I7" s="14" t="s">
        <v>4</v>
      </c>
      <c r="J7" s="14" t="s">
        <v>4</v>
      </c>
      <c r="K7" s="14" t="s">
        <v>4</v>
      </c>
      <c r="L7" s="14" t="s">
        <v>4</v>
      </c>
      <c r="M7" s="14" t="s">
        <v>4</v>
      </c>
      <c r="N7" s="14" t="s">
        <v>4</v>
      </c>
      <c r="O7" s="14" t="s">
        <v>4</v>
      </c>
      <c r="P7" s="14" t="s">
        <v>4</v>
      </c>
      <c r="Q7" s="14" t="s">
        <v>4</v>
      </c>
      <c r="R7" s="14" t="s">
        <v>4</v>
      </c>
      <c r="S7" s="14" t="s">
        <v>4</v>
      </c>
      <c r="T7" s="14" t="s">
        <v>4</v>
      </c>
      <c r="U7" s="14" t="s">
        <v>4</v>
      </c>
      <c r="V7" s="14" t="s">
        <v>4</v>
      </c>
      <c r="W7" s="14" t="s">
        <v>4</v>
      </c>
      <c r="X7" s="14" t="s">
        <v>4</v>
      </c>
      <c r="Y7" s="14" t="s">
        <v>4</v>
      </c>
      <c r="Z7" s="14" t="s">
        <v>4</v>
      </c>
      <c r="AA7" s="14" t="s">
        <v>4</v>
      </c>
      <c r="AB7" s="14" t="s">
        <v>4</v>
      </c>
      <c r="AC7" s="14" t="s">
        <v>4</v>
      </c>
      <c r="AD7" s="14" t="s">
        <v>4</v>
      </c>
      <c r="AE7" s="14" t="s">
        <v>4</v>
      </c>
      <c r="AF7" s="14" t="s">
        <v>4</v>
      </c>
      <c r="AG7" s="14" t="s">
        <v>4</v>
      </c>
      <c r="AH7" s="14" t="s">
        <v>4</v>
      </c>
      <c r="AI7" s="14" t="s">
        <v>4</v>
      </c>
      <c r="AJ7" s="14" t="s">
        <v>4</v>
      </c>
      <c r="AK7" s="14" t="s">
        <v>4</v>
      </c>
      <c r="AL7" s="14" t="s">
        <v>4</v>
      </c>
      <c r="AM7" s="14" t="s">
        <v>4</v>
      </c>
      <c r="AN7" s="14" t="s">
        <v>4</v>
      </c>
      <c r="AO7" s="14" t="s">
        <v>4</v>
      </c>
      <c r="AP7" s="14" t="s">
        <v>4</v>
      </c>
      <c r="AQ7" s="14" t="s">
        <v>4</v>
      </c>
      <c r="AR7" s="14" t="s">
        <v>4</v>
      </c>
      <c r="AS7" s="14" t="s">
        <v>4</v>
      </c>
      <c r="AT7" s="14" t="s">
        <v>4</v>
      </c>
      <c r="AU7" s="14" t="s">
        <v>4</v>
      </c>
      <c r="AV7" s="14" t="s">
        <v>4</v>
      </c>
      <c r="AW7" s="14" t="s">
        <v>4</v>
      </c>
      <c r="AX7" s="14" t="s">
        <v>4</v>
      </c>
      <c r="AY7" s="14" t="s">
        <v>4</v>
      </c>
      <c r="AZ7" s="14" t="s">
        <v>4</v>
      </c>
      <c r="BA7" s="14" t="s">
        <v>4</v>
      </c>
      <c r="BB7" s="14" t="s">
        <v>4</v>
      </c>
      <c r="BC7" s="14" t="s">
        <v>4</v>
      </c>
      <c r="BD7" s="14" t="s">
        <v>4</v>
      </c>
      <c r="BE7" s="14" t="s">
        <v>4</v>
      </c>
      <c r="BF7" s="14" t="s">
        <v>4</v>
      </c>
      <c r="BG7" s="14" t="s">
        <v>4</v>
      </c>
      <c r="BH7" s="14" t="s">
        <v>4</v>
      </c>
      <c r="BI7" s="14" t="s">
        <v>4</v>
      </c>
      <c r="BJ7" s="14" t="s">
        <v>4</v>
      </c>
      <c r="BK7" s="14" t="s">
        <v>4</v>
      </c>
      <c r="BL7" s="14" t="s">
        <v>4</v>
      </c>
      <c r="BM7" s="14" t="s">
        <v>4</v>
      </c>
      <c r="BN7" s="14" t="s">
        <v>5</v>
      </c>
      <c r="BO7" s="14" t="s">
        <v>5</v>
      </c>
    </row>
    <row r="8" spans="1:67" ht="15.75" customHeight="1">
      <c r="A8" s="7"/>
      <c r="B8" s="15" t="s">
        <v>6</v>
      </c>
      <c r="C8" s="14" t="s">
        <v>7</v>
      </c>
      <c r="D8" s="14" t="s">
        <v>7</v>
      </c>
      <c r="E8" s="14" t="s">
        <v>8</v>
      </c>
      <c r="F8" s="14" t="s">
        <v>7</v>
      </c>
      <c r="G8" s="14" t="s">
        <v>7</v>
      </c>
      <c r="H8" s="14" t="s">
        <v>8</v>
      </c>
      <c r="I8" s="14" t="s">
        <v>7</v>
      </c>
      <c r="J8" s="14" t="s">
        <v>7</v>
      </c>
      <c r="K8" s="14" t="s">
        <v>8</v>
      </c>
      <c r="L8" s="14" t="s">
        <v>7</v>
      </c>
      <c r="M8" s="14" t="s">
        <v>7</v>
      </c>
      <c r="N8" s="14" t="s">
        <v>8</v>
      </c>
      <c r="O8" s="14" t="s">
        <v>7</v>
      </c>
      <c r="P8" s="14" t="s">
        <v>7</v>
      </c>
      <c r="Q8" s="14" t="s">
        <v>8</v>
      </c>
      <c r="R8" s="14" t="s">
        <v>7</v>
      </c>
      <c r="S8" s="14" t="s">
        <v>7</v>
      </c>
      <c r="T8" s="14" t="s">
        <v>8</v>
      </c>
      <c r="U8" s="14" t="s">
        <v>7</v>
      </c>
      <c r="V8" s="14" t="s">
        <v>7</v>
      </c>
      <c r="W8" s="14" t="s">
        <v>8</v>
      </c>
      <c r="X8" s="14" t="s">
        <v>7</v>
      </c>
      <c r="Y8" s="14" t="s">
        <v>7</v>
      </c>
      <c r="Z8" s="14" t="s">
        <v>8</v>
      </c>
      <c r="AA8" s="14" t="s">
        <v>7</v>
      </c>
      <c r="AB8" s="14" t="s">
        <v>7</v>
      </c>
      <c r="AC8" s="14" t="s">
        <v>8</v>
      </c>
      <c r="AD8" s="14" t="s">
        <v>7</v>
      </c>
      <c r="AE8" s="14" t="s">
        <v>7</v>
      </c>
      <c r="AF8" s="14" t="s">
        <v>8</v>
      </c>
      <c r="AG8" s="14" t="s">
        <v>7</v>
      </c>
      <c r="AH8" s="14" t="s">
        <v>7</v>
      </c>
      <c r="AI8" s="14" t="s">
        <v>8</v>
      </c>
      <c r="AJ8" s="14" t="s">
        <v>7</v>
      </c>
      <c r="AK8" s="14" t="s">
        <v>7</v>
      </c>
      <c r="AL8" s="14" t="s">
        <v>8</v>
      </c>
      <c r="AM8" s="14" t="s">
        <v>7</v>
      </c>
      <c r="AN8" s="14" t="s">
        <v>7</v>
      </c>
      <c r="AO8" s="14" t="s">
        <v>8</v>
      </c>
      <c r="AP8" s="14" t="s">
        <v>7</v>
      </c>
      <c r="AQ8" s="14" t="s">
        <v>7</v>
      </c>
      <c r="AR8" s="14" t="s">
        <v>8</v>
      </c>
      <c r="AS8" s="14" t="s">
        <v>7</v>
      </c>
      <c r="AT8" s="14" t="s">
        <v>7</v>
      </c>
      <c r="AU8" s="14" t="s">
        <v>8</v>
      </c>
      <c r="AV8" s="14" t="s">
        <v>7</v>
      </c>
      <c r="AW8" s="14" t="s">
        <v>7</v>
      </c>
      <c r="AX8" s="14" t="s">
        <v>8</v>
      </c>
      <c r="AY8" s="14" t="s">
        <v>7</v>
      </c>
      <c r="AZ8" s="14" t="s">
        <v>7</v>
      </c>
      <c r="BA8" s="14" t="s">
        <v>8</v>
      </c>
      <c r="BB8" s="14" t="s">
        <v>7</v>
      </c>
      <c r="BC8" s="14" t="s">
        <v>7</v>
      </c>
      <c r="BD8" s="14" t="s">
        <v>8</v>
      </c>
      <c r="BE8" s="14" t="s">
        <v>7</v>
      </c>
      <c r="BF8" s="14" t="s">
        <v>7</v>
      </c>
      <c r="BG8" s="14" t="s">
        <v>8</v>
      </c>
      <c r="BH8" s="14" t="s">
        <v>7</v>
      </c>
      <c r="BI8" s="14" t="s">
        <v>7</v>
      </c>
      <c r="BJ8" s="14" t="s">
        <v>8</v>
      </c>
      <c r="BK8" s="14" t="s">
        <v>7</v>
      </c>
      <c r="BL8" s="14" t="s">
        <v>7</v>
      </c>
      <c r="BM8" s="14" t="s">
        <v>8</v>
      </c>
      <c r="BN8" s="14" t="s">
        <v>9</v>
      </c>
      <c r="BO8" s="14" t="s">
        <v>10</v>
      </c>
    </row>
    <row r="9" spans="1:67" ht="15.75" customHeight="1">
      <c r="A9" s="7"/>
      <c r="B9" s="7"/>
      <c r="C9" s="14" t="s">
        <v>11</v>
      </c>
      <c r="D9" s="14" t="s">
        <v>10</v>
      </c>
      <c r="E9" s="14" t="s">
        <v>12</v>
      </c>
      <c r="F9" s="14" t="s">
        <v>11</v>
      </c>
      <c r="G9" s="14" t="s">
        <v>10</v>
      </c>
      <c r="H9" s="14" t="s">
        <v>12</v>
      </c>
      <c r="I9" s="14" t="s">
        <v>11</v>
      </c>
      <c r="J9" s="14" t="s">
        <v>10</v>
      </c>
      <c r="K9" s="14" t="s">
        <v>12</v>
      </c>
      <c r="L9" s="14" t="s">
        <v>11</v>
      </c>
      <c r="M9" s="14" t="s">
        <v>10</v>
      </c>
      <c r="N9" s="14" t="s">
        <v>12</v>
      </c>
      <c r="O9" s="14" t="s">
        <v>11</v>
      </c>
      <c r="P9" s="14" t="s">
        <v>10</v>
      </c>
      <c r="Q9" s="14" t="s">
        <v>12</v>
      </c>
      <c r="R9" s="14" t="s">
        <v>11</v>
      </c>
      <c r="S9" s="14" t="s">
        <v>10</v>
      </c>
      <c r="T9" s="14" t="s">
        <v>12</v>
      </c>
      <c r="U9" s="14" t="s">
        <v>11</v>
      </c>
      <c r="V9" s="14" t="s">
        <v>10</v>
      </c>
      <c r="W9" s="14" t="s">
        <v>12</v>
      </c>
      <c r="X9" s="14" t="s">
        <v>11</v>
      </c>
      <c r="Y9" s="14" t="s">
        <v>10</v>
      </c>
      <c r="Z9" s="14" t="s">
        <v>12</v>
      </c>
      <c r="AA9" s="14" t="s">
        <v>11</v>
      </c>
      <c r="AB9" s="14" t="s">
        <v>10</v>
      </c>
      <c r="AC9" s="14" t="s">
        <v>12</v>
      </c>
      <c r="AD9" s="14" t="s">
        <v>11</v>
      </c>
      <c r="AE9" s="14" t="s">
        <v>10</v>
      </c>
      <c r="AF9" s="14" t="s">
        <v>12</v>
      </c>
      <c r="AG9" s="14" t="s">
        <v>11</v>
      </c>
      <c r="AH9" s="14" t="s">
        <v>10</v>
      </c>
      <c r="AI9" s="14" t="s">
        <v>12</v>
      </c>
      <c r="AJ9" s="14" t="s">
        <v>11</v>
      </c>
      <c r="AK9" s="14" t="s">
        <v>10</v>
      </c>
      <c r="AL9" s="14" t="s">
        <v>12</v>
      </c>
      <c r="AM9" s="14" t="s">
        <v>11</v>
      </c>
      <c r="AN9" s="14" t="s">
        <v>10</v>
      </c>
      <c r="AO9" s="14" t="s">
        <v>12</v>
      </c>
      <c r="AP9" s="14" t="s">
        <v>11</v>
      </c>
      <c r="AQ9" s="14" t="s">
        <v>10</v>
      </c>
      <c r="AR9" s="14" t="s">
        <v>12</v>
      </c>
      <c r="AS9" s="14" t="s">
        <v>11</v>
      </c>
      <c r="AT9" s="14" t="s">
        <v>10</v>
      </c>
      <c r="AU9" s="14" t="s">
        <v>12</v>
      </c>
      <c r="AV9" s="14" t="s">
        <v>11</v>
      </c>
      <c r="AW9" s="14" t="s">
        <v>10</v>
      </c>
      <c r="AX9" s="14" t="s">
        <v>12</v>
      </c>
      <c r="AY9" s="14" t="s">
        <v>11</v>
      </c>
      <c r="AZ9" s="14" t="s">
        <v>10</v>
      </c>
      <c r="BA9" s="14" t="s">
        <v>12</v>
      </c>
      <c r="BB9" s="14" t="s">
        <v>11</v>
      </c>
      <c r="BC9" s="14" t="s">
        <v>10</v>
      </c>
      <c r="BD9" s="14" t="s">
        <v>12</v>
      </c>
      <c r="BE9" s="14" t="s">
        <v>11</v>
      </c>
      <c r="BF9" s="14" t="s">
        <v>10</v>
      </c>
      <c r="BG9" s="14" t="s">
        <v>12</v>
      </c>
      <c r="BH9" s="14" t="s">
        <v>11</v>
      </c>
      <c r="BI9" s="14" t="s">
        <v>10</v>
      </c>
      <c r="BJ9" s="14" t="s">
        <v>12</v>
      </c>
      <c r="BK9" s="14" t="s">
        <v>11</v>
      </c>
      <c r="BL9" s="14" t="s">
        <v>10</v>
      </c>
      <c r="BM9" s="14" t="s">
        <v>12</v>
      </c>
      <c r="BN9" s="14" t="s">
        <v>7</v>
      </c>
      <c r="BO9" s="14" t="s">
        <v>13</v>
      </c>
    </row>
    <row r="10" spans="1:68" ht="15.75" customHeight="1">
      <c r="A10" s="7"/>
      <c r="B10" s="7"/>
      <c r="C10" s="7"/>
      <c r="D10" s="14" t="s">
        <v>14</v>
      </c>
      <c r="E10" s="14"/>
      <c r="F10" s="7"/>
      <c r="G10" s="14" t="s">
        <v>14</v>
      </c>
      <c r="H10" s="14"/>
      <c r="I10" s="7"/>
      <c r="J10" s="14" t="s">
        <v>14</v>
      </c>
      <c r="K10" s="14"/>
      <c r="L10" s="7"/>
      <c r="M10" s="14" t="s">
        <v>14</v>
      </c>
      <c r="N10" s="14"/>
      <c r="O10" s="7"/>
      <c r="P10" s="14" t="s">
        <v>14</v>
      </c>
      <c r="Q10" s="14"/>
      <c r="R10" s="7"/>
      <c r="S10" s="14" t="s">
        <v>14</v>
      </c>
      <c r="T10" s="14"/>
      <c r="U10" s="7"/>
      <c r="V10" s="14" t="s">
        <v>14</v>
      </c>
      <c r="W10" s="14"/>
      <c r="X10" s="8" t="s">
        <v>15</v>
      </c>
      <c r="Y10" s="14" t="s">
        <v>14</v>
      </c>
      <c r="Z10" s="14"/>
      <c r="AA10" s="8" t="s">
        <v>15</v>
      </c>
      <c r="AB10" s="14" t="s">
        <v>14</v>
      </c>
      <c r="AC10" s="14"/>
      <c r="AD10" s="7"/>
      <c r="AE10" s="14" t="s">
        <v>14</v>
      </c>
      <c r="AF10" s="14"/>
      <c r="AG10" s="7"/>
      <c r="AH10" s="14" t="s">
        <v>14</v>
      </c>
      <c r="AI10" s="14"/>
      <c r="AJ10" s="7"/>
      <c r="AK10" s="14" t="s">
        <v>14</v>
      </c>
      <c r="AL10" s="14"/>
      <c r="AM10" s="7"/>
      <c r="AN10" s="14" t="s">
        <v>14</v>
      </c>
      <c r="AO10" s="14"/>
      <c r="AP10" s="7"/>
      <c r="AQ10" s="14" t="s">
        <v>14</v>
      </c>
      <c r="AR10" s="14"/>
      <c r="AS10" s="7"/>
      <c r="AT10" s="14" t="s">
        <v>14</v>
      </c>
      <c r="AU10" s="14"/>
      <c r="AV10" s="7"/>
      <c r="AW10" s="14" t="s">
        <v>14</v>
      </c>
      <c r="AX10" s="14"/>
      <c r="AY10" s="7"/>
      <c r="AZ10" s="14" t="s">
        <v>14</v>
      </c>
      <c r="BA10" s="14"/>
      <c r="BB10" s="7"/>
      <c r="BC10" s="14" t="s">
        <v>14</v>
      </c>
      <c r="BD10" s="14"/>
      <c r="BE10" s="7"/>
      <c r="BF10" s="14" t="s">
        <v>14</v>
      </c>
      <c r="BG10" s="14"/>
      <c r="BH10" s="7"/>
      <c r="BI10" s="14" t="s">
        <v>14</v>
      </c>
      <c r="BJ10" s="14"/>
      <c r="BK10" s="7"/>
      <c r="BL10" s="14" t="s">
        <v>14</v>
      </c>
      <c r="BM10" s="14"/>
      <c r="BN10" s="7"/>
      <c r="BO10" s="14" t="s">
        <v>11</v>
      </c>
      <c r="BP10" s="1"/>
    </row>
    <row r="11" spans="1:67" ht="15.75" customHeight="1" thickBo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</row>
    <row r="12" spans="1:67" ht="15.75" customHeight="1" thickTop="1">
      <c r="A12" s="16" t="s">
        <v>2</v>
      </c>
      <c r="B12" s="13"/>
      <c r="C12" s="17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</row>
    <row r="13" spans="1:67" ht="15.75" customHeight="1">
      <c r="A13" s="18">
        <v>1</v>
      </c>
      <c r="B13" s="19" t="s">
        <v>16</v>
      </c>
      <c r="C13" s="7">
        <v>2.1633</v>
      </c>
      <c r="D13" s="7">
        <v>62.96</v>
      </c>
      <c r="E13" s="7"/>
      <c r="F13" s="7">
        <v>2.1794</v>
      </c>
      <c r="G13" s="7">
        <v>62.81</v>
      </c>
      <c r="H13" s="7"/>
      <c r="I13" s="7">
        <v>2.1848</v>
      </c>
      <c r="J13" s="7">
        <v>62.63</v>
      </c>
      <c r="K13" s="7"/>
      <c r="L13" s="7">
        <v>2.2003</v>
      </c>
      <c r="M13" s="7">
        <v>62.3</v>
      </c>
      <c r="N13" s="7"/>
      <c r="O13" s="7">
        <v>2.2003</v>
      </c>
      <c r="P13" s="7">
        <v>62.3</v>
      </c>
      <c r="Q13" s="7"/>
      <c r="R13" s="7">
        <v>2.2003</v>
      </c>
      <c r="S13" s="7">
        <v>63.52</v>
      </c>
      <c r="T13" s="7"/>
      <c r="U13" s="7">
        <v>2.197</v>
      </c>
      <c r="V13" s="7">
        <v>64.51</v>
      </c>
      <c r="W13" s="7"/>
      <c r="X13" s="7">
        <v>2.1907</v>
      </c>
      <c r="Y13" s="7">
        <v>64.19</v>
      </c>
      <c r="Z13" s="7"/>
      <c r="AA13" s="7">
        <v>2.1921</v>
      </c>
      <c r="AB13" s="7">
        <v>64.25</v>
      </c>
      <c r="AC13" s="7"/>
      <c r="AD13" s="7">
        <v>2.2195</v>
      </c>
      <c r="AE13" s="7">
        <v>63.6</v>
      </c>
      <c r="AF13" s="7"/>
      <c r="AG13" s="7">
        <v>2.2215</v>
      </c>
      <c r="AH13" s="7">
        <v>63.47</v>
      </c>
      <c r="AI13" s="7"/>
      <c r="AJ13" s="7">
        <v>2.2203</v>
      </c>
      <c r="AK13" s="7">
        <v>63.27</v>
      </c>
      <c r="AL13" s="7"/>
      <c r="AM13" s="7">
        <v>2.2107</v>
      </c>
      <c r="AN13" s="7">
        <v>63.56</v>
      </c>
      <c r="AO13" s="7"/>
      <c r="AP13" s="7">
        <v>2.2132</v>
      </c>
      <c r="AQ13" s="7">
        <v>63.53</v>
      </c>
      <c r="AR13" s="7"/>
      <c r="AS13" s="7">
        <v>2.2067</v>
      </c>
      <c r="AT13" s="7">
        <v>63.69</v>
      </c>
      <c r="AU13" s="7"/>
      <c r="AV13" s="7">
        <v>2.2306</v>
      </c>
      <c r="AW13" s="7">
        <v>63.23</v>
      </c>
      <c r="AX13" s="7"/>
      <c r="AY13" s="7">
        <v>2.252</v>
      </c>
      <c r="AZ13" s="7">
        <v>62.71</v>
      </c>
      <c r="BA13" s="7"/>
      <c r="BB13" s="7">
        <v>2.2632</v>
      </c>
      <c r="BC13" s="7">
        <v>62.71</v>
      </c>
      <c r="BD13" s="7"/>
      <c r="BE13" s="7">
        <v>2.2716</v>
      </c>
      <c r="BF13" s="7">
        <v>62.78</v>
      </c>
      <c r="BG13" s="7"/>
      <c r="BH13" s="22">
        <v>2.2606</v>
      </c>
      <c r="BI13" s="22">
        <v>63.09</v>
      </c>
      <c r="BJ13" s="7"/>
      <c r="BK13" s="7">
        <v>2.2671</v>
      </c>
      <c r="BL13" s="20">
        <v>62.93</v>
      </c>
      <c r="BM13" s="20"/>
      <c r="BN13" s="7">
        <f aca="true" t="shared" si="0" ref="BN13:BN35">(C13+F13+I13+L13+O13+R13+U13+X13+AA13+AD13+AG13+AJ13+AM13+AP13+AS13+AV13+AY13+BB13+BE13+BH13+BK13)/21</f>
        <v>2.2164380952380958</v>
      </c>
      <c r="BO13" s="23">
        <f aca="true" t="shared" si="1" ref="BO13:BO35">(D13+G13+J13+M13+P13+S13+V13+Y13+AB13+AE13+AH13+AK13+AN13+AQ13+AT13+AW13+AZ13+BC13+BF13+BI13+BL13)/21</f>
        <v>63.24000000000001</v>
      </c>
    </row>
    <row r="14" spans="1:67" ht="15.75" customHeight="1">
      <c r="A14" s="18">
        <v>2</v>
      </c>
      <c r="B14" s="19" t="s">
        <v>17</v>
      </c>
      <c r="C14" s="7">
        <v>131.56</v>
      </c>
      <c r="D14" s="7">
        <v>103.53</v>
      </c>
      <c r="E14" s="7"/>
      <c r="F14" s="7">
        <v>130.78</v>
      </c>
      <c r="G14" s="7">
        <v>104.68</v>
      </c>
      <c r="H14" s="7"/>
      <c r="I14" s="7">
        <v>130.81</v>
      </c>
      <c r="J14" s="7">
        <v>104.6</v>
      </c>
      <c r="K14" s="7"/>
      <c r="L14" s="7">
        <v>132.73</v>
      </c>
      <c r="M14" s="7">
        <v>103.27</v>
      </c>
      <c r="N14" s="7"/>
      <c r="O14" s="7">
        <v>132.73</v>
      </c>
      <c r="P14" s="7">
        <v>103.27</v>
      </c>
      <c r="Q14" s="7"/>
      <c r="R14" s="7">
        <v>132.73</v>
      </c>
      <c r="S14" s="7">
        <v>103.27</v>
      </c>
      <c r="T14" s="7"/>
      <c r="U14" s="7">
        <v>132.097</v>
      </c>
      <c r="V14" s="7">
        <v>107.3</v>
      </c>
      <c r="W14" s="7"/>
      <c r="X14" s="7">
        <v>131.72</v>
      </c>
      <c r="Y14" s="7">
        <v>106.76</v>
      </c>
      <c r="Z14" s="7"/>
      <c r="AA14" s="7">
        <v>130.89</v>
      </c>
      <c r="AB14" s="7">
        <v>107.61</v>
      </c>
      <c r="AC14" s="7"/>
      <c r="AD14" s="7">
        <v>131.32</v>
      </c>
      <c r="AE14" s="7">
        <v>107.5</v>
      </c>
      <c r="AF14" s="7"/>
      <c r="AG14" s="7">
        <v>132.04</v>
      </c>
      <c r="AH14" s="7">
        <v>106.78</v>
      </c>
      <c r="AI14" s="7"/>
      <c r="AJ14" s="7">
        <v>132.86</v>
      </c>
      <c r="AK14" s="7">
        <v>105.73</v>
      </c>
      <c r="AL14" s="7"/>
      <c r="AM14" s="7">
        <v>132.6</v>
      </c>
      <c r="AN14" s="7">
        <v>105.97</v>
      </c>
      <c r="AO14" s="7"/>
      <c r="AP14" s="7">
        <v>134.27</v>
      </c>
      <c r="AQ14" s="7">
        <v>104.72</v>
      </c>
      <c r="AR14" s="7"/>
      <c r="AS14" s="7">
        <v>134.12</v>
      </c>
      <c r="AT14" s="7">
        <v>104.8</v>
      </c>
      <c r="AU14" s="7"/>
      <c r="AV14" s="7">
        <v>134.24</v>
      </c>
      <c r="AW14" s="7">
        <v>105.06</v>
      </c>
      <c r="AX14" s="7"/>
      <c r="AY14" s="7">
        <v>134.7</v>
      </c>
      <c r="AZ14" s="7">
        <v>104.84</v>
      </c>
      <c r="BA14" s="7"/>
      <c r="BB14" s="7">
        <v>133.68</v>
      </c>
      <c r="BC14" s="7">
        <v>106.17</v>
      </c>
      <c r="BD14" s="7"/>
      <c r="BE14" s="7">
        <v>133.1</v>
      </c>
      <c r="BF14" s="7">
        <v>107.15</v>
      </c>
      <c r="BG14" s="7"/>
      <c r="BH14" s="22">
        <v>132.46</v>
      </c>
      <c r="BI14" s="22">
        <v>107.66</v>
      </c>
      <c r="BJ14" s="7"/>
      <c r="BK14" s="7">
        <v>132.91</v>
      </c>
      <c r="BL14" s="20">
        <v>107.35</v>
      </c>
      <c r="BM14" s="7"/>
      <c r="BN14" s="7">
        <f t="shared" si="0"/>
        <v>132.58795238095232</v>
      </c>
      <c r="BO14" s="23">
        <f t="shared" si="1"/>
        <v>105.62</v>
      </c>
    </row>
    <row r="15" spans="1:67" ht="15.75" customHeight="1">
      <c r="A15" s="18">
        <v>3</v>
      </c>
      <c r="B15" s="19" t="s">
        <v>18</v>
      </c>
      <c r="C15" s="7">
        <f>1/1.4442</f>
        <v>0.6924248719013988</v>
      </c>
      <c r="D15" s="7">
        <v>196.7</v>
      </c>
      <c r="E15" s="7"/>
      <c r="F15" s="7">
        <f>1/1.4405</f>
        <v>0.6942034015966678</v>
      </c>
      <c r="G15" s="7">
        <v>197.2</v>
      </c>
      <c r="H15" s="7"/>
      <c r="I15" s="7">
        <f>1/1.4403</f>
        <v>0.6942997986530585</v>
      </c>
      <c r="J15" s="7">
        <v>197.07</v>
      </c>
      <c r="K15" s="7"/>
      <c r="L15" s="7">
        <f>1/1.4392</f>
        <v>0.6948304613674263</v>
      </c>
      <c r="M15" s="7">
        <v>197.27</v>
      </c>
      <c r="N15" s="7"/>
      <c r="O15" s="7">
        <f>1/1.4392</f>
        <v>0.6948304613674263</v>
      </c>
      <c r="P15" s="7">
        <v>197.27</v>
      </c>
      <c r="Q15" s="7"/>
      <c r="R15" s="7">
        <f>1/1.4392</f>
        <v>0.6948304613674263</v>
      </c>
      <c r="S15" s="7">
        <v>202.23</v>
      </c>
      <c r="T15" s="7"/>
      <c r="U15" s="7">
        <f>1/1.443</f>
        <v>0.693000693000693</v>
      </c>
      <c r="V15" s="7">
        <v>204.6</v>
      </c>
      <c r="W15" s="7"/>
      <c r="X15" s="7">
        <f>1/1.4483</f>
        <v>0.6904646827314783</v>
      </c>
      <c r="Y15" s="7">
        <v>203.67</v>
      </c>
      <c r="Z15" s="7"/>
      <c r="AA15" s="7">
        <f>1/1.4452</f>
        <v>0.691945751453086</v>
      </c>
      <c r="AB15" s="7">
        <v>203.56</v>
      </c>
      <c r="AC15" s="7"/>
      <c r="AD15" s="7">
        <f>1/1.4358</f>
        <v>0.6964758322886196</v>
      </c>
      <c r="AE15" s="7">
        <v>202.69</v>
      </c>
      <c r="AF15" s="7"/>
      <c r="AG15" s="7">
        <f>1/1.4322</f>
        <v>0.6982265046781176</v>
      </c>
      <c r="AH15" s="7">
        <v>201.93</v>
      </c>
      <c r="AI15" s="7"/>
      <c r="AJ15" s="7">
        <f>1/1.4351</f>
        <v>0.6968155529231412</v>
      </c>
      <c r="AK15" s="7">
        <v>201.59</v>
      </c>
      <c r="AL15" s="7"/>
      <c r="AM15" s="7">
        <f>1/1.4368</f>
        <v>0.6959910913140311</v>
      </c>
      <c r="AN15" s="7">
        <v>201.9</v>
      </c>
      <c r="AO15" s="7"/>
      <c r="AP15" s="7">
        <f>1/1.428</f>
        <v>0.700280112044818</v>
      </c>
      <c r="AQ15" s="7">
        <v>200.79</v>
      </c>
      <c r="AR15" s="7"/>
      <c r="AS15" s="7">
        <f>1/1.4285</f>
        <v>0.7000350017500875</v>
      </c>
      <c r="AT15" s="7">
        <v>200.78</v>
      </c>
      <c r="AU15" s="7"/>
      <c r="AV15" s="7">
        <f>1/1.4218</f>
        <v>0.7033338022225348</v>
      </c>
      <c r="AW15" s="7">
        <v>200.53</v>
      </c>
      <c r="AX15" s="7"/>
      <c r="AY15" s="7">
        <f>1/1.4176</f>
        <v>0.7054176072234764</v>
      </c>
      <c r="AZ15" s="7">
        <v>200.2</v>
      </c>
      <c r="BA15" s="7"/>
      <c r="BB15" s="7">
        <f>1/1.4072</f>
        <v>0.7106310403638431</v>
      </c>
      <c r="BC15" s="7">
        <v>199.73</v>
      </c>
      <c r="BD15" s="7"/>
      <c r="BE15" s="7">
        <f>1/1.4066</f>
        <v>0.7109341674960898</v>
      </c>
      <c r="BF15" s="7">
        <v>200.6</v>
      </c>
      <c r="BG15" s="7"/>
      <c r="BH15" s="22">
        <f>1/1.4161</f>
        <v>0.706164818868724</v>
      </c>
      <c r="BI15" s="22">
        <v>201.95</v>
      </c>
      <c r="BJ15" s="7"/>
      <c r="BK15" s="7">
        <f>1/1.4101</f>
        <v>0.70916956244238</v>
      </c>
      <c r="BL15" s="20">
        <v>201.19</v>
      </c>
      <c r="BM15" s="7"/>
      <c r="BN15" s="7">
        <f t="shared" si="0"/>
        <v>0.6987764608121202</v>
      </c>
      <c r="BO15" s="23">
        <f t="shared" si="1"/>
        <v>200.6404761904762</v>
      </c>
    </row>
    <row r="16" spans="1:67" ht="15.75" customHeight="1">
      <c r="A16" s="18">
        <v>4</v>
      </c>
      <c r="B16" s="19" t="s">
        <v>19</v>
      </c>
      <c r="C16" s="7">
        <v>1.6436</v>
      </c>
      <c r="D16" s="7">
        <v>82.87</v>
      </c>
      <c r="E16" s="7"/>
      <c r="F16" s="7">
        <v>1.6472</v>
      </c>
      <c r="G16" s="7">
        <v>83.11</v>
      </c>
      <c r="H16" s="7"/>
      <c r="I16" s="7">
        <v>1.6466</v>
      </c>
      <c r="J16" s="7">
        <v>83.1</v>
      </c>
      <c r="K16" s="7"/>
      <c r="L16" s="7">
        <v>1.6535</v>
      </c>
      <c r="M16" s="7">
        <v>82.9</v>
      </c>
      <c r="N16" s="7"/>
      <c r="O16" s="7">
        <v>1.6535</v>
      </c>
      <c r="P16" s="7">
        <v>82.9</v>
      </c>
      <c r="Q16" s="7"/>
      <c r="R16" s="7">
        <v>1.6535</v>
      </c>
      <c r="S16" s="7">
        <v>82.9</v>
      </c>
      <c r="T16" s="7"/>
      <c r="U16" s="7">
        <v>1.662</v>
      </c>
      <c r="V16" s="7">
        <v>85.26</v>
      </c>
      <c r="W16" s="7"/>
      <c r="X16" s="7">
        <v>1.6559</v>
      </c>
      <c r="Y16" s="7">
        <v>84.92</v>
      </c>
      <c r="Z16" s="7"/>
      <c r="AA16" s="7">
        <v>1.6586</v>
      </c>
      <c r="AB16" s="7">
        <v>84.92</v>
      </c>
      <c r="AC16" s="7"/>
      <c r="AD16" s="7">
        <v>1.6682</v>
      </c>
      <c r="AE16" s="7">
        <v>84.62</v>
      </c>
      <c r="AF16" s="7"/>
      <c r="AG16" s="7">
        <v>1.6659</v>
      </c>
      <c r="AH16" s="7">
        <v>84.64</v>
      </c>
      <c r="AI16" s="7"/>
      <c r="AJ16" s="7">
        <v>1.6678</v>
      </c>
      <c r="AK16" s="7">
        <v>84.22</v>
      </c>
      <c r="AL16" s="7"/>
      <c r="AM16" s="7">
        <v>1.6609</v>
      </c>
      <c r="AN16" s="7">
        <v>84.6</v>
      </c>
      <c r="AO16" s="7"/>
      <c r="AP16" s="7">
        <v>1.6622</v>
      </c>
      <c r="AQ16" s="7">
        <v>84.59</v>
      </c>
      <c r="AR16" s="7"/>
      <c r="AS16" s="7">
        <v>1.6626</v>
      </c>
      <c r="AT16" s="7">
        <v>84.54</v>
      </c>
      <c r="AU16" s="7"/>
      <c r="AV16" s="7">
        <v>1.6733</v>
      </c>
      <c r="AW16" s="7">
        <v>84.29</v>
      </c>
      <c r="AX16" s="7"/>
      <c r="AY16" s="7">
        <v>1.6916</v>
      </c>
      <c r="AZ16" s="7">
        <v>83.49</v>
      </c>
      <c r="BA16" s="7"/>
      <c r="BB16" s="7">
        <v>1.7049</v>
      </c>
      <c r="BC16" s="7">
        <v>83.25</v>
      </c>
      <c r="BD16" s="7"/>
      <c r="BE16" s="7">
        <v>1.709</v>
      </c>
      <c r="BF16" s="7">
        <v>83.45</v>
      </c>
      <c r="BG16" s="7"/>
      <c r="BH16" s="22">
        <v>1.6991</v>
      </c>
      <c r="BI16" s="22">
        <v>83.93</v>
      </c>
      <c r="BJ16" s="7"/>
      <c r="BK16" s="7">
        <v>1.7087</v>
      </c>
      <c r="BL16" s="20">
        <v>83.5</v>
      </c>
      <c r="BM16" s="7"/>
      <c r="BN16" s="7">
        <f t="shared" si="0"/>
        <v>1.6689809523809525</v>
      </c>
      <c r="BO16" s="23">
        <f t="shared" si="1"/>
        <v>83.9047619047619</v>
      </c>
    </row>
    <row r="17" spans="1:67" ht="15.75" customHeight="1">
      <c r="A17" s="18">
        <v>5</v>
      </c>
      <c r="B17" s="19" t="s">
        <v>20</v>
      </c>
      <c r="C17" s="7">
        <v>7.2554</v>
      </c>
      <c r="D17" s="7">
        <v>18.77</v>
      </c>
      <c r="E17" s="7"/>
      <c r="F17" s="7">
        <v>7.3095</v>
      </c>
      <c r="G17" s="7">
        <v>18.73</v>
      </c>
      <c r="H17" s="7"/>
      <c r="I17" s="7">
        <v>7.3275</v>
      </c>
      <c r="J17" s="7">
        <v>18.67</v>
      </c>
      <c r="K17" s="7"/>
      <c r="L17" s="7">
        <v>7.3794</v>
      </c>
      <c r="M17" s="7">
        <v>18.57</v>
      </c>
      <c r="N17" s="7"/>
      <c r="O17" s="7">
        <v>7.3794</v>
      </c>
      <c r="P17" s="7">
        <v>18.57</v>
      </c>
      <c r="Q17" s="7"/>
      <c r="R17" s="7">
        <v>7.3794</v>
      </c>
      <c r="S17" s="7">
        <v>18.57</v>
      </c>
      <c r="T17" s="7"/>
      <c r="U17" s="7">
        <v>7.371</v>
      </c>
      <c r="V17" s="7">
        <v>19.23</v>
      </c>
      <c r="W17" s="7"/>
      <c r="X17" s="7">
        <v>7.3472</v>
      </c>
      <c r="Y17" s="7">
        <v>19.14</v>
      </c>
      <c r="Z17" s="7"/>
      <c r="AA17" s="7">
        <v>7.3521</v>
      </c>
      <c r="AB17" s="7">
        <v>19.16</v>
      </c>
      <c r="AC17" s="7"/>
      <c r="AD17" s="7">
        <v>7.4439</v>
      </c>
      <c r="AE17" s="7">
        <v>18.96</v>
      </c>
      <c r="AF17" s="7"/>
      <c r="AG17" s="7">
        <v>7.4507</v>
      </c>
      <c r="AH17" s="7">
        <v>18.92</v>
      </c>
      <c r="AI17" s="7"/>
      <c r="AJ17" s="7">
        <v>7.4464</v>
      </c>
      <c r="AK17" s="7">
        <v>18.86</v>
      </c>
      <c r="AL17" s="7"/>
      <c r="AM17" s="7">
        <v>7.4145</v>
      </c>
      <c r="AN17" s="7">
        <v>18.95</v>
      </c>
      <c r="AO17" s="7"/>
      <c r="AP17" s="7">
        <v>7.4228</v>
      </c>
      <c r="AQ17" s="7">
        <v>18.94</v>
      </c>
      <c r="AR17" s="7"/>
      <c r="AS17" s="7">
        <v>7.4011</v>
      </c>
      <c r="AT17" s="7">
        <v>18.99</v>
      </c>
      <c r="AU17" s="7"/>
      <c r="AV17" s="7">
        <v>7.4813</v>
      </c>
      <c r="AW17" s="7">
        <v>18.85</v>
      </c>
      <c r="AX17" s="7"/>
      <c r="AY17" s="7">
        <v>7.5528</v>
      </c>
      <c r="AZ17" s="7">
        <v>18.7</v>
      </c>
      <c r="BA17" s="7"/>
      <c r="BB17" s="7">
        <v>7.5903</v>
      </c>
      <c r="BC17" s="7">
        <v>18.7</v>
      </c>
      <c r="BD17" s="7"/>
      <c r="BE17" s="7">
        <v>7.6185</v>
      </c>
      <c r="BF17" s="7">
        <v>18.72</v>
      </c>
      <c r="BG17" s="7"/>
      <c r="BH17" s="22">
        <v>7.5816</v>
      </c>
      <c r="BI17" s="22">
        <v>18.81</v>
      </c>
      <c r="BJ17" s="7"/>
      <c r="BK17" s="7">
        <v>7.6035</v>
      </c>
      <c r="BL17" s="20">
        <v>18.76</v>
      </c>
      <c r="BM17" s="7"/>
      <c r="BN17" s="7">
        <f t="shared" si="0"/>
        <v>7.433728571428573</v>
      </c>
      <c r="BO17" s="23">
        <f t="shared" si="1"/>
        <v>18.836666666666666</v>
      </c>
    </row>
    <row r="18" spans="1:67" ht="15.75" customHeight="1">
      <c r="A18" s="18">
        <v>6</v>
      </c>
      <c r="B18" s="19" t="s">
        <v>21</v>
      </c>
      <c r="C18" s="7">
        <v>2.4375</v>
      </c>
      <c r="D18" s="7">
        <v>55.88</v>
      </c>
      <c r="E18" s="7"/>
      <c r="F18" s="7">
        <v>2.4557</v>
      </c>
      <c r="G18" s="7">
        <v>55.75</v>
      </c>
      <c r="H18" s="7"/>
      <c r="I18" s="7">
        <v>2.4617</v>
      </c>
      <c r="J18" s="7">
        <v>55.58</v>
      </c>
      <c r="K18" s="7"/>
      <c r="L18" s="7">
        <v>2.4791</v>
      </c>
      <c r="M18" s="7">
        <v>55.29</v>
      </c>
      <c r="N18" s="7"/>
      <c r="O18" s="7">
        <v>2.4791</v>
      </c>
      <c r="P18" s="7">
        <v>55.29</v>
      </c>
      <c r="Q18" s="7"/>
      <c r="R18" s="7">
        <v>2.4791</v>
      </c>
      <c r="S18" s="7">
        <v>55.29</v>
      </c>
      <c r="T18" s="7"/>
      <c r="U18" s="7">
        <v>2.476</v>
      </c>
      <c r="V18" s="7">
        <v>57.25</v>
      </c>
      <c r="W18" s="7"/>
      <c r="X18" s="7">
        <v>2.4683</v>
      </c>
      <c r="Y18" s="7">
        <v>56.97</v>
      </c>
      <c r="Z18" s="7"/>
      <c r="AA18" s="7">
        <v>2.47</v>
      </c>
      <c r="AB18" s="7">
        <v>57.03</v>
      </c>
      <c r="AC18" s="7"/>
      <c r="AD18" s="7">
        <v>2.5008</v>
      </c>
      <c r="AE18" s="7">
        <v>56.45</v>
      </c>
      <c r="AF18" s="7"/>
      <c r="AG18" s="7">
        <v>2.5031</v>
      </c>
      <c r="AH18" s="7">
        <v>56.33</v>
      </c>
      <c r="AI18" s="7"/>
      <c r="AJ18" s="7">
        <v>2.5017</v>
      </c>
      <c r="AK18" s="7">
        <v>56.15</v>
      </c>
      <c r="AL18" s="7"/>
      <c r="AM18" s="7">
        <v>2.4909</v>
      </c>
      <c r="AN18" s="7">
        <v>56.41</v>
      </c>
      <c r="AO18" s="7"/>
      <c r="AP18" s="7">
        <v>2.4937</v>
      </c>
      <c r="AQ18" s="7">
        <v>56.38</v>
      </c>
      <c r="AR18" s="7"/>
      <c r="AS18" s="7">
        <v>2.4864</v>
      </c>
      <c r="AT18" s="7">
        <v>56.53</v>
      </c>
      <c r="AU18" s="7"/>
      <c r="AV18" s="7">
        <v>2.5134</v>
      </c>
      <c r="AW18" s="7">
        <v>56.12</v>
      </c>
      <c r="AX18" s="7"/>
      <c r="AY18" s="7">
        <v>2.5374</v>
      </c>
      <c r="AZ18" s="7">
        <v>55.66</v>
      </c>
      <c r="BA18" s="7"/>
      <c r="BB18" s="7">
        <v>2.55</v>
      </c>
      <c r="BC18" s="7">
        <v>55.66</v>
      </c>
      <c r="BD18" s="7"/>
      <c r="BE18" s="7">
        <v>2.5595</v>
      </c>
      <c r="BF18" s="7">
        <v>55.72</v>
      </c>
      <c r="BG18" s="7"/>
      <c r="BH18" s="22">
        <v>2.5471</v>
      </c>
      <c r="BI18" s="22">
        <v>55.99</v>
      </c>
      <c r="BJ18" s="7"/>
      <c r="BK18" s="7">
        <v>2.5544</v>
      </c>
      <c r="BL18" s="20">
        <v>55.85</v>
      </c>
      <c r="BM18" s="7"/>
      <c r="BN18" s="7">
        <f t="shared" si="0"/>
        <v>2.49737619047619</v>
      </c>
      <c r="BO18" s="23">
        <f t="shared" si="1"/>
        <v>56.07523809523808</v>
      </c>
    </row>
    <row r="19" spans="1:67" ht="15.75" customHeight="1">
      <c r="A19" s="18">
        <v>7</v>
      </c>
      <c r="B19" s="19" t="s">
        <v>22</v>
      </c>
      <c r="C19" s="7">
        <v>2141.6547</v>
      </c>
      <c r="D19" s="7">
        <v>63.6</v>
      </c>
      <c r="E19" s="7"/>
      <c r="F19" s="7">
        <v>2157.6443</v>
      </c>
      <c r="G19" s="7">
        <v>63.45</v>
      </c>
      <c r="H19" s="7"/>
      <c r="I19" s="7">
        <v>2162.9468</v>
      </c>
      <c r="J19" s="7">
        <v>63.26</v>
      </c>
      <c r="K19" s="7"/>
      <c r="L19" s="7">
        <v>2178.2765</v>
      </c>
      <c r="M19" s="7">
        <v>62.93</v>
      </c>
      <c r="N19" s="7"/>
      <c r="O19" s="7">
        <v>2178.2765</v>
      </c>
      <c r="P19" s="7">
        <v>62.93</v>
      </c>
      <c r="Q19" s="7"/>
      <c r="R19" s="7">
        <v>2178.2765</v>
      </c>
      <c r="S19" s="7">
        <v>62.93</v>
      </c>
      <c r="T19" s="7"/>
      <c r="U19" s="7">
        <v>2175.261</v>
      </c>
      <c r="V19" s="7">
        <v>65.16</v>
      </c>
      <c r="W19" s="7"/>
      <c r="X19" s="7">
        <v>2168.7612</v>
      </c>
      <c r="Y19" s="7">
        <v>64.84</v>
      </c>
      <c r="Z19" s="7"/>
      <c r="AA19" s="7">
        <v>2170.2197</v>
      </c>
      <c r="AB19" s="7">
        <v>64.9</v>
      </c>
      <c r="AC19" s="7"/>
      <c r="AD19" s="7">
        <v>2197.3105</v>
      </c>
      <c r="AE19" s="7">
        <v>64.24</v>
      </c>
      <c r="AF19" s="7"/>
      <c r="AG19" s="7">
        <v>2199.3071</v>
      </c>
      <c r="AH19" s="7">
        <v>64.11</v>
      </c>
      <c r="AI19" s="7"/>
      <c r="AJ19" s="7">
        <v>2198.0588</v>
      </c>
      <c r="AK19" s="7">
        <v>63.91</v>
      </c>
      <c r="AL19" s="7"/>
      <c r="AM19" s="7">
        <v>2188.6176</v>
      </c>
      <c r="AN19" s="7">
        <v>64.2</v>
      </c>
      <c r="AO19" s="7"/>
      <c r="AP19" s="7">
        <v>2191.0943</v>
      </c>
      <c r="AQ19" s="7">
        <v>64.17</v>
      </c>
      <c r="AR19" s="7"/>
      <c r="AS19" s="7">
        <v>2184.666</v>
      </c>
      <c r="AT19" s="7">
        <v>64.34</v>
      </c>
      <c r="AU19" s="7"/>
      <c r="AV19" s="7">
        <v>2208.3371</v>
      </c>
      <c r="AW19" s="7">
        <v>63.87</v>
      </c>
      <c r="AX19" s="7"/>
      <c r="AY19" s="7">
        <v>2229.4416</v>
      </c>
      <c r="AZ19" s="7">
        <v>63.35</v>
      </c>
      <c r="BA19" s="7"/>
      <c r="BB19" s="7">
        <v>2240.5346</v>
      </c>
      <c r="BC19" s="7">
        <v>63.35</v>
      </c>
      <c r="BD19" s="7"/>
      <c r="BE19" s="7">
        <v>2248.8618</v>
      </c>
      <c r="BF19" s="7">
        <v>63.42</v>
      </c>
      <c r="BG19" s="7"/>
      <c r="BH19" s="22">
        <v>2237.945</v>
      </c>
      <c r="BI19" s="22">
        <v>63.72</v>
      </c>
      <c r="BJ19" s="7"/>
      <c r="BK19" s="7">
        <v>2244.4303</v>
      </c>
      <c r="BL19" s="20">
        <v>63.57</v>
      </c>
      <c r="BM19" s="20"/>
      <c r="BN19" s="7">
        <f t="shared" si="0"/>
        <v>2194.281995238095</v>
      </c>
      <c r="BO19" s="23">
        <f t="shared" si="1"/>
        <v>63.82142857142857</v>
      </c>
    </row>
    <row r="20" spans="1:67" ht="15.75" customHeight="1">
      <c r="A20" s="18">
        <v>8</v>
      </c>
      <c r="B20" s="19" t="s">
        <v>23</v>
      </c>
      <c r="C20" s="7">
        <v>44.6188</v>
      </c>
      <c r="D20" s="7">
        <v>3.05</v>
      </c>
      <c r="E20" s="7"/>
      <c r="F20" s="7">
        <v>44.952</v>
      </c>
      <c r="G20" s="7">
        <v>3.05</v>
      </c>
      <c r="H20" s="7"/>
      <c r="I20" s="7">
        <v>45.0624</v>
      </c>
      <c r="J20" s="7">
        <v>3.04</v>
      </c>
      <c r="K20" s="7"/>
      <c r="L20" s="7">
        <v>45.3818</v>
      </c>
      <c r="M20" s="7">
        <v>3.02</v>
      </c>
      <c r="N20" s="7"/>
      <c r="O20" s="7">
        <v>45.3818</v>
      </c>
      <c r="P20" s="7">
        <v>3.02</v>
      </c>
      <c r="Q20" s="7"/>
      <c r="R20" s="7">
        <v>45.3818</v>
      </c>
      <c r="S20" s="7">
        <v>3.02</v>
      </c>
      <c r="T20" s="7"/>
      <c r="U20" s="7">
        <v>45.284</v>
      </c>
      <c r="V20" s="7">
        <v>3.13</v>
      </c>
      <c r="W20" s="7"/>
      <c r="X20" s="7">
        <v>45.1836</v>
      </c>
      <c r="Y20" s="7">
        <v>3.11</v>
      </c>
      <c r="Z20" s="7"/>
      <c r="AA20" s="7">
        <v>45.214</v>
      </c>
      <c r="AB20" s="7">
        <v>3.12</v>
      </c>
      <c r="AC20" s="7"/>
      <c r="AD20" s="7">
        <v>45.7784</v>
      </c>
      <c r="AE20" s="7">
        <v>3.08</v>
      </c>
      <c r="AF20" s="7"/>
      <c r="AG20" s="7">
        <v>45.82</v>
      </c>
      <c r="AH20" s="7">
        <v>3.08</v>
      </c>
      <c r="AI20" s="7"/>
      <c r="AJ20" s="7">
        <v>45.794</v>
      </c>
      <c r="AK20" s="7">
        <v>3.07</v>
      </c>
      <c r="AL20" s="7"/>
      <c r="AM20" s="7">
        <v>45.5973</v>
      </c>
      <c r="AN20" s="7">
        <v>3.08</v>
      </c>
      <c r="AO20" s="7"/>
      <c r="AP20" s="7">
        <v>45.6489</v>
      </c>
      <c r="AQ20" s="7">
        <v>3.08</v>
      </c>
      <c r="AR20" s="7"/>
      <c r="AS20" s="7">
        <v>45.5149</v>
      </c>
      <c r="AT20" s="7">
        <v>3.09</v>
      </c>
      <c r="AU20" s="7"/>
      <c r="AV20" s="7">
        <v>46.0081</v>
      </c>
      <c r="AW20" s="7">
        <v>3.07</v>
      </c>
      <c r="AX20" s="7"/>
      <c r="AY20" s="7">
        <v>46.4478</v>
      </c>
      <c r="AZ20" s="7">
        <v>3.04</v>
      </c>
      <c r="BA20" s="7"/>
      <c r="BB20" s="7">
        <v>46.6789</v>
      </c>
      <c r="BC20" s="7">
        <v>3.04</v>
      </c>
      <c r="BD20" s="7"/>
      <c r="BE20" s="7">
        <v>46.8524</v>
      </c>
      <c r="BF20" s="7">
        <v>3.04</v>
      </c>
      <c r="BG20" s="7"/>
      <c r="BH20" s="22">
        <v>46.6249</v>
      </c>
      <c r="BI20" s="22">
        <v>3.06</v>
      </c>
      <c r="BJ20" s="7"/>
      <c r="BK20" s="7">
        <v>46.7601</v>
      </c>
      <c r="BL20" s="20">
        <v>3.05</v>
      </c>
      <c r="BM20" s="7"/>
      <c r="BN20" s="7">
        <f t="shared" si="0"/>
        <v>45.713614285714286</v>
      </c>
      <c r="BO20" s="23">
        <f t="shared" si="1"/>
        <v>3.0638095238095233</v>
      </c>
    </row>
    <row r="21" spans="1:67" ht="15.75" customHeight="1">
      <c r="A21" s="18">
        <v>9</v>
      </c>
      <c r="B21" s="2" t="s">
        <v>24</v>
      </c>
      <c r="C21" s="7">
        <f>1/0.9041</f>
        <v>1.1060723371308483</v>
      </c>
      <c r="D21" s="7">
        <v>123.14</v>
      </c>
      <c r="E21" s="7"/>
      <c r="F21" s="7">
        <f>1/0.8974</f>
        <v>1.1143302874972143</v>
      </c>
      <c r="G21" s="7">
        <v>122.85</v>
      </c>
      <c r="H21" s="7"/>
      <c r="I21" s="7">
        <f>1/0.8952</f>
        <v>1.1170688114387846</v>
      </c>
      <c r="J21" s="7">
        <v>122.49</v>
      </c>
      <c r="K21" s="7"/>
      <c r="L21" s="7">
        <f>1/0.8889</f>
        <v>1.124985937675779</v>
      </c>
      <c r="M21" s="7">
        <v>121.84</v>
      </c>
      <c r="N21" s="7"/>
      <c r="O21" s="7">
        <f>1/0.8889</f>
        <v>1.124985937675779</v>
      </c>
      <c r="P21" s="7">
        <v>121.84</v>
      </c>
      <c r="Q21" s="7"/>
      <c r="R21" s="7">
        <f>1/0.8889</f>
        <v>1.124985937675779</v>
      </c>
      <c r="S21" s="7">
        <v>124.24</v>
      </c>
      <c r="T21" s="7"/>
      <c r="U21" s="7">
        <f>1/0.8928</f>
        <v>1.1200716845878136</v>
      </c>
      <c r="V21" s="7">
        <v>126.16</v>
      </c>
      <c r="W21" s="7"/>
      <c r="X21" s="7">
        <f>1/0.8928</f>
        <v>1.1200716845878136</v>
      </c>
      <c r="Y21" s="7">
        <v>125.55</v>
      </c>
      <c r="Z21" s="7"/>
      <c r="AA21" s="7">
        <f>1/0.8922</f>
        <v>1.1208249271463797</v>
      </c>
      <c r="AB21" s="7">
        <v>125.67</v>
      </c>
      <c r="AC21" s="7"/>
      <c r="AD21" s="7">
        <f>1/0.8812</f>
        <v>1.1348161597821154</v>
      </c>
      <c r="AE21" s="7">
        <v>124.4</v>
      </c>
      <c r="AF21" s="7"/>
      <c r="AG21" s="7">
        <f>1/0.8804</f>
        <v>1.1358473421172195</v>
      </c>
      <c r="AH21" s="7">
        <v>124.13</v>
      </c>
      <c r="AI21" s="7"/>
      <c r="AJ21" s="7">
        <f>1/0.8809</f>
        <v>1.13520263367011</v>
      </c>
      <c r="AK21" s="7">
        <v>124.74</v>
      </c>
      <c r="AL21" s="7"/>
      <c r="AM21" s="24">
        <f>1/0.8847</f>
        <v>1.1303266644060133</v>
      </c>
      <c r="AN21" s="7">
        <v>124.32</v>
      </c>
      <c r="AO21" s="7"/>
      <c r="AP21" s="24">
        <f>1/0.8837</f>
        <v>1.1316057485572026</v>
      </c>
      <c r="AQ21" s="7">
        <v>124.25</v>
      </c>
      <c r="AR21" s="7"/>
      <c r="AS21" s="7">
        <f>1/0.8863</f>
        <v>1.128286133363421</v>
      </c>
      <c r="AT21" s="7">
        <v>124.57</v>
      </c>
      <c r="AU21" s="7"/>
      <c r="AV21" s="7">
        <f>1/0.8768</f>
        <v>1.1405109489051095</v>
      </c>
      <c r="AW21" s="7">
        <v>123.66</v>
      </c>
      <c r="AX21" s="7"/>
      <c r="AY21" s="7">
        <f>1/0.8685</f>
        <v>1.1514104778353482</v>
      </c>
      <c r="AZ21" s="7">
        <v>122.65</v>
      </c>
      <c r="BA21" s="7"/>
      <c r="BB21" s="7">
        <f>1/0.8642</f>
        <v>1.1571395510298543</v>
      </c>
      <c r="BC21" s="7">
        <v>122.66</v>
      </c>
      <c r="BD21" s="7"/>
      <c r="BE21" s="7">
        <f>1/0.861</f>
        <v>1.1614401858304297</v>
      </c>
      <c r="BF21" s="7">
        <v>122.79</v>
      </c>
      <c r="BG21" s="7"/>
      <c r="BH21" s="22">
        <f>1/0.8652</f>
        <v>1.155802126675913</v>
      </c>
      <c r="BI21" s="22">
        <v>123.39</v>
      </c>
      <c r="BJ21" s="7"/>
      <c r="BK21" s="7">
        <f>1/0.8627</f>
        <v>1.159151501101194</v>
      </c>
      <c r="BL21" s="20">
        <v>123.09</v>
      </c>
      <c r="BM21" s="7"/>
      <c r="BN21" s="7">
        <f t="shared" si="0"/>
        <v>1.1330922389852438</v>
      </c>
      <c r="BO21" s="23">
        <f t="shared" si="1"/>
        <v>123.7347619047619</v>
      </c>
    </row>
    <row r="22" spans="1:67" ht="15.75" customHeight="1">
      <c r="A22" s="18">
        <v>10</v>
      </c>
      <c r="B22" s="19" t="s">
        <v>25</v>
      </c>
      <c r="C22" s="7">
        <v>278.75</v>
      </c>
      <c r="D22" s="7">
        <v>37965.75</v>
      </c>
      <c r="E22" s="7"/>
      <c r="F22" s="7">
        <v>278.9</v>
      </c>
      <c r="G22" s="7">
        <v>38180.19</v>
      </c>
      <c r="H22" s="7"/>
      <c r="I22" s="7">
        <v>279.6</v>
      </c>
      <c r="J22" s="7">
        <v>38256.27</v>
      </c>
      <c r="K22" s="7"/>
      <c r="L22" s="7">
        <v>278.35</v>
      </c>
      <c r="M22" s="7">
        <v>38153.9</v>
      </c>
      <c r="N22" s="7"/>
      <c r="O22" s="7">
        <v>278.35</v>
      </c>
      <c r="P22" s="7">
        <v>38153.9</v>
      </c>
      <c r="Q22" s="7"/>
      <c r="R22" s="7">
        <v>278.35</v>
      </c>
      <c r="S22" s="7">
        <v>38153.9</v>
      </c>
      <c r="T22" s="7"/>
      <c r="U22" s="7">
        <v>286.5</v>
      </c>
      <c r="V22" s="7">
        <v>40608.19</v>
      </c>
      <c r="W22" s="7"/>
      <c r="X22" s="7">
        <v>286.5</v>
      </c>
      <c r="Y22" s="7">
        <v>40288.88</v>
      </c>
      <c r="Z22" s="7"/>
      <c r="AA22" s="7">
        <v>283.75</v>
      </c>
      <c r="AB22" s="7">
        <v>39967.78</v>
      </c>
      <c r="AC22" s="7"/>
      <c r="AD22" s="7">
        <v>287.9</v>
      </c>
      <c r="AE22" s="7">
        <v>40641.58</v>
      </c>
      <c r="AF22" s="7"/>
      <c r="AG22" s="7">
        <v>284.4</v>
      </c>
      <c r="AH22" s="7">
        <v>40098.98</v>
      </c>
      <c r="AI22" s="7"/>
      <c r="AJ22" s="7">
        <v>283.5</v>
      </c>
      <c r="AK22" s="7">
        <v>39822.89</v>
      </c>
      <c r="AL22" s="7"/>
      <c r="AM22" s="7">
        <v>282.5</v>
      </c>
      <c r="AN22" s="7">
        <v>39696.19</v>
      </c>
      <c r="AO22" s="7"/>
      <c r="AP22" s="7">
        <v>283.1</v>
      </c>
      <c r="AQ22" s="7">
        <v>39805.98</v>
      </c>
      <c r="AR22" s="7"/>
      <c r="AS22" s="7">
        <v>281.35</v>
      </c>
      <c r="AT22" s="7">
        <v>39544.8</v>
      </c>
      <c r="AU22" s="7"/>
      <c r="AV22" s="7">
        <v>278.8</v>
      </c>
      <c r="AW22" s="7">
        <v>39321.26</v>
      </c>
      <c r="AX22" s="7"/>
      <c r="AY22" s="7">
        <v>278.9</v>
      </c>
      <c r="AZ22" s="7">
        <v>39387.65</v>
      </c>
      <c r="BA22" s="7"/>
      <c r="BB22" s="7">
        <v>279.3</v>
      </c>
      <c r="BC22" s="7">
        <v>39642.1</v>
      </c>
      <c r="BD22" s="7"/>
      <c r="BE22" s="7">
        <v>277.7</v>
      </c>
      <c r="BF22" s="7">
        <v>39604.19</v>
      </c>
      <c r="BG22" s="7"/>
      <c r="BH22" s="22">
        <v>280.9</v>
      </c>
      <c r="BI22" s="22">
        <v>40059.15</v>
      </c>
      <c r="BJ22" s="7"/>
      <c r="BK22" s="7">
        <v>281</v>
      </c>
      <c r="BL22" s="20">
        <v>40092.48</v>
      </c>
      <c r="BM22" s="7"/>
      <c r="BN22" s="7">
        <f t="shared" si="0"/>
        <v>281.35238095238094</v>
      </c>
      <c r="BO22" s="23">
        <f t="shared" si="1"/>
        <v>39402.19095238096</v>
      </c>
    </row>
    <row r="23" spans="1:67" ht="15.75" customHeight="1">
      <c r="A23" s="18">
        <v>11</v>
      </c>
      <c r="B23" s="25" t="s">
        <v>26</v>
      </c>
      <c r="C23" s="7">
        <v>4.63</v>
      </c>
      <c r="D23" s="7">
        <v>630.61</v>
      </c>
      <c r="E23" s="7"/>
      <c r="F23" s="7">
        <v>4.68</v>
      </c>
      <c r="G23" s="7">
        <v>640.67</v>
      </c>
      <c r="H23" s="7"/>
      <c r="I23" s="7">
        <v>4.71</v>
      </c>
      <c r="J23" s="7">
        <v>644.45</v>
      </c>
      <c r="K23" s="7"/>
      <c r="L23" s="7">
        <v>4.75</v>
      </c>
      <c r="M23" s="7">
        <v>651.09</v>
      </c>
      <c r="N23" s="7"/>
      <c r="O23" s="7">
        <v>4.75</v>
      </c>
      <c r="P23" s="7">
        <v>651.09</v>
      </c>
      <c r="Q23" s="7"/>
      <c r="R23" s="7">
        <v>4.75</v>
      </c>
      <c r="S23" s="7">
        <v>651.09</v>
      </c>
      <c r="T23" s="7"/>
      <c r="U23" s="7">
        <v>4.72</v>
      </c>
      <c r="V23" s="7">
        <v>669.01</v>
      </c>
      <c r="W23" s="7"/>
      <c r="X23" s="7">
        <v>4.66</v>
      </c>
      <c r="Y23" s="7">
        <v>655.31</v>
      </c>
      <c r="Z23" s="7"/>
      <c r="AA23" s="7">
        <v>4.52</v>
      </c>
      <c r="AB23" s="7">
        <v>636.67</v>
      </c>
      <c r="AC23" s="7"/>
      <c r="AD23" s="7">
        <v>4.66</v>
      </c>
      <c r="AE23" s="7">
        <v>657.83</v>
      </c>
      <c r="AF23" s="7"/>
      <c r="AG23" s="7">
        <v>4.57</v>
      </c>
      <c r="AH23" s="7">
        <v>644.35</v>
      </c>
      <c r="AI23" s="7"/>
      <c r="AJ23" s="7">
        <v>4.38</v>
      </c>
      <c r="AK23" s="7">
        <v>615.25</v>
      </c>
      <c r="AL23" s="7"/>
      <c r="AM23" s="7">
        <v>4.34</v>
      </c>
      <c r="AN23" s="7">
        <v>609.85</v>
      </c>
      <c r="AO23" s="7"/>
      <c r="AP23" s="7">
        <v>4.34</v>
      </c>
      <c r="AQ23" s="7">
        <v>610.24</v>
      </c>
      <c r="AR23" s="7"/>
      <c r="AS23" s="7">
        <v>4.29</v>
      </c>
      <c r="AT23" s="7">
        <v>602.98</v>
      </c>
      <c r="AU23" s="7"/>
      <c r="AV23" s="7">
        <v>4.26</v>
      </c>
      <c r="AW23" s="7">
        <v>600.82</v>
      </c>
      <c r="AX23" s="7"/>
      <c r="AY23" s="7">
        <v>4.32</v>
      </c>
      <c r="AZ23" s="7">
        <v>610.09</v>
      </c>
      <c r="BA23" s="7"/>
      <c r="BB23" s="7">
        <v>4.28</v>
      </c>
      <c r="BC23" s="7">
        <v>607.48</v>
      </c>
      <c r="BD23" s="7"/>
      <c r="BE23" s="7">
        <v>4.22</v>
      </c>
      <c r="BF23" s="7">
        <v>601.84</v>
      </c>
      <c r="BG23" s="7"/>
      <c r="BH23" s="22">
        <v>4.29</v>
      </c>
      <c r="BI23" s="22">
        <v>611.8</v>
      </c>
      <c r="BJ23" s="7"/>
      <c r="BK23" s="7">
        <v>4.27</v>
      </c>
      <c r="BL23" s="20">
        <v>609.23</v>
      </c>
      <c r="BM23" s="7"/>
      <c r="BN23" s="7">
        <f t="shared" si="0"/>
        <v>4.494761904761906</v>
      </c>
      <c r="BO23" s="23">
        <f t="shared" si="1"/>
        <v>629.1309523809523</v>
      </c>
    </row>
    <row r="24" spans="1:67" ht="15.75" customHeight="1">
      <c r="A24" s="18">
        <v>12</v>
      </c>
      <c r="B24" s="19" t="s">
        <v>27</v>
      </c>
      <c r="C24" s="7">
        <f>1/0.5164</f>
        <v>1.9364833462432225</v>
      </c>
      <c r="D24" s="7">
        <v>70.33</v>
      </c>
      <c r="E24" s="7"/>
      <c r="F24" s="7">
        <f>1/0.5189</f>
        <v>1.927153594141453</v>
      </c>
      <c r="G24" s="7">
        <v>71.04</v>
      </c>
      <c r="H24" s="7"/>
      <c r="I24" s="7">
        <f>1/0.5192</f>
        <v>1.926040061633282</v>
      </c>
      <c r="J24" s="7">
        <v>71.04</v>
      </c>
      <c r="K24" s="7"/>
      <c r="L24" s="7">
        <f>1/0.5199</f>
        <v>1.9234468166955183</v>
      </c>
      <c r="M24" s="7">
        <v>71.26</v>
      </c>
      <c r="N24" s="7"/>
      <c r="O24" s="7">
        <f>1/0.5199</f>
        <v>1.9234468166955183</v>
      </c>
      <c r="P24" s="7">
        <v>71.26</v>
      </c>
      <c r="Q24" s="7"/>
      <c r="R24" s="7">
        <f>1/0.5199</f>
        <v>1.9234468166955183</v>
      </c>
      <c r="S24" s="7">
        <v>71.26</v>
      </c>
      <c r="T24" s="7"/>
      <c r="U24" s="7">
        <f>1/0.521</f>
        <v>1.9193857965451055</v>
      </c>
      <c r="V24" s="7">
        <v>73.86</v>
      </c>
      <c r="W24" s="7"/>
      <c r="X24" s="7">
        <f>1/0.5175</f>
        <v>1.9323671497584543</v>
      </c>
      <c r="Y24" s="7">
        <v>72.77</v>
      </c>
      <c r="Z24" s="7"/>
      <c r="AA24" s="7">
        <f>1/0.5189</f>
        <v>1.927153594141453</v>
      </c>
      <c r="AB24" s="7">
        <v>73.09</v>
      </c>
      <c r="AC24" s="7"/>
      <c r="AD24" s="7">
        <f>1/0.5145</f>
        <v>1.9436345966958213</v>
      </c>
      <c r="AE24" s="7">
        <v>72.63</v>
      </c>
      <c r="AF24" s="7"/>
      <c r="AG24" s="7">
        <f>1/0.5137</f>
        <v>1.9466614755693983</v>
      </c>
      <c r="AH24" s="7">
        <v>72.43</v>
      </c>
      <c r="AI24" s="7"/>
      <c r="AJ24" s="7">
        <f>1/0.5155</f>
        <v>1.939864209505335</v>
      </c>
      <c r="AK24" s="7">
        <v>72.41</v>
      </c>
      <c r="AL24" s="7"/>
      <c r="AM24" s="7">
        <f>1/0.5165</f>
        <v>1.9361084220716362</v>
      </c>
      <c r="AN24" s="7">
        <v>72.58</v>
      </c>
      <c r="AO24" s="7"/>
      <c r="AP24" s="7">
        <f>1/0.5195</f>
        <v>1.9249278152069298</v>
      </c>
      <c r="AQ24" s="7">
        <v>73.05</v>
      </c>
      <c r="AR24" s="7"/>
      <c r="AS24" s="7">
        <f>1/0.52</f>
        <v>1.923076923076923</v>
      </c>
      <c r="AT24" s="7">
        <v>73.09</v>
      </c>
      <c r="AU24" s="7"/>
      <c r="AV24" s="7">
        <f>1/0.5166</f>
        <v>1.9357336430507164</v>
      </c>
      <c r="AW24" s="7">
        <v>72.86</v>
      </c>
      <c r="AX24" s="7"/>
      <c r="AY24" s="7">
        <f>1/0.5154</f>
        <v>1.9402405898331394</v>
      </c>
      <c r="AZ24" s="7">
        <v>72.79</v>
      </c>
      <c r="BA24" s="7"/>
      <c r="BB24" s="7">
        <f>1/0.5153</f>
        <v>1.9406171162429653</v>
      </c>
      <c r="BC24" s="7">
        <v>73.14</v>
      </c>
      <c r="BD24" s="7"/>
      <c r="BE24" s="7">
        <f>1/0.5131</f>
        <v>1.9489378288832586</v>
      </c>
      <c r="BF24" s="7">
        <v>73.18</v>
      </c>
      <c r="BG24" s="7"/>
      <c r="BH24" s="22">
        <f>1/0.5064</f>
        <v>1.9747235387045816</v>
      </c>
      <c r="BI24" s="22">
        <v>72.22</v>
      </c>
      <c r="BJ24" s="7"/>
      <c r="BK24" s="7">
        <f>1/0.5084</f>
        <v>1.966955153422502</v>
      </c>
      <c r="BL24" s="20">
        <v>72.54</v>
      </c>
      <c r="BM24" s="7"/>
      <c r="BN24" s="7">
        <f t="shared" si="0"/>
        <v>1.9362097764196544</v>
      </c>
      <c r="BO24" s="23">
        <f t="shared" si="1"/>
        <v>72.32523809523809</v>
      </c>
    </row>
    <row r="25" spans="1:67" ht="15.75" customHeight="1">
      <c r="A25" s="18">
        <v>13</v>
      </c>
      <c r="B25" s="19" t="s">
        <v>28</v>
      </c>
      <c r="C25" s="7">
        <v>1.5959</v>
      </c>
      <c r="D25" s="7">
        <v>85.34</v>
      </c>
      <c r="E25" s="7"/>
      <c r="F25" s="7">
        <v>1.595</v>
      </c>
      <c r="G25" s="7">
        <v>85.83</v>
      </c>
      <c r="H25" s="7"/>
      <c r="I25" s="7">
        <v>1.5941</v>
      </c>
      <c r="J25" s="7">
        <v>85.83</v>
      </c>
      <c r="K25" s="7"/>
      <c r="L25" s="7">
        <v>1.6016</v>
      </c>
      <c r="M25" s="7">
        <v>85.58</v>
      </c>
      <c r="N25" s="7"/>
      <c r="O25" s="7">
        <v>1.6016</v>
      </c>
      <c r="P25" s="7">
        <v>85.58</v>
      </c>
      <c r="Q25" s="7"/>
      <c r="R25" s="7">
        <v>1.6016</v>
      </c>
      <c r="S25" s="7">
        <v>85.58</v>
      </c>
      <c r="T25" s="7"/>
      <c r="U25" s="7">
        <v>1.599</v>
      </c>
      <c r="V25" s="7">
        <v>88.64</v>
      </c>
      <c r="W25" s="7"/>
      <c r="X25" s="7">
        <v>1.5963</v>
      </c>
      <c r="Y25" s="7">
        <v>88.09</v>
      </c>
      <c r="Z25" s="7"/>
      <c r="AA25" s="7">
        <v>1.5916</v>
      </c>
      <c r="AB25" s="7">
        <v>88.5</v>
      </c>
      <c r="AC25" s="7"/>
      <c r="AD25" s="7">
        <v>1.589</v>
      </c>
      <c r="AE25" s="7">
        <v>88.84</v>
      </c>
      <c r="AF25" s="7"/>
      <c r="AG25" s="7">
        <v>1.6126</v>
      </c>
      <c r="AH25" s="7">
        <v>87.43</v>
      </c>
      <c r="AI25" s="7"/>
      <c r="AJ25" s="7">
        <v>1.6137</v>
      </c>
      <c r="AK25" s="7">
        <v>87.05</v>
      </c>
      <c r="AL25" s="7"/>
      <c r="AM25" s="7">
        <v>1.6146</v>
      </c>
      <c r="AN25" s="7">
        <v>87.03</v>
      </c>
      <c r="AO25" s="7"/>
      <c r="AP25" s="7">
        <v>1.6084</v>
      </c>
      <c r="AQ25" s="7">
        <v>87.42</v>
      </c>
      <c r="AR25" s="7"/>
      <c r="AS25" s="7">
        <v>1.6084</v>
      </c>
      <c r="AT25" s="7">
        <v>87.39</v>
      </c>
      <c r="AU25" s="7"/>
      <c r="AV25" s="7">
        <v>1.5998</v>
      </c>
      <c r="AW25" s="7">
        <v>88.16</v>
      </c>
      <c r="AX25" s="7"/>
      <c r="AY25" s="7">
        <v>1.6036</v>
      </c>
      <c r="AZ25" s="7">
        <v>88.07</v>
      </c>
      <c r="BA25" s="7"/>
      <c r="BB25" s="7">
        <v>1.6122</v>
      </c>
      <c r="BC25" s="7">
        <v>88.04</v>
      </c>
      <c r="BD25" s="7"/>
      <c r="BE25" s="7">
        <v>1.5923</v>
      </c>
      <c r="BF25" s="7">
        <v>89.57</v>
      </c>
      <c r="BG25" s="7"/>
      <c r="BH25" s="22">
        <v>1.5877</v>
      </c>
      <c r="BI25" s="22">
        <v>89.82</v>
      </c>
      <c r="BJ25" s="7"/>
      <c r="BK25" s="7">
        <v>1.5854</v>
      </c>
      <c r="BL25" s="20">
        <v>89.99</v>
      </c>
      <c r="BM25" s="7"/>
      <c r="BN25" s="7">
        <f t="shared" si="0"/>
        <v>1.6002095238095237</v>
      </c>
      <c r="BO25" s="23">
        <f t="shared" si="1"/>
        <v>87.51333333333334</v>
      </c>
    </row>
    <row r="26" spans="1:67" ht="15.75" customHeight="1">
      <c r="A26" s="18">
        <v>14</v>
      </c>
      <c r="B26" s="19" t="s">
        <v>29</v>
      </c>
      <c r="C26" s="7">
        <v>15.2199</v>
      </c>
      <c r="D26" s="7">
        <v>8.95</v>
      </c>
      <c r="E26" s="7"/>
      <c r="F26" s="7">
        <v>15.3335</v>
      </c>
      <c r="G26" s="7">
        <v>8.93</v>
      </c>
      <c r="H26" s="7"/>
      <c r="I26" s="7">
        <v>15.3712</v>
      </c>
      <c r="J26" s="7">
        <v>8.9</v>
      </c>
      <c r="K26" s="7"/>
      <c r="L26" s="7">
        <v>15.4801</v>
      </c>
      <c r="M26" s="7">
        <v>8.85</v>
      </c>
      <c r="N26" s="7"/>
      <c r="O26" s="7">
        <v>15.4801</v>
      </c>
      <c r="P26" s="7">
        <v>8.85</v>
      </c>
      <c r="Q26" s="7"/>
      <c r="R26" s="7">
        <v>15.4801</v>
      </c>
      <c r="S26" s="7">
        <v>8.85</v>
      </c>
      <c r="T26" s="7"/>
      <c r="U26" s="7">
        <v>15.457</v>
      </c>
      <c r="V26" s="7">
        <v>9.17</v>
      </c>
      <c r="W26" s="7"/>
      <c r="X26" s="7">
        <v>15.4125</v>
      </c>
      <c r="Y26" s="7">
        <v>9.12</v>
      </c>
      <c r="Z26" s="7"/>
      <c r="AA26" s="7">
        <v>15.4229</v>
      </c>
      <c r="AB26" s="7">
        <v>9.13</v>
      </c>
      <c r="AC26" s="7"/>
      <c r="AD26" s="7">
        <v>15.6154</v>
      </c>
      <c r="AE26" s="7">
        <v>9.04</v>
      </c>
      <c r="AF26" s="7"/>
      <c r="AG26" s="7">
        <v>15.6296</v>
      </c>
      <c r="AH26" s="7">
        <v>9.02</v>
      </c>
      <c r="AI26" s="7"/>
      <c r="AJ26" s="7">
        <v>15.6207</v>
      </c>
      <c r="AK26" s="7">
        <v>8.99</v>
      </c>
      <c r="AL26" s="7"/>
      <c r="AM26" s="7">
        <v>15.5536</v>
      </c>
      <c r="AN26" s="7">
        <v>9.03</v>
      </c>
      <c r="AO26" s="7"/>
      <c r="AP26" s="7">
        <v>15.5712</v>
      </c>
      <c r="AQ26" s="7">
        <v>9.03</v>
      </c>
      <c r="AR26" s="7"/>
      <c r="AS26" s="7">
        <v>15.5256</v>
      </c>
      <c r="AT26" s="7">
        <v>9.05</v>
      </c>
      <c r="AU26" s="7"/>
      <c r="AV26" s="7">
        <v>15.6938</v>
      </c>
      <c r="AW26" s="7">
        <v>8.99</v>
      </c>
      <c r="AX26" s="7"/>
      <c r="AY26" s="7">
        <v>15.8438</v>
      </c>
      <c r="AZ26" s="7">
        <v>8.91</v>
      </c>
      <c r="BA26" s="7"/>
      <c r="BB26" s="7">
        <v>15.9226</v>
      </c>
      <c r="BC26" s="7">
        <v>8.91</v>
      </c>
      <c r="BD26" s="7"/>
      <c r="BE26" s="7">
        <v>15.9818</v>
      </c>
      <c r="BF26" s="7">
        <v>8.92</v>
      </c>
      <c r="BG26" s="7"/>
      <c r="BH26" s="22">
        <v>15.9042</v>
      </c>
      <c r="BI26" s="22">
        <v>8.97</v>
      </c>
      <c r="BJ26" s="7"/>
      <c r="BK26" s="7">
        <v>15.9503</v>
      </c>
      <c r="BL26" s="20">
        <v>8.95</v>
      </c>
      <c r="BM26" s="7"/>
      <c r="BN26" s="7">
        <f t="shared" si="0"/>
        <v>15.593804761904764</v>
      </c>
      <c r="BO26" s="23">
        <f t="shared" si="1"/>
        <v>8.979047619047618</v>
      </c>
    </row>
    <row r="27" spans="1:67" ht="15.75" customHeight="1">
      <c r="A27" s="18">
        <v>15</v>
      </c>
      <c r="B27" s="19" t="s">
        <v>30</v>
      </c>
      <c r="C27" s="7">
        <v>184.035</v>
      </c>
      <c r="D27" s="7">
        <v>74.01</v>
      </c>
      <c r="E27" s="7"/>
      <c r="F27" s="7">
        <v>185.409</v>
      </c>
      <c r="G27" s="7">
        <v>73.83</v>
      </c>
      <c r="H27" s="7"/>
      <c r="I27" s="7">
        <v>185.8646</v>
      </c>
      <c r="J27" s="7">
        <v>73.62</v>
      </c>
      <c r="K27" s="7"/>
      <c r="L27" s="7">
        <v>187.1819</v>
      </c>
      <c r="M27" s="7">
        <v>73.23</v>
      </c>
      <c r="N27" s="7"/>
      <c r="O27" s="7">
        <v>187.1819</v>
      </c>
      <c r="P27" s="7">
        <v>73.23</v>
      </c>
      <c r="Q27" s="7"/>
      <c r="R27" s="7">
        <v>187.1819</v>
      </c>
      <c r="S27" s="7">
        <v>73.23</v>
      </c>
      <c r="T27" s="7"/>
      <c r="U27" s="7">
        <v>186.918</v>
      </c>
      <c r="V27" s="45">
        <v>75.83</v>
      </c>
      <c r="W27" s="7"/>
      <c r="X27" s="7">
        <v>186.3642</v>
      </c>
      <c r="Y27" s="45">
        <v>75.46</v>
      </c>
      <c r="Z27" s="7"/>
      <c r="AA27" s="7">
        <v>186.4896</v>
      </c>
      <c r="AB27" s="7">
        <v>75.53</v>
      </c>
      <c r="AC27" s="7"/>
      <c r="AD27" s="7">
        <v>188.8175</v>
      </c>
      <c r="AE27" s="7">
        <v>74.76</v>
      </c>
      <c r="AF27" s="7"/>
      <c r="AG27" s="7">
        <v>188.9891</v>
      </c>
      <c r="AH27" s="7">
        <v>74.6</v>
      </c>
      <c r="AI27" s="7"/>
      <c r="AJ27" s="7">
        <v>188.8818</v>
      </c>
      <c r="AK27" s="7">
        <v>74.37</v>
      </c>
      <c r="AL27" s="7"/>
      <c r="AM27" s="7">
        <v>188.0705</v>
      </c>
      <c r="AN27" s="7">
        <v>74.72</v>
      </c>
      <c r="AO27" s="7"/>
      <c r="AP27" s="7">
        <v>188.2834</v>
      </c>
      <c r="AQ27" s="7">
        <v>74.68</v>
      </c>
      <c r="AR27" s="7"/>
      <c r="AS27" s="7">
        <v>187.731</v>
      </c>
      <c r="AT27" s="7">
        <v>74.87</v>
      </c>
      <c r="AU27" s="7"/>
      <c r="AV27" s="7">
        <v>189.7651</v>
      </c>
      <c r="AW27" s="7">
        <v>74.32</v>
      </c>
      <c r="AX27" s="7"/>
      <c r="AY27" s="7">
        <v>191.5786</v>
      </c>
      <c r="AZ27" s="7">
        <v>73.72</v>
      </c>
      <c r="BA27" s="7"/>
      <c r="BB27" s="7">
        <v>192.5318</v>
      </c>
      <c r="BC27" s="7">
        <v>73.72</v>
      </c>
      <c r="BD27" s="7"/>
      <c r="BE27" s="7">
        <v>193.2474</v>
      </c>
      <c r="BF27" s="7">
        <v>73.8</v>
      </c>
      <c r="BG27" s="7"/>
      <c r="BH27" s="22">
        <v>192.3093</v>
      </c>
      <c r="BI27" s="22">
        <v>74.16</v>
      </c>
      <c r="BJ27" s="7"/>
      <c r="BK27" s="7">
        <v>192.8666</v>
      </c>
      <c r="BL27" s="20">
        <v>73.98</v>
      </c>
      <c r="BM27" s="7"/>
      <c r="BN27" s="7">
        <f t="shared" si="0"/>
        <v>188.55705714285716</v>
      </c>
      <c r="BO27" s="23">
        <f t="shared" si="1"/>
        <v>74.27000000000001</v>
      </c>
    </row>
    <row r="28" spans="1:67" ht="15.75" customHeight="1">
      <c r="A28" s="18">
        <v>16</v>
      </c>
      <c r="B28" s="19" t="s">
        <v>31</v>
      </c>
      <c r="C28" s="7">
        <v>10.2309</v>
      </c>
      <c r="D28" s="7">
        <v>13.31</v>
      </c>
      <c r="E28" s="7"/>
      <c r="F28" s="7">
        <v>10.2897</v>
      </c>
      <c r="G28" s="7">
        <v>13.3</v>
      </c>
      <c r="H28" s="7"/>
      <c r="I28" s="7">
        <v>10.2764</v>
      </c>
      <c r="J28" s="7">
        <v>13.31</v>
      </c>
      <c r="K28" s="7"/>
      <c r="L28" s="7">
        <v>10.3933</v>
      </c>
      <c r="M28" s="7">
        <v>13.19</v>
      </c>
      <c r="N28" s="7"/>
      <c r="O28" s="7">
        <v>10.3933</v>
      </c>
      <c r="P28" s="7">
        <v>13.19</v>
      </c>
      <c r="Q28" s="7"/>
      <c r="R28" s="7">
        <v>10.3933</v>
      </c>
      <c r="S28" s="7">
        <v>13.19</v>
      </c>
      <c r="T28" s="7"/>
      <c r="U28" s="7">
        <v>10.286</v>
      </c>
      <c r="V28" s="7">
        <v>13.78</v>
      </c>
      <c r="W28" s="7"/>
      <c r="X28" s="7">
        <v>10.3096</v>
      </c>
      <c r="Y28" s="7">
        <v>13.64</v>
      </c>
      <c r="Z28" s="7"/>
      <c r="AA28" s="7">
        <v>10.3345</v>
      </c>
      <c r="AB28" s="7">
        <v>13.63</v>
      </c>
      <c r="AC28" s="7"/>
      <c r="AD28" s="7">
        <v>10.4234</v>
      </c>
      <c r="AE28" s="7">
        <v>13.54</v>
      </c>
      <c r="AF28" s="7"/>
      <c r="AG28" s="7">
        <v>10.5303</v>
      </c>
      <c r="AH28" s="7">
        <v>13.39</v>
      </c>
      <c r="AI28" s="7"/>
      <c r="AJ28" s="7">
        <v>10.5102</v>
      </c>
      <c r="AK28" s="7">
        <v>13.36</v>
      </c>
      <c r="AL28" s="7"/>
      <c r="AM28" s="7">
        <v>10.414</v>
      </c>
      <c r="AN28" s="7">
        <v>13.49</v>
      </c>
      <c r="AO28" s="7"/>
      <c r="AP28" s="7">
        <v>10.4471</v>
      </c>
      <c r="AQ28" s="7">
        <v>13.46</v>
      </c>
      <c r="AR28" s="7"/>
      <c r="AS28" s="7">
        <v>10.4643</v>
      </c>
      <c r="AT28" s="7">
        <v>13.43</v>
      </c>
      <c r="AU28" s="7"/>
      <c r="AV28" s="7">
        <v>10.5267</v>
      </c>
      <c r="AW28" s="7">
        <v>13.4</v>
      </c>
      <c r="AX28" s="7"/>
      <c r="AY28" s="7">
        <v>10.6254</v>
      </c>
      <c r="AZ28" s="7">
        <v>13.29</v>
      </c>
      <c r="BA28" s="7"/>
      <c r="BB28" s="7">
        <v>10.6838</v>
      </c>
      <c r="BC28" s="7">
        <v>13.28</v>
      </c>
      <c r="BD28" s="7"/>
      <c r="BE28" s="7">
        <v>10.7065</v>
      </c>
      <c r="BF28" s="7">
        <v>13.32</v>
      </c>
      <c r="BG28" s="7"/>
      <c r="BH28" s="22">
        <v>10.67</v>
      </c>
      <c r="BI28" s="22">
        <v>13.37</v>
      </c>
      <c r="BJ28" s="7"/>
      <c r="BK28" s="7">
        <v>10.6291</v>
      </c>
      <c r="BL28" s="20">
        <v>13.42</v>
      </c>
      <c r="BM28" s="7"/>
      <c r="BN28" s="7">
        <f t="shared" si="0"/>
        <v>10.454180952380952</v>
      </c>
      <c r="BO28" s="23">
        <f t="shared" si="1"/>
        <v>13.394761904761905</v>
      </c>
    </row>
    <row r="29" spans="1:67" ht="15.75" customHeight="1">
      <c r="A29" s="18">
        <v>17</v>
      </c>
      <c r="B29" s="19" t="s">
        <v>32</v>
      </c>
      <c r="C29" s="7">
        <v>8.872</v>
      </c>
      <c r="D29" s="7">
        <v>15.35</v>
      </c>
      <c r="E29" s="7"/>
      <c r="F29" s="7">
        <v>8.905</v>
      </c>
      <c r="G29" s="7">
        <v>15.37</v>
      </c>
      <c r="H29" s="7"/>
      <c r="I29" s="7">
        <v>8.9082</v>
      </c>
      <c r="J29" s="7">
        <v>15.36</v>
      </c>
      <c r="K29" s="7"/>
      <c r="L29" s="7">
        <v>8.9514</v>
      </c>
      <c r="M29" s="7">
        <v>15.31</v>
      </c>
      <c r="N29" s="7"/>
      <c r="O29" s="7">
        <v>8.9514</v>
      </c>
      <c r="P29" s="7">
        <v>15.31</v>
      </c>
      <c r="Q29" s="7"/>
      <c r="R29" s="7">
        <v>8.9514</v>
      </c>
      <c r="S29" s="7">
        <v>15.31</v>
      </c>
      <c r="T29" s="7"/>
      <c r="U29" s="7">
        <v>8.926</v>
      </c>
      <c r="V29" s="7">
        <v>15.88</v>
      </c>
      <c r="W29" s="7"/>
      <c r="X29" s="7">
        <v>8.8991</v>
      </c>
      <c r="Y29" s="7">
        <v>15.8</v>
      </c>
      <c r="Z29" s="7"/>
      <c r="AA29" s="7">
        <v>8.8985</v>
      </c>
      <c r="AB29" s="7">
        <v>15.83</v>
      </c>
      <c r="AC29" s="7"/>
      <c r="AD29" s="7">
        <v>8.9753</v>
      </c>
      <c r="AE29" s="7">
        <v>15.73</v>
      </c>
      <c r="AF29" s="7"/>
      <c r="AG29" s="7">
        <v>8.973</v>
      </c>
      <c r="AH29" s="7">
        <v>15.71</v>
      </c>
      <c r="AI29" s="7"/>
      <c r="AJ29" s="7">
        <v>8.9757</v>
      </c>
      <c r="AK29" s="7">
        <v>15.65</v>
      </c>
      <c r="AL29" s="7"/>
      <c r="AM29" s="7">
        <v>8.9484</v>
      </c>
      <c r="AN29" s="7">
        <v>15.7</v>
      </c>
      <c r="AO29" s="7"/>
      <c r="AP29" s="7">
        <v>8.9438</v>
      </c>
      <c r="AQ29" s="7">
        <v>15.72</v>
      </c>
      <c r="AR29" s="7"/>
      <c r="AS29" s="7">
        <v>8.9404</v>
      </c>
      <c r="AT29" s="7">
        <v>15.72</v>
      </c>
      <c r="AU29" s="7"/>
      <c r="AV29" s="7">
        <v>8.986</v>
      </c>
      <c r="AW29" s="7">
        <v>15.7</v>
      </c>
      <c r="AX29" s="7"/>
      <c r="AY29" s="7">
        <v>9.0457</v>
      </c>
      <c r="AZ29" s="7">
        <v>15.61</v>
      </c>
      <c r="BA29" s="7"/>
      <c r="BB29" s="7">
        <v>9.0741</v>
      </c>
      <c r="BC29" s="7">
        <v>15.64</v>
      </c>
      <c r="BD29" s="7"/>
      <c r="BE29" s="7">
        <v>9.1092</v>
      </c>
      <c r="BF29" s="7">
        <v>15.66</v>
      </c>
      <c r="BG29" s="7"/>
      <c r="BH29" s="22">
        <v>9.0724</v>
      </c>
      <c r="BI29" s="22">
        <v>15.72</v>
      </c>
      <c r="BJ29" s="7"/>
      <c r="BK29" s="7">
        <v>9.0719</v>
      </c>
      <c r="BL29" s="20">
        <v>15.73</v>
      </c>
      <c r="BM29" s="7"/>
      <c r="BN29" s="7">
        <f t="shared" si="0"/>
        <v>8.970423809523808</v>
      </c>
      <c r="BO29" s="23">
        <f t="shared" si="1"/>
        <v>15.610000000000003</v>
      </c>
    </row>
    <row r="30" spans="1:67" ht="15.75" customHeight="1">
      <c r="A30" s="18">
        <v>18</v>
      </c>
      <c r="B30" s="19" t="s">
        <v>33</v>
      </c>
      <c r="C30" s="7">
        <v>8.224</v>
      </c>
      <c r="D30" s="7">
        <v>16.56</v>
      </c>
      <c r="E30" s="7"/>
      <c r="F30" s="7">
        <v>8.2845</v>
      </c>
      <c r="G30" s="7">
        <v>16.52</v>
      </c>
      <c r="H30" s="7"/>
      <c r="I30" s="7">
        <v>8.3105</v>
      </c>
      <c r="J30" s="7">
        <v>16.46</v>
      </c>
      <c r="K30" s="7"/>
      <c r="L30" s="7">
        <v>8.3632</v>
      </c>
      <c r="M30" s="7">
        <v>16.39</v>
      </c>
      <c r="N30" s="7"/>
      <c r="O30" s="7">
        <v>8.3632</v>
      </c>
      <c r="P30" s="7">
        <v>16.39</v>
      </c>
      <c r="Q30" s="7"/>
      <c r="R30" s="7">
        <v>8.3632</v>
      </c>
      <c r="S30" s="7">
        <v>16.39</v>
      </c>
      <c r="T30" s="7"/>
      <c r="U30" s="7">
        <v>8.352</v>
      </c>
      <c r="V30" s="7">
        <v>16.97</v>
      </c>
      <c r="W30" s="7"/>
      <c r="X30" s="7">
        <v>8.3238</v>
      </c>
      <c r="Y30" s="7">
        <v>16.89</v>
      </c>
      <c r="Z30" s="7"/>
      <c r="AA30" s="7">
        <v>8.3</v>
      </c>
      <c r="AB30" s="7">
        <v>16.97</v>
      </c>
      <c r="AC30" s="7"/>
      <c r="AD30" s="7">
        <v>8.43</v>
      </c>
      <c r="AE30" s="7">
        <v>16.75</v>
      </c>
      <c r="AF30" s="7"/>
      <c r="AG30" s="7">
        <v>8.4377</v>
      </c>
      <c r="AH30" s="7">
        <v>16.71</v>
      </c>
      <c r="AI30" s="7"/>
      <c r="AJ30" s="7">
        <v>8.4314</v>
      </c>
      <c r="AK30" s="7">
        <v>16.66</v>
      </c>
      <c r="AL30" s="7"/>
      <c r="AM30" s="7">
        <v>8.3996</v>
      </c>
      <c r="AN30" s="7">
        <v>16.73</v>
      </c>
      <c r="AO30" s="7"/>
      <c r="AP30" s="7">
        <v>8.4036</v>
      </c>
      <c r="AQ30" s="7">
        <v>16.73</v>
      </c>
      <c r="AR30" s="7"/>
      <c r="AS30" s="7">
        <v>8.3805</v>
      </c>
      <c r="AT30" s="7">
        <v>16.77</v>
      </c>
      <c r="AU30" s="7"/>
      <c r="AV30" s="7">
        <v>8.4652</v>
      </c>
      <c r="AW30" s="7">
        <v>16.66</v>
      </c>
      <c r="AX30" s="7"/>
      <c r="AY30" s="7">
        <v>8.5516</v>
      </c>
      <c r="AZ30" s="7">
        <v>16.51</v>
      </c>
      <c r="BA30" s="7"/>
      <c r="BB30" s="7">
        <v>8.5949</v>
      </c>
      <c r="BC30" s="7">
        <v>16.51</v>
      </c>
      <c r="BD30" s="7"/>
      <c r="BE30" s="7">
        <v>8.625</v>
      </c>
      <c r="BF30" s="7">
        <v>16.54</v>
      </c>
      <c r="BG30" s="7"/>
      <c r="BH30" s="22">
        <v>8.5831</v>
      </c>
      <c r="BI30" s="22">
        <v>16.62</v>
      </c>
      <c r="BJ30" s="7"/>
      <c r="BK30" s="7">
        <v>8.6098</v>
      </c>
      <c r="BL30" s="20">
        <v>16.57</v>
      </c>
      <c r="BM30" s="7"/>
      <c r="BN30" s="7">
        <f t="shared" si="0"/>
        <v>8.418895238095239</v>
      </c>
      <c r="BO30" s="23">
        <f t="shared" si="1"/>
        <v>16.633333333333333</v>
      </c>
    </row>
    <row r="31" spans="1:67" ht="15.75" customHeight="1">
      <c r="A31" s="18">
        <v>19</v>
      </c>
      <c r="B31" s="19" t="s">
        <v>34</v>
      </c>
      <c r="C31" s="7">
        <v>6.5764</v>
      </c>
      <c r="D31" s="7">
        <v>20.71</v>
      </c>
      <c r="E31" s="7"/>
      <c r="F31" s="7">
        <v>6.6255</v>
      </c>
      <c r="G31" s="7">
        <v>20.66</v>
      </c>
      <c r="H31" s="7"/>
      <c r="I31" s="7">
        <v>6.6418</v>
      </c>
      <c r="J31" s="7">
        <v>20.6</v>
      </c>
      <c r="K31" s="7"/>
      <c r="L31" s="7">
        <v>6.6889</v>
      </c>
      <c r="M31" s="7">
        <v>20.49</v>
      </c>
      <c r="N31" s="7"/>
      <c r="O31" s="7">
        <v>6.6889</v>
      </c>
      <c r="P31" s="7">
        <v>20.49</v>
      </c>
      <c r="Q31" s="7"/>
      <c r="R31" s="7">
        <v>6.6889</v>
      </c>
      <c r="S31" s="7">
        <v>20.49</v>
      </c>
      <c r="T31" s="7"/>
      <c r="U31" s="7">
        <v>6.68</v>
      </c>
      <c r="V31" s="7">
        <v>21.22</v>
      </c>
      <c r="W31" s="7"/>
      <c r="X31" s="7">
        <v>6.6596</v>
      </c>
      <c r="Y31" s="7">
        <v>21.12</v>
      </c>
      <c r="Z31" s="7"/>
      <c r="AA31" s="7">
        <v>6.6641</v>
      </c>
      <c r="AB31" s="7">
        <v>21.14</v>
      </c>
      <c r="AC31" s="7"/>
      <c r="AD31" s="7">
        <v>6.7473</v>
      </c>
      <c r="AE31" s="7">
        <v>20.92</v>
      </c>
      <c r="AF31" s="7"/>
      <c r="AG31" s="7">
        <v>6.7534</v>
      </c>
      <c r="AH31" s="7">
        <v>20.88</v>
      </c>
      <c r="AI31" s="7"/>
      <c r="AJ31" s="7">
        <v>6.7496</v>
      </c>
      <c r="AK31" s="7">
        <v>20.81</v>
      </c>
      <c r="AL31" s="7"/>
      <c r="AM31" s="7">
        <v>6.7206</v>
      </c>
      <c r="AN31" s="7">
        <v>20.91</v>
      </c>
      <c r="AO31" s="7"/>
      <c r="AP31" s="7">
        <v>6.7282</v>
      </c>
      <c r="AQ31" s="7">
        <v>20.9</v>
      </c>
      <c r="AR31" s="7"/>
      <c r="AS31" s="7">
        <v>6.7085</v>
      </c>
      <c r="AT31" s="7">
        <v>20.95</v>
      </c>
      <c r="AU31" s="7"/>
      <c r="AV31" s="7">
        <v>6.7812</v>
      </c>
      <c r="AW31" s="7">
        <v>20.8</v>
      </c>
      <c r="AX31" s="7"/>
      <c r="AY31" s="7">
        <v>6.846</v>
      </c>
      <c r="AZ31" s="7">
        <v>20.63</v>
      </c>
      <c r="BA31" s="7"/>
      <c r="BB31" s="7">
        <v>6.88</v>
      </c>
      <c r="BC31" s="7">
        <v>20.63</v>
      </c>
      <c r="BD31" s="7"/>
      <c r="BE31" s="7">
        <v>6.9056</v>
      </c>
      <c r="BF31" s="7">
        <v>20.65</v>
      </c>
      <c r="BG31" s="7"/>
      <c r="BH31" s="22">
        <v>6.8721</v>
      </c>
      <c r="BI31" s="22">
        <v>20.75</v>
      </c>
      <c r="BJ31" s="7"/>
      <c r="BK31" s="7">
        <v>6.892</v>
      </c>
      <c r="BL31" s="20">
        <v>20.7</v>
      </c>
      <c r="BM31" s="7"/>
      <c r="BN31" s="7">
        <f t="shared" si="0"/>
        <v>6.73802857142857</v>
      </c>
      <c r="BO31" s="23">
        <f t="shared" si="1"/>
        <v>20.78333333333333</v>
      </c>
    </row>
    <row r="32" spans="1:67" ht="15.75" customHeight="1">
      <c r="A32" s="18">
        <v>20</v>
      </c>
      <c r="B32" s="19" t="s">
        <v>35</v>
      </c>
      <c r="C32" s="7">
        <v>221.7476</v>
      </c>
      <c r="D32" s="7">
        <v>61.42</v>
      </c>
      <c r="E32" s="7"/>
      <c r="F32" s="7">
        <v>223.4032</v>
      </c>
      <c r="G32" s="7">
        <v>61.28</v>
      </c>
      <c r="H32" s="7"/>
      <c r="I32" s="7">
        <v>223.4032</v>
      </c>
      <c r="J32" s="7">
        <v>61.1</v>
      </c>
      <c r="K32" s="7"/>
      <c r="L32" s="7">
        <v>225.5394</v>
      </c>
      <c r="M32" s="7">
        <v>60.78</v>
      </c>
      <c r="N32" s="7"/>
      <c r="O32" s="7">
        <v>225.5394</v>
      </c>
      <c r="P32" s="7">
        <v>60.78</v>
      </c>
      <c r="Q32" s="7"/>
      <c r="R32" s="7">
        <v>225.5394</v>
      </c>
      <c r="S32" s="7">
        <v>60.78</v>
      </c>
      <c r="T32" s="7"/>
      <c r="U32" s="7">
        <v>225.23</v>
      </c>
      <c r="V32" s="7">
        <v>62.93</v>
      </c>
      <c r="W32" s="7"/>
      <c r="X32" s="7">
        <v>224.5542</v>
      </c>
      <c r="Y32" s="7">
        <v>62.62</v>
      </c>
      <c r="Z32" s="7"/>
      <c r="AA32" s="7">
        <v>224.7052</v>
      </c>
      <c r="AB32" s="7">
        <v>62.68</v>
      </c>
      <c r="AC32" s="7"/>
      <c r="AD32" s="7">
        <v>227.5102</v>
      </c>
      <c r="AE32" s="7">
        <v>62.05</v>
      </c>
      <c r="AF32" s="7"/>
      <c r="AG32" s="7">
        <v>227.7169</v>
      </c>
      <c r="AH32" s="7">
        <v>61.92</v>
      </c>
      <c r="AI32" s="7"/>
      <c r="AJ32" s="7">
        <v>227.5877</v>
      </c>
      <c r="AK32" s="7">
        <v>61.72</v>
      </c>
      <c r="AL32" s="7"/>
      <c r="AM32" s="7">
        <v>226.6102</v>
      </c>
      <c r="AN32" s="7">
        <v>62.01</v>
      </c>
      <c r="AO32" s="7"/>
      <c r="AP32" s="7">
        <v>226.8666</v>
      </c>
      <c r="AQ32" s="7">
        <v>61.98</v>
      </c>
      <c r="AR32" s="7"/>
      <c r="AS32" s="7">
        <v>226.2011</v>
      </c>
      <c r="AT32" s="7">
        <v>62.14</v>
      </c>
      <c r="AU32" s="7"/>
      <c r="AV32" s="7">
        <v>228.6519</v>
      </c>
      <c r="AW32" s="7">
        <v>61.68</v>
      </c>
      <c r="AX32" s="7"/>
      <c r="AY32" s="7">
        <v>230.8371</v>
      </c>
      <c r="AZ32" s="7">
        <v>61.18</v>
      </c>
      <c r="BA32" s="7"/>
      <c r="BB32" s="7">
        <v>231.9857</v>
      </c>
      <c r="BC32" s="7">
        <v>61.18</v>
      </c>
      <c r="BD32" s="7"/>
      <c r="BE32" s="7">
        <v>232.8479</v>
      </c>
      <c r="BF32" s="7">
        <v>61.25</v>
      </c>
      <c r="BG32" s="7"/>
      <c r="BH32" s="22">
        <v>231.7175</v>
      </c>
      <c r="BI32" s="22">
        <v>61.54</v>
      </c>
      <c r="BJ32" s="7"/>
      <c r="BK32" s="7">
        <v>232.389</v>
      </c>
      <c r="BL32" s="20">
        <v>61.4</v>
      </c>
      <c r="BM32" s="20"/>
      <c r="BN32" s="7">
        <f t="shared" si="0"/>
        <v>227.1706380952381</v>
      </c>
      <c r="BO32" s="23">
        <f t="shared" si="1"/>
        <v>61.63904761904762</v>
      </c>
    </row>
    <row r="33" spans="1:67" ht="15.75" customHeight="1">
      <c r="A33" s="18">
        <v>21</v>
      </c>
      <c r="B33" s="2" t="s">
        <v>36</v>
      </c>
      <c r="C33" s="7">
        <f>1/1.2629</f>
        <v>0.7918283316177054</v>
      </c>
      <c r="D33" s="7">
        <v>172.01</v>
      </c>
      <c r="E33" s="7"/>
      <c r="F33" s="7">
        <f>1/1.26362</f>
        <v>0.7913771545243032</v>
      </c>
      <c r="G33" s="7">
        <v>172.98</v>
      </c>
      <c r="H33" s="7"/>
      <c r="I33" s="7">
        <f>1/1.26362</f>
        <v>0.7913771545243032</v>
      </c>
      <c r="J33" s="7">
        <v>172.47</v>
      </c>
      <c r="K33" s="7"/>
      <c r="L33" s="7">
        <f>1/1.25628</f>
        <v>0.7960008915209985</v>
      </c>
      <c r="M33" s="7">
        <v>172.2</v>
      </c>
      <c r="N33" s="7"/>
      <c r="O33" s="7">
        <f>1/1.25628</f>
        <v>0.7960008915209985</v>
      </c>
      <c r="P33" s="7">
        <v>172.2</v>
      </c>
      <c r="Q33" s="11"/>
      <c r="R33" s="7">
        <f>1/1.25628</f>
        <v>0.7960008915209985</v>
      </c>
      <c r="S33" s="7">
        <v>172.2</v>
      </c>
      <c r="T33" s="7"/>
      <c r="U33" s="7">
        <f>1/1.25798</f>
        <v>0.7949251975389116</v>
      </c>
      <c r="V33" s="7">
        <v>178.28</v>
      </c>
      <c r="W33" s="7"/>
      <c r="X33" s="7">
        <f>1/1.25798</f>
        <v>0.7949251975389116</v>
      </c>
      <c r="Y33" s="7">
        <v>176.9</v>
      </c>
      <c r="Z33" s="7"/>
      <c r="AA33" s="7">
        <f>1/1.25949</f>
        <v>0.7939721633359534</v>
      </c>
      <c r="AB33" s="7">
        <v>177.41</v>
      </c>
      <c r="AC33" s="7"/>
      <c r="AD33" s="7">
        <f>1/1.25947</f>
        <v>0.793984771372085</v>
      </c>
      <c r="AE33" s="7">
        <v>177.79</v>
      </c>
      <c r="AF33" s="7"/>
      <c r="AG33" s="7">
        <f>1/1.25361</f>
        <v>0.7976962532206987</v>
      </c>
      <c r="AH33" s="7">
        <v>176.75</v>
      </c>
      <c r="AI33" s="7"/>
      <c r="AJ33" s="7">
        <f>1/1.25256</f>
        <v>0.7983649485852974</v>
      </c>
      <c r="AK33" s="7">
        <v>175.95</v>
      </c>
      <c r="AL33" s="7"/>
      <c r="AM33" s="7">
        <f>1/1.25175</f>
        <v>0.7988815658078691</v>
      </c>
      <c r="AN33" s="7">
        <v>175.89</v>
      </c>
      <c r="AO33" s="7"/>
      <c r="AP33" s="7">
        <f>1/1.25175</f>
        <v>0.7988815658078691</v>
      </c>
      <c r="AQ33" s="7">
        <v>176.01</v>
      </c>
      <c r="AR33" s="7"/>
      <c r="AS33" s="7">
        <f>1/1.25033</f>
        <v>0.7997888557420841</v>
      </c>
      <c r="AT33" s="7">
        <v>175.74</v>
      </c>
      <c r="AU33" s="7"/>
      <c r="AV33" s="7">
        <f>1/1.25175</f>
        <v>0.7988815658078691</v>
      </c>
      <c r="AW33" s="7">
        <v>176.54</v>
      </c>
      <c r="AX33" s="7"/>
      <c r="AY33" s="7">
        <f>1/1.24634</f>
        <v>0.8023492786879984</v>
      </c>
      <c r="AZ33" s="7">
        <v>176.01</v>
      </c>
      <c r="BA33" s="7"/>
      <c r="BB33" s="7">
        <f>1/1.24104</f>
        <v>0.8057758009411462</v>
      </c>
      <c r="BC33" s="7">
        <v>176.15</v>
      </c>
      <c r="BD33" s="7"/>
      <c r="BE33" s="7">
        <f>1/1.23857</f>
        <v>0.8073827074771713</v>
      </c>
      <c r="BF33" s="7">
        <v>176.64</v>
      </c>
      <c r="BG33" s="7"/>
      <c r="BH33" s="22">
        <f>1/1.24039</f>
        <v>0.8061980506131136</v>
      </c>
      <c r="BI33" s="22">
        <v>176.89</v>
      </c>
      <c r="BJ33" s="7"/>
      <c r="BK33" s="7">
        <f>1/1.24395</f>
        <v>0.8038908316250654</v>
      </c>
      <c r="BL33" s="20">
        <v>177.48</v>
      </c>
      <c r="BM33" s="7"/>
      <c r="BN33" s="7">
        <f t="shared" si="0"/>
        <v>0.7980230509205406</v>
      </c>
      <c r="BO33" s="23">
        <f t="shared" si="1"/>
        <v>175.45190476190476</v>
      </c>
    </row>
    <row r="34" spans="1:67" ht="15.75" customHeight="1">
      <c r="A34" s="18">
        <v>22</v>
      </c>
      <c r="B34" s="2" t="s">
        <v>37</v>
      </c>
      <c r="C34" s="7">
        <v>376.56</v>
      </c>
      <c r="D34" s="7">
        <v>36.17</v>
      </c>
      <c r="E34" s="7"/>
      <c r="F34" s="7">
        <v>379.54</v>
      </c>
      <c r="G34" s="7">
        <v>36.07</v>
      </c>
      <c r="H34" s="7"/>
      <c r="I34" s="7">
        <v>380.51</v>
      </c>
      <c r="J34" s="7">
        <v>35.96</v>
      </c>
      <c r="K34" s="7"/>
      <c r="L34" s="7">
        <v>383.339</v>
      </c>
      <c r="M34" s="7">
        <v>35.76</v>
      </c>
      <c r="N34" s="7"/>
      <c r="O34" s="7">
        <v>383.339</v>
      </c>
      <c r="P34" s="7">
        <v>35.76</v>
      </c>
      <c r="Q34" s="11"/>
      <c r="R34" s="7">
        <v>383.339</v>
      </c>
      <c r="S34" s="7">
        <v>35.76</v>
      </c>
      <c r="T34" s="46"/>
      <c r="U34" s="7">
        <v>382.771</v>
      </c>
      <c r="V34" s="7">
        <v>37.03</v>
      </c>
      <c r="W34" s="7"/>
      <c r="X34" s="7">
        <v>381.6644</v>
      </c>
      <c r="Y34" s="7">
        <v>36.85</v>
      </c>
      <c r="Z34" s="7"/>
      <c r="AA34" s="7">
        <v>381.9211</v>
      </c>
      <c r="AB34" s="7">
        <v>36.88</v>
      </c>
      <c r="AC34" s="7"/>
      <c r="AD34" s="7">
        <v>386.6886</v>
      </c>
      <c r="AE34" s="7">
        <v>36.51</v>
      </c>
      <c r="AF34" s="7"/>
      <c r="AG34" s="7">
        <v>387.04</v>
      </c>
      <c r="AH34" s="7">
        <v>36.43</v>
      </c>
      <c r="AI34" s="7"/>
      <c r="AJ34" s="7">
        <v>386.8203</v>
      </c>
      <c r="AK34" s="7">
        <v>36.31</v>
      </c>
      <c r="AL34" s="7"/>
      <c r="AM34" s="7">
        <v>385.1588</v>
      </c>
      <c r="AN34" s="7">
        <v>36.48</v>
      </c>
      <c r="AO34" s="7"/>
      <c r="AP34" s="7">
        <v>385.5947</v>
      </c>
      <c r="AQ34" s="7">
        <v>36.47</v>
      </c>
      <c r="AR34" s="7"/>
      <c r="AS34" s="7">
        <v>384.4635</v>
      </c>
      <c r="AT34" s="7">
        <v>36.56</v>
      </c>
      <c r="AU34" s="7"/>
      <c r="AV34" s="7">
        <v>388.6291</v>
      </c>
      <c r="AW34" s="7">
        <v>36.29</v>
      </c>
      <c r="AX34" s="7"/>
      <c r="AY34" s="7">
        <v>392.3431</v>
      </c>
      <c r="AZ34" s="7">
        <v>36</v>
      </c>
      <c r="BA34" s="7"/>
      <c r="BB34" s="7">
        <v>394.2953</v>
      </c>
      <c r="BC34" s="7">
        <v>36</v>
      </c>
      <c r="BD34" s="7"/>
      <c r="BE34" s="7">
        <v>395.7607</v>
      </c>
      <c r="BF34" s="7">
        <v>36.04</v>
      </c>
      <c r="BG34" s="7"/>
      <c r="BH34" s="22">
        <v>393.8396</v>
      </c>
      <c r="BI34" s="22">
        <v>36.21</v>
      </c>
      <c r="BJ34" s="7"/>
      <c r="BK34" s="7">
        <v>394.9809</v>
      </c>
      <c r="BL34" s="20">
        <v>36.12</v>
      </c>
      <c r="BM34" s="20"/>
      <c r="BN34" s="7">
        <f t="shared" si="0"/>
        <v>386.1237190476191</v>
      </c>
      <c r="BO34" s="23">
        <f t="shared" si="1"/>
        <v>36.26952380952381</v>
      </c>
    </row>
    <row r="35" spans="1:67" ht="15.75" customHeight="1" thickBot="1">
      <c r="A35" s="26">
        <v>23</v>
      </c>
      <c r="B35" s="3" t="s">
        <v>38</v>
      </c>
      <c r="C35" s="31">
        <v>1</v>
      </c>
      <c r="D35" s="31">
        <v>136.2</v>
      </c>
      <c r="E35" s="31"/>
      <c r="F35" s="31">
        <v>1</v>
      </c>
      <c r="G35" s="31">
        <v>136.9</v>
      </c>
      <c r="H35" s="31"/>
      <c r="I35" s="31">
        <v>1</v>
      </c>
      <c r="J35" s="31">
        <v>136.83</v>
      </c>
      <c r="K35" s="31"/>
      <c r="L35" s="31">
        <v>1</v>
      </c>
      <c r="M35" s="31">
        <v>137.07</v>
      </c>
      <c r="N35" s="31"/>
      <c r="O35" s="31">
        <v>1</v>
      </c>
      <c r="P35" s="31">
        <v>137.07</v>
      </c>
      <c r="Q35" s="31"/>
      <c r="R35" s="31">
        <v>1</v>
      </c>
      <c r="S35" s="31">
        <v>139.99</v>
      </c>
      <c r="T35" s="28"/>
      <c r="U35" s="28">
        <v>1</v>
      </c>
      <c r="V35" s="28">
        <v>141.74</v>
      </c>
      <c r="W35" s="28"/>
      <c r="X35" s="28">
        <v>1</v>
      </c>
      <c r="Y35" s="28">
        <v>140.62</v>
      </c>
      <c r="Z35" s="28"/>
      <c r="AA35" s="28">
        <v>1</v>
      </c>
      <c r="AB35" s="28">
        <v>140.86</v>
      </c>
      <c r="AC35" s="28"/>
      <c r="AD35" s="28">
        <v>1</v>
      </c>
      <c r="AE35" s="28">
        <v>141.17</v>
      </c>
      <c r="AF35" s="28"/>
      <c r="AG35" s="28">
        <v>1</v>
      </c>
      <c r="AH35" s="28">
        <v>141</v>
      </c>
      <c r="AI35" s="28"/>
      <c r="AJ35" s="28">
        <v>1</v>
      </c>
      <c r="AK35" s="28">
        <v>140.47</v>
      </c>
      <c r="AL35" s="28"/>
      <c r="AM35" s="28">
        <v>1</v>
      </c>
      <c r="AN35" s="28">
        <v>140.52</v>
      </c>
      <c r="AO35" s="28"/>
      <c r="AP35" s="28">
        <v>1</v>
      </c>
      <c r="AQ35" s="28">
        <v>140.61</v>
      </c>
      <c r="AR35" s="28"/>
      <c r="AS35" s="28">
        <v>1</v>
      </c>
      <c r="AT35" s="28">
        <v>140.55</v>
      </c>
      <c r="AU35" s="28"/>
      <c r="AV35" s="28">
        <v>1</v>
      </c>
      <c r="AW35" s="28">
        <v>141.04</v>
      </c>
      <c r="AX35" s="28"/>
      <c r="AY35" s="28">
        <v>1</v>
      </c>
      <c r="AZ35" s="28">
        <v>141.23</v>
      </c>
      <c r="BA35" s="28"/>
      <c r="BB35" s="28">
        <v>1</v>
      </c>
      <c r="BC35" s="28">
        <v>141.93</v>
      </c>
      <c r="BD35" s="28"/>
      <c r="BE35" s="28">
        <v>1</v>
      </c>
      <c r="BF35" s="28">
        <v>142.62</v>
      </c>
      <c r="BG35" s="28"/>
      <c r="BH35" s="32">
        <v>1</v>
      </c>
      <c r="BI35" s="32">
        <v>142.61</v>
      </c>
      <c r="BJ35" s="28"/>
      <c r="BK35" s="28">
        <v>1</v>
      </c>
      <c r="BL35" s="29">
        <v>142.68</v>
      </c>
      <c r="BM35" s="29"/>
      <c r="BN35" s="31">
        <f t="shared" si="0"/>
        <v>1</v>
      </c>
      <c r="BO35" s="34">
        <f t="shared" si="1"/>
        <v>140.17666666666668</v>
      </c>
    </row>
    <row r="36" spans="1:67" ht="15.7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10"/>
      <c r="BH36" s="11"/>
      <c r="BI36" s="11"/>
      <c r="BJ36" s="11"/>
      <c r="BK36" s="11"/>
      <c r="BL36" s="11"/>
      <c r="BM36" s="11"/>
      <c r="BN36" s="35"/>
      <c r="BO36" s="35"/>
    </row>
    <row r="37" spans="1:67" ht="15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</row>
    <row r="38" spans="1:67" ht="15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</row>
    <row r="39" spans="1:67" ht="15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</row>
    <row r="40" spans="1:67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</row>
    <row r="41" spans="1:67" ht="15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</row>
    <row r="42" spans="1:67" ht="15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</row>
    <row r="43" spans="1:67" ht="15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</row>
    <row r="44" spans="1:67" ht="15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</row>
    <row r="45" spans="1:67" ht="15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</row>
    <row r="46" spans="1:67" ht="15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</row>
    <row r="47" spans="1:67" ht="15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</row>
    <row r="48" spans="1:67" ht="15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</row>
    <row r="49" spans="1:67" ht="15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</row>
    <row r="50" spans="1:67" ht="15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</row>
    <row r="51" spans="1:67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</row>
    <row r="52" spans="1:67" ht="15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82" r:id="rId1"/>
  <headerFooter alignWithMargins="0">
    <oddHeader>&amp;L&amp;"Helv,Bold"&amp;12Sektori i Informacionit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32"/>
  <sheetViews>
    <sheetView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3" sqref="A3"/>
    </sheetView>
  </sheetViews>
  <sheetFormatPr defaultColWidth="9.140625" defaultRowHeight="12.75"/>
  <cols>
    <col min="1" max="1" width="4.28125" style="10" customWidth="1"/>
    <col min="2" max="2" width="34.00390625" style="10" bestFit="1" customWidth="1"/>
    <col min="3" max="3" width="10.421875" style="10" customWidth="1"/>
    <col min="4" max="4" width="10.7109375" style="10" customWidth="1"/>
    <col min="5" max="5" width="9.140625" style="10" customWidth="1"/>
    <col min="6" max="6" width="10.421875" style="10" customWidth="1"/>
    <col min="7" max="7" width="10.8515625" style="10" customWidth="1"/>
    <col min="8" max="8" width="9.140625" style="10" customWidth="1"/>
    <col min="9" max="9" width="10.421875" style="10" customWidth="1"/>
    <col min="10" max="10" width="11.00390625" style="10" customWidth="1"/>
    <col min="11" max="11" width="9.140625" style="10" customWidth="1"/>
    <col min="12" max="12" width="10.421875" style="10" customWidth="1"/>
    <col min="13" max="13" width="10.8515625" style="10" customWidth="1"/>
    <col min="14" max="14" width="9.140625" style="10" customWidth="1"/>
    <col min="15" max="15" width="10.421875" style="10" customWidth="1"/>
    <col min="16" max="16" width="10.8515625" style="10" customWidth="1"/>
    <col min="17" max="17" width="9.140625" style="10" customWidth="1"/>
    <col min="18" max="18" width="10.421875" style="10" customWidth="1"/>
    <col min="19" max="19" width="11.140625" style="10" customWidth="1"/>
    <col min="20" max="20" width="9.140625" style="10" customWidth="1"/>
    <col min="21" max="22" width="10.421875" style="10" customWidth="1"/>
    <col min="23" max="23" width="9.140625" style="10" customWidth="1"/>
    <col min="24" max="24" width="10.421875" style="10" customWidth="1"/>
    <col min="25" max="25" width="10.57421875" style="10" customWidth="1"/>
    <col min="26" max="26" width="9.140625" style="10" customWidth="1"/>
    <col min="27" max="27" width="10.421875" style="10" customWidth="1"/>
    <col min="28" max="28" width="10.28125" style="10" customWidth="1"/>
    <col min="29" max="29" width="9.140625" style="10" customWidth="1"/>
    <col min="30" max="30" width="10.421875" style="10" customWidth="1"/>
    <col min="31" max="31" width="11.28125" style="10" customWidth="1"/>
    <col min="32" max="32" width="9.140625" style="10" customWidth="1"/>
    <col min="33" max="33" width="10.421875" style="10" customWidth="1"/>
    <col min="34" max="34" width="10.140625" style="10" customWidth="1"/>
    <col min="35" max="35" width="9.140625" style="10" customWidth="1"/>
    <col min="36" max="36" width="10.421875" style="10" customWidth="1"/>
    <col min="37" max="37" width="10.7109375" style="10" customWidth="1"/>
    <col min="38" max="38" width="9.140625" style="10" customWidth="1"/>
    <col min="39" max="39" width="10.421875" style="10" customWidth="1"/>
    <col min="40" max="40" width="10.28125" style="10" customWidth="1"/>
    <col min="41" max="41" width="9.140625" style="10" customWidth="1"/>
    <col min="42" max="42" width="10.421875" style="10" customWidth="1"/>
    <col min="43" max="43" width="10.7109375" style="10" customWidth="1"/>
    <col min="44" max="44" width="9.140625" style="10" customWidth="1"/>
    <col min="45" max="45" width="10.421875" style="10" customWidth="1"/>
    <col min="46" max="46" width="10.140625" style="10" customWidth="1"/>
    <col min="47" max="47" width="9.140625" style="10" customWidth="1"/>
    <col min="48" max="48" width="10.421875" style="10" customWidth="1"/>
    <col min="49" max="49" width="10.140625" style="10" customWidth="1"/>
    <col min="50" max="50" width="9.140625" style="10" customWidth="1"/>
    <col min="51" max="51" width="10.421875" style="10" customWidth="1"/>
    <col min="52" max="52" width="10.28125" style="10" customWidth="1"/>
    <col min="53" max="53" width="9.140625" style="10" customWidth="1"/>
    <col min="54" max="54" width="10.421875" style="10" customWidth="1"/>
    <col min="55" max="55" width="10.140625" style="10" customWidth="1"/>
    <col min="56" max="56" width="9.140625" style="10" customWidth="1"/>
    <col min="57" max="57" width="10.421875" style="10" customWidth="1"/>
    <col min="58" max="58" width="10.28125" style="10" customWidth="1"/>
    <col min="59" max="59" width="9.140625" style="10" customWidth="1"/>
    <col min="60" max="60" width="9.8515625" style="10" customWidth="1"/>
    <col min="61" max="61" width="10.421875" style="10" customWidth="1"/>
    <col min="62" max="62" width="9.140625" style="10" customWidth="1"/>
    <col min="63" max="63" width="11.57421875" style="10" customWidth="1"/>
    <col min="64" max="64" width="11.8515625" style="10" customWidth="1"/>
    <col min="65" max="65" width="9.140625" style="10" customWidth="1"/>
    <col min="66" max="66" width="10.421875" style="10" customWidth="1"/>
    <col min="67" max="67" width="13.00390625" style="10" customWidth="1"/>
    <col min="68" max="69" width="9.140625" style="10" customWidth="1"/>
    <col min="70" max="70" width="10.8515625" style="10" customWidth="1"/>
    <col min="71" max="72" width="9.140625" style="10" customWidth="1"/>
    <col min="73" max="73" width="11.57421875" style="10" customWidth="1"/>
    <col min="74" max="16384" width="9.140625" style="10" customWidth="1"/>
  </cols>
  <sheetData>
    <row r="1" spans="1:66" ht="15.75">
      <c r="A1" s="6"/>
      <c r="B1" s="4" t="s">
        <v>84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8" t="s">
        <v>1</v>
      </c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9"/>
      <c r="BI1" s="9"/>
      <c r="BJ1" s="9"/>
      <c r="BK1" s="9"/>
      <c r="BL1" s="9"/>
      <c r="BM1" s="9"/>
      <c r="BN1" s="9"/>
    </row>
    <row r="2" spans="1:66" ht="15.75">
      <c r="A2" s="7"/>
      <c r="B2" s="5" t="s">
        <v>238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11"/>
      <c r="BI2" s="11"/>
      <c r="BJ2" s="11"/>
      <c r="BK2" s="11"/>
      <c r="BL2" s="11"/>
      <c r="BM2" s="11"/>
      <c r="BN2" s="11"/>
    </row>
    <row r="3" spans="1:73" ht="15.75">
      <c r="A3" s="8" t="s">
        <v>2</v>
      </c>
      <c r="B3" s="7"/>
      <c r="C3" s="6" t="s">
        <v>239</v>
      </c>
      <c r="D3" s="12"/>
      <c r="E3" s="12"/>
      <c r="F3" s="6" t="s">
        <v>240</v>
      </c>
      <c r="G3" s="12"/>
      <c r="H3" s="12"/>
      <c r="I3" s="6" t="s">
        <v>241</v>
      </c>
      <c r="J3" s="12"/>
      <c r="K3" s="12"/>
      <c r="L3" s="6" t="s">
        <v>242</v>
      </c>
      <c r="M3" s="12"/>
      <c r="N3" s="12"/>
      <c r="O3" s="6" t="s">
        <v>243</v>
      </c>
      <c r="P3" s="12"/>
      <c r="Q3" s="12"/>
      <c r="R3" s="6" t="s">
        <v>244</v>
      </c>
      <c r="S3" s="12"/>
      <c r="T3" s="12"/>
      <c r="U3" s="6" t="s">
        <v>245</v>
      </c>
      <c r="V3" s="12"/>
      <c r="W3" s="12"/>
      <c r="X3" s="6" t="s">
        <v>246</v>
      </c>
      <c r="Y3" s="12"/>
      <c r="Z3" s="12"/>
      <c r="AA3" s="6" t="s">
        <v>247</v>
      </c>
      <c r="AB3" s="12"/>
      <c r="AC3" s="12"/>
      <c r="AD3" s="6" t="s">
        <v>248</v>
      </c>
      <c r="AE3" s="12"/>
      <c r="AF3" s="12"/>
      <c r="AG3" s="6" t="s">
        <v>249</v>
      </c>
      <c r="AH3" s="12"/>
      <c r="AI3" s="12"/>
      <c r="AJ3" s="6" t="s">
        <v>250</v>
      </c>
      <c r="AK3" s="12"/>
      <c r="AL3" s="12"/>
      <c r="AM3" s="6" t="s">
        <v>251</v>
      </c>
      <c r="AN3" s="12"/>
      <c r="AO3" s="12"/>
      <c r="AP3" s="6" t="s">
        <v>252</v>
      </c>
      <c r="AQ3" s="12"/>
      <c r="AR3" s="12"/>
      <c r="AS3" s="6" t="s">
        <v>253</v>
      </c>
      <c r="AT3" s="12"/>
      <c r="AU3" s="12"/>
      <c r="AV3" s="6" t="s">
        <v>254</v>
      </c>
      <c r="AW3" s="12"/>
      <c r="AX3" s="12"/>
      <c r="AY3" s="6" t="s">
        <v>255</v>
      </c>
      <c r="AZ3" s="12"/>
      <c r="BA3" s="12"/>
      <c r="BB3" s="6" t="s">
        <v>256</v>
      </c>
      <c r="BC3" s="12"/>
      <c r="BD3" s="12"/>
      <c r="BE3" s="6" t="s">
        <v>257</v>
      </c>
      <c r="BF3" s="12"/>
      <c r="BG3" s="12"/>
      <c r="BH3" s="6" t="s">
        <v>258</v>
      </c>
      <c r="BI3" s="12"/>
      <c r="BJ3" s="12"/>
      <c r="BK3" s="6" t="s">
        <v>259</v>
      </c>
      <c r="BL3" s="12"/>
      <c r="BM3" s="12"/>
      <c r="BN3" s="6" t="s">
        <v>260</v>
      </c>
      <c r="BO3" s="12"/>
      <c r="BP3" s="12"/>
      <c r="BQ3" s="6" t="s">
        <v>261</v>
      </c>
      <c r="BR3" s="6"/>
      <c r="BS3" s="6" t="s">
        <v>40</v>
      </c>
      <c r="BT3" s="6"/>
      <c r="BU3" s="6"/>
    </row>
    <row r="4" spans="1:73" ht="16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</row>
    <row r="5" spans="1:73" ht="16.5" thickTop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</row>
    <row r="6" spans="1:73" ht="15.75">
      <c r="A6" s="12"/>
      <c r="B6" s="7"/>
      <c r="C6" s="14" t="s">
        <v>4</v>
      </c>
      <c r="D6" s="14" t="s">
        <v>4</v>
      </c>
      <c r="E6" s="14"/>
      <c r="F6" s="14" t="s">
        <v>4</v>
      </c>
      <c r="G6" s="14" t="s">
        <v>4</v>
      </c>
      <c r="H6" s="14"/>
      <c r="I6" s="14" t="s">
        <v>4</v>
      </c>
      <c r="J6" s="14" t="s">
        <v>4</v>
      </c>
      <c r="K6" s="14"/>
      <c r="L6" s="14" t="s">
        <v>4</v>
      </c>
      <c r="M6" s="14" t="s">
        <v>4</v>
      </c>
      <c r="N6" s="14"/>
      <c r="O6" s="14" t="s">
        <v>4</v>
      </c>
      <c r="P6" s="14" t="s">
        <v>4</v>
      </c>
      <c r="Q6" s="14"/>
      <c r="R6" s="14" t="s">
        <v>4</v>
      </c>
      <c r="S6" s="14" t="s">
        <v>4</v>
      </c>
      <c r="T6" s="14"/>
      <c r="U6" s="14" t="s">
        <v>4</v>
      </c>
      <c r="V6" s="14" t="s">
        <v>4</v>
      </c>
      <c r="W6" s="14"/>
      <c r="X6" s="14" t="s">
        <v>4</v>
      </c>
      <c r="Y6" s="14" t="s">
        <v>4</v>
      </c>
      <c r="Z6" s="14"/>
      <c r="AA6" s="14" t="s">
        <v>4</v>
      </c>
      <c r="AB6" s="14" t="s">
        <v>4</v>
      </c>
      <c r="AC6" s="14"/>
      <c r="AD6" s="14" t="s">
        <v>4</v>
      </c>
      <c r="AE6" s="14" t="s">
        <v>4</v>
      </c>
      <c r="AF6" s="14"/>
      <c r="AG6" s="14" t="s">
        <v>4</v>
      </c>
      <c r="AH6" s="14" t="s">
        <v>4</v>
      </c>
      <c r="AI6" s="14"/>
      <c r="AJ6" s="14" t="s">
        <v>4</v>
      </c>
      <c r="AK6" s="14" t="s">
        <v>4</v>
      </c>
      <c r="AL6" s="14"/>
      <c r="AM6" s="14" t="s">
        <v>4</v>
      </c>
      <c r="AN6" s="14" t="s">
        <v>4</v>
      </c>
      <c r="AO6" s="14"/>
      <c r="AP6" s="14" t="s">
        <v>4</v>
      </c>
      <c r="AQ6" s="14" t="s">
        <v>4</v>
      </c>
      <c r="AR6" s="14"/>
      <c r="AS6" s="14" t="s">
        <v>4</v>
      </c>
      <c r="AT6" s="14" t="s">
        <v>4</v>
      </c>
      <c r="AU6" s="14"/>
      <c r="AV6" s="14" t="s">
        <v>4</v>
      </c>
      <c r="AW6" s="14" t="s">
        <v>4</v>
      </c>
      <c r="AX6" s="14"/>
      <c r="AY6" s="14" t="s">
        <v>4</v>
      </c>
      <c r="AZ6" s="14" t="s">
        <v>4</v>
      </c>
      <c r="BA6" s="14"/>
      <c r="BB6" s="14" t="s">
        <v>4</v>
      </c>
      <c r="BC6" s="14" t="s">
        <v>4</v>
      </c>
      <c r="BD6" s="14"/>
      <c r="BE6" s="14" t="s">
        <v>4</v>
      </c>
      <c r="BF6" s="14" t="s">
        <v>4</v>
      </c>
      <c r="BG6" s="14"/>
      <c r="BH6" s="14" t="s">
        <v>4</v>
      </c>
      <c r="BI6" s="14" t="s">
        <v>4</v>
      </c>
      <c r="BJ6" s="14"/>
      <c r="BK6" s="14" t="s">
        <v>4</v>
      </c>
      <c r="BL6" s="14" t="s">
        <v>4</v>
      </c>
      <c r="BM6" s="14"/>
      <c r="BN6" s="14" t="s">
        <v>4</v>
      </c>
      <c r="BO6" s="14" t="s">
        <v>4</v>
      </c>
      <c r="BP6" s="14"/>
      <c r="BQ6" s="14" t="s">
        <v>4</v>
      </c>
      <c r="BR6" s="14" t="s">
        <v>4</v>
      </c>
      <c r="BS6" s="14"/>
      <c r="BT6" s="14" t="s">
        <v>4</v>
      </c>
      <c r="BU6" s="14" t="s">
        <v>4</v>
      </c>
    </row>
    <row r="7" spans="1:73" ht="15.75">
      <c r="A7" s="7"/>
      <c r="B7" s="15" t="s">
        <v>6</v>
      </c>
      <c r="C7" s="14" t="s">
        <v>7</v>
      </c>
      <c r="D7" s="14" t="s">
        <v>7</v>
      </c>
      <c r="E7" s="14"/>
      <c r="F7" s="14" t="s">
        <v>7</v>
      </c>
      <c r="G7" s="14" t="s">
        <v>7</v>
      </c>
      <c r="H7" s="14"/>
      <c r="I7" s="14" t="s">
        <v>7</v>
      </c>
      <c r="J7" s="14" t="s">
        <v>7</v>
      </c>
      <c r="K7" s="14"/>
      <c r="L7" s="14" t="s">
        <v>7</v>
      </c>
      <c r="M7" s="14" t="s">
        <v>7</v>
      </c>
      <c r="N7" s="14"/>
      <c r="O7" s="14" t="s">
        <v>7</v>
      </c>
      <c r="P7" s="14" t="s">
        <v>7</v>
      </c>
      <c r="Q7" s="14"/>
      <c r="R7" s="14" t="s">
        <v>7</v>
      </c>
      <c r="S7" s="14" t="s">
        <v>7</v>
      </c>
      <c r="T7" s="14"/>
      <c r="U7" s="14" t="s">
        <v>7</v>
      </c>
      <c r="V7" s="14" t="s">
        <v>7</v>
      </c>
      <c r="W7" s="14"/>
      <c r="X7" s="14" t="s">
        <v>7</v>
      </c>
      <c r="Y7" s="14" t="s">
        <v>7</v>
      </c>
      <c r="Z7" s="14"/>
      <c r="AA7" s="14" t="s">
        <v>7</v>
      </c>
      <c r="AB7" s="14" t="s">
        <v>7</v>
      </c>
      <c r="AC7" s="14"/>
      <c r="AD7" s="14" t="s">
        <v>7</v>
      </c>
      <c r="AE7" s="14" t="s">
        <v>7</v>
      </c>
      <c r="AF7" s="14"/>
      <c r="AG7" s="14" t="s">
        <v>7</v>
      </c>
      <c r="AH7" s="14" t="s">
        <v>7</v>
      </c>
      <c r="AI7" s="14"/>
      <c r="AJ7" s="14" t="s">
        <v>7</v>
      </c>
      <c r="AK7" s="14" t="s">
        <v>7</v>
      </c>
      <c r="AL7" s="14"/>
      <c r="AM7" s="14" t="s">
        <v>7</v>
      </c>
      <c r="AN7" s="14" t="s">
        <v>7</v>
      </c>
      <c r="AO7" s="14"/>
      <c r="AP7" s="14" t="s">
        <v>7</v>
      </c>
      <c r="AQ7" s="14" t="s">
        <v>7</v>
      </c>
      <c r="AR7" s="14"/>
      <c r="AS7" s="14" t="s">
        <v>7</v>
      </c>
      <c r="AT7" s="14" t="s">
        <v>7</v>
      </c>
      <c r="AU7" s="14"/>
      <c r="AV7" s="14" t="s">
        <v>7</v>
      </c>
      <c r="AW7" s="14" t="s">
        <v>7</v>
      </c>
      <c r="AX7" s="14"/>
      <c r="AY7" s="14" t="s">
        <v>7</v>
      </c>
      <c r="AZ7" s="14" t="s">
        <v>7</v>
      </c>
      <c r="BA7" s="14"/>
      <c r="BB7" s="14" t="s">
        <v>7</v>
      </c>
      <c r="BC7" s="14" t="s">
        <v>7</v>
      </c>
      <c r="BD7" s="14"/>
      <c r="BE7" s="14" t="s">
        <v>7</v>
      </c>
      <c r="BF7" s="14" t="s">
        <v>7</v>
      </c>
      <c r="BG7" s="14"/>
      <c r="BH7" s="14" t="s">
        <v>7</v>
      </c>
      <c r="BI7" s="14" t="s">
        <v>7</v>
      </c>
      <c r="BJ7" s="14"/>
      <c r="BK7" s="14" t="s">
        <v>7</v>
      </c>
      <c r="BL7" s="14" t="s">
        <v>7</v>
      </c>
      <c r="BM7" s="14"/>
      <c r="BN7" s="14" t="s">
        <v>7</v>
      </c>
      <c r="BO7" s="14" t="s">
        <v>7</v>
      </c>
      <c r="BP7" s="14"/>
      <c r="BQ7" s="14" t="s">
        <v>7</v>
      </c>
      <c r="BR7" s="14" t="s">
        <v>7</v>
      </c>
      <c r="BS7" s="14"/>
      <c r="BT7" s="14" t="s">
        <v>7</v>
      </c>
      <c r="BU7" s="14" t="s">
        <v>7</v>
      </c>
    </row>
    <row r="8" spans="1:73" ht="15.75">
      <c r="A8" s="7"/>
      <c r="B8" s="7"/>
      <c r="C8" s="14" t="s">
        <v>11</v>
      </c>
      <c r="D8" s="14" t="s">
        <v>10</v>
      </c>
      <c r="E8" s="14"/>
      <c r="F8" s="14" t="s">
        <v>11</v>
      </c>
      <c r="G8" s="14" t="s">
        <v>10</v>
      </c>
      <c r="H8" s="14"/>
      <c r="I8" s="14" t="s">
        <v>11</v>
      </c>
      <c r="J8" s="14" t="s">
        <v>10</v>
      </c>
      <c r="K8" s="14"/>
      <c r="L8" s="14" t="s">
        <v>11</v>
      </c>
      <c r="M8" s="14" t="s">
        <v>10</v>
      </c>
      <c r="N8" s="14"/>
      <c r="O8" s="14" t="s">
        <v>11</v>
      </c>
      <c r="P8" s="14" t="s">
        <v>10</v>
      </c>
      <c r="Q8" s="14"/>
      <c r="R8" s="14" t="s">
        <v>11</v>
      </c>
      <c r="S8" s="14" t="s">
        <v>10</v>
      </c>
      <c r="T8" s="14"/>
      <c r="U8" s="14" t="s">
        <v>11</v>
      </c>
      <c r="V8" s="14" t="s">
        <v>10</v>
      </c>
      <c r="W8" s="14"/>
      <c r="X8" s="14" t="s">
        <v>11</v>
      </c>
      <c r="Y8" s="14" t="s">
        <v>10</v>
      </c>
      <c r="Z8" s="14"/>
      <c r="AA8" s="14" t="s">
        <v>11</v>
      </c>
      <c r="AB8" s="14" t="s">
        <v>10</v>
      </c>
      <c r="AC8" s="14"/>
      <c r="AD8" s="14" t="s">
        <v>11</v>
      </c>
      <c r="AE8" s="14" t="s">
        <v>10</v>
      </c>
      <c r="AF8" s="14"/>
      <c r="AG8" s="14" t="s">
        <v>11</v>
      </c>
      <c r="AH8" s="14" t="s">
        <v>10</v>
      </c>
      <c r="AI8" s="14"/>
      <c r="AJ8" s="14" t="s">
        <v>11</v>
      </c>
      <c r="AK8" s="14" t="s">
        <v>10</v>
      </c>
      <c r="AL8" s="14"/>
      <c r="AM8" s="14" t="s">
        <v>11</v>
      </c>
      <c r="AN8" s="14" t="s">
        <v>10</v>
      </c>
      <c r="AO8" s="14"/>
      <c r="AP8" s="14" t="s">
        <v>11</v>
      </c>
      <c r="AQ8" s="14" t="s">
        <v>10</v>
      </c>
      <c r="AR8" s="14"/>
      <c r="AS8" s="14" t="s">
        <v>11</v>
      </c>
      <c r="AT8" s="14" t="s">
        <v>10</v>
      </c>
      <c r="AU8" s="14"/>
      <c r="AV8" s="14" t="s">
        <v>11</v>
      </c>
      <c r="AW8" s="14" t="s">
        <v>10</v>
      </c>
      <c r="AX8" s="14"/>
      <c r="AY8" s="14" t="s">
        <v>11</v>
      </c>
      <c r="AZ8" s="14" t="s">
        <v>10</v>
      </c>
      <c r="BA8" s="14"/>
      <c r="BB8" s="14" t="s">
        <v>11</v>
      </c>
      <c r="BC8" s="14" t="s">
        <v>10</v>
      </c>
      <c r="BD8" s="14"/>
      <c r="BE8" s="14" t="s">
        <v>11</v>
      </c>
      <c r="BF8" s="14" t="s">
        <v>10</v>
      </c>
      <c r="BG8" s="14"/>
      <c r="BH8" s="14" t="s">
        <v>11</v>
      </c>
      <c r="BI8" s="14" t="s">
        <v>10</v>
      </c>
      <c r="BJ8" s="14"/>
      <c r="BK8" s="14" t="s">
        <v>11</v>
      </c>
      <c r="BL8" s="14" t="s">
        <v>10</v>
      </c>
      <c r="BM8" s="14"/>
      <c r="BN8" s="14" t="s">
        <v>11</v>
      </c>
      <c r="BO8" s="14" t="s">
        <v>10</v>
      </c>
      <c r="BP8" s="14"/>
      <c r="BQ8" s="14" t="s">
        <v>11</v>
      </c>
      <c r="BR8" s="14" t="s">
        <v>10</v>
      </c>
      <c r="BS8" s="14"/>
      <c r="BT8" s="14" t="s">
        <v>11</v>
      </c>
      <c r="BU8" s="14" t="s">
        <v>10</v>
      </c>
    </row>
    <row r="9" spans="1:73" ht="15.75">
      <c r="A9" s="7"/>
      <c r="B9" s="7"/>
      <c r="C9" s="7"/>
      <c r="D9" s="14" t="s">
        <v>14</v>
      </c>
      <c r="E9" s="7"/>
      <c r="F9" s="7"/>
      <c r="G9" s="14" t="s">
        <v>14</v>
      </c>
      <c r="H9" s="7"/>
      <c r="I9" s="7"/>
      <c r="J9" s="14" t="s">
        <v>14</v>
      </c>
      <c r="K9" s="7"/>
      <c r="L9" s="7"/>
      <c r="M9" s="14" t="s">
        <v>14</v>
      </c>
      <c r="N9" s="7"/>
      <c r="O9" s="7"/>
      <c r="P9" s="14" t="s">
        <v>14</v>
      </c>
      <c r="Q9" s="7"/>
      <c r="R9" s="7"/>
      <c r="S9" s="14" t="s">
        <v>14</v>
      </c>
      <c r="T9" s="7"/>
      <c r="U9" s="7"/>
      <c r="V9" s="14" t="s">
        <v>14</v>
      </c>
      <c r="W9" s="8" t="s">
        <v>15</v>
      </c>
      <c r="X9" s="7"/>
      <c r="Y9" s="14" t="s">
        <v>14</v>
      </c>
      <c r="Z9" s="8" t="s">
        <v>15</v>
      </c>
      <c r="AA9" s="7"/>
      <c r="AB9" s="14" t="s">
        <v>14</v>
      </c>
      <c r="AC9" s="7"/>
      <c r="AD9" s="7"/>
      <c r="AE9" s="14" t="s">
        <v>14</v>
      </c>
      <c r="AF9" s="7"/>
      <c r="AG9" s="7"/>
      <c r="AH9" s="14" t="s">
        <v>14</v>
      </c>
      <c r="AI9" s="7"/>
      <c r="AJ9" s="7"/>
      <c r="AK9" s="14" t="s">
        <v>14</v>
      </c>
      <c r="AL9" s="7"/>
      <c r="AM9" s="7"/>
      <c r="AN9" s="14" t="s">
        <v>14</v>
      </c>
      <c r="AO9" s="7"/>
      <c r="AP9" s="7"/>
      <c r="AQ9" s="14" t="s">
        <v>14</v>
      </c>
      <c r="AR9" s="7"/>
      <c r="AS9" s="7"/>
      <c r="AT9" s="14" t="s">
        <v>14</v>
      </c>
      <c r="AU9" s="7"/>
      <c r="AV9" s="7"/>
      <c r="AW9" s="14" t="s">
        <v>14</v>
      </c>
      <c r="AX9" s="7"/>
      <c r="AY9" s="7"/>
      <c r="AZ9" s="14" t="s">
        <v>14</v>
      </c>
      <c r="BA9" s="7"/>
      <c r="BB9" s="7"/>
      <c r="BC9" s="14" t="s">
        <v>14</v>
      </c>
      <c r="BD9" s="7"/>
      <c r="BE9" s="7"/>
      <c r="BF9" s="14" t="s">
        <v>14</v>
      </c>
      <c r="BG9" s="7"/>
      <c r="BH9" s="7"/>
      <c r="BI9" s="14" t="s">
        <v>14</v>
      </c>
      <c r="BJ9" s="7"/>
      <c r="BK9" s="7"/>
      <c r="BL9" s="14" t="s">
        <v>14</v>
      </c>
      <c r="BM9" s="7"/>
      <c r="BN9" s="7"/>
      <c r="BO9" s="14" t="s">
        <v>14</v>
      </c>
      <c r="BP9" s="7"/>
      <c r="BQ9" s="7"/>
      <c r="BR9" s="14" t="s">
        <v>14</v>
      </c>
      <c r="BS9" s="7"/>
      <c r="BT9" s="7"/>
      <c r="BU9" s="14" t="s">
        <v>14</v>
      </c>
    </row>
    <row r="10" spans="1:73" ht="16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6.5" thickTop="1">
      <c r="A11" s="16" t="s">
        <v>2</v>
      </c>
      <c r="B11" s="13"/>
      <c r="C11" s="17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</row>
    <row r="12" spans="1:73" ht="15.75">
      <c r="A12" s="18">
        <v>1</v>
      </c>
      <c r="B12" s="19" t="s">
        <v>17</v>
      </c>
      <c r="C12" s="7">
        <v>122.21</v>
      </c>
      <c r="D12" s="20">
        <v>113.31</v>
      </c>
      <c r="E12" s="7"/>
      <c r="F12" s="7">
        <v>123.02</v>
      </c>
      <c r="G12" s="20">
        <v>112.79</v>
      </c>
      <c r="H12" s="7"/>
      <c r="I12" s="7">
        <v>122.84</v>
      </c>
      <c r="J12" s="20">
        <v>112.72</v>
      </c>
      <c r="K12" s="7"/>
      <c r="L12" s="7">
        <v>122.76</v>
      </c>
      <c r="M12" s="20">
        <v>112.81</v>
      </c>
      <c r="N12" s="7"/>
      <c r="O12" s="7">
        <v>123.85</v>
      </c>
      <c r="P12" s="20">
        <v>112.05</v>
      </c>
      <c r="Q12" s="7"/>
      <c r="R12" s="7">
        <v>124.15</v>
      </c>
      <c r="S12" s="20">
        <v>111.69</v>
      </c>
      <c r="T12" s="7"/>
      <c r="U12" s="7">
        <v>124.16</v>
      </c>
      <c r="V12" s="20">
        <v>111.75</v>
      </c>
      <c r="W12" s="7"/>
      <c r="X12" s="7">
        <v>123.37</v>
      </c>
      <c r="Y12" s="20">
        <v>112.04</v>
      </c>
      <c r="Z12" s="7"/>
      <c r="AA12" s="7">
        <v>124.12</v>
      </c>
      <c r="AB12" s="20">
        <v>111.36</v>
      </c>
      <c r="AC12" s="7"/>
      <c r="AD12" s="7">
        <v>123.9</v>
      </c>
      <c r="AE12" s="7">
        <v>111.48</v>
      </c>
      <c r="AF12" s="7"/>
      <c r="AG12" s="7">
        <v>124.72</v>
      </c>
      <c r="AH12" s="20">
        <v>110.72</v>
      </c>
      <c r="AI12" s="7"/>
      <c r="AJ12" s="7">
        <v>124.14</v>
      </c>
      <c r="AK12" s="20">
        <v>111.23</v>
      </c>
      <c r="AL12" s="7"/>
      <c r="AM12" s="7">
        <v>124.18</v>
      </c>
      <c r="AN12" s="20">
        <v>111.39</v>
      </c>
      <c r="AO12" s="7"/>
      <c r="AP12" s="7">
        <v>125.27</v>
      </c>
      <c r="AQ12" s="20">
        <v>111.33</v>
      </c>
      <c r="AR12" s="7"/>
      <c r="AS12" s="7">
        <v>124.59</v>
      </c>
      <c r="AT12" s="20">
        <v>111.7</v>
      </c>
      <c r="AU12" s="7"/>
      <c r="AV12" s="7">
        <v>125.22</v>
      </c>
      <c r="AW12" s="20">
        <v>111.21</v>
      </c>
      <c r="AX12" s="7"/>
      <c r="AY12" s="7">
        <v>124.14</v>
      </c>
      <c r="AZ12" s="20">
        <v>112.06</v>
      </c>
      <c r="BA12" s="7"/>
      <c r="BB12" s="7">
        <v>124.32</v>
      </c>
      <c r="BC12" s="20">
        <v>112.01</v>
      </c>
      <c r="BD12" s="7"/>
      <c r="BE12" s="7">
        <v>123.83</v>
      </c>
      <c r="BF12" s="20">
        <v>112.26</v>
      </c>
      <c r="BG12" s="7"/>
      <c r="BH12" s="7">
        <v>123.83</v>
      </c>
      <c r="BI12" s="23">
        <v>112.28</v>
      </c>
      <c r="BJ12" s="7"/>
      <c r="BK12" s="22">
        <v>123.36</v>
      </c>
      <c r="BL12" s="23">
        <v>112.33</v>
      </c>
      <c r="BM12" s="7"/>
      <c r="BN12" s="22">
        <v>122.86</v>
      </c>
      <c r="BO12" s="23">
        <v>112.79</v>
      </c>
      <c r="BP12" s="7"/>
      <c r="BQ12" s="22">
        <v>122.72</v>
      </c>
      <c r="BR12" s="23">
        <v>112.56</v>
      </c>
      <c r="BS12" s="7"/>
      <c r="BT12" s="7">
        <f aca="true" t="shared" si="0" ref="BT12:BT24">(+C12+F12+I12+L12+O12+R12+U12+X12+AA12+AD12+AG12+AJ12+AM12+AP12+AS12+AV12+AY12+BB12+BE12+BH12+BK12+BN12+BQ12)/23</f>
        <v>123.80695652173915</v>
      </c>
      <c r="BU12" s="7">
        <f aca="true" t="shared" si="1" ref="BU12:BU24">(+D12+G12+J12+M12+P12+S12+V12+Y12+AB12+AE12+AH12+AK12+AN12+AQ12+AT12+AW12+AZ12+BC12+BF12+BI12+BL12+BO12+BR12)/23</f>
        <v>111.99434782608697</v>
      </c>
    </row>
    <row r="13" spans="1:73" ht="15.75">
      <c r="A13" s="18">
        <v>2</v>
      </c>
      <c r="B13" s="19" t="s">
        <v>18</v>
      </c>
      <c r="C13" s="7">
        <f>1/1.5738</f>
        <v>0.6354047528275512</v>
      </c>
      <c r="D13" s="20">
        <v>217.93</v>
      </c>
      <c r="E13" s="7"/>
      <c r="F13" s="7">
        <f>1/1.5653</f>
        <v>0.6388551715326136</v>
      </c>
      <c r="G13" s="20">
        <v>217.19</v>
      </c>
      <c r="H13" s="7"/>
      <c r="I13" s="7">
        <f>1/1.5689</f>
        <v>0.637389253617184</v>
      </c>
      <c r="J13" s="20">
        <v>217.24</v>
      </c>
      <c r="K13" s="7"/>
      <c r="L13" s="7">
        <f>1/1.5687</f>
        <v>0.6374705169885893</v>
      </c>
      <c r="M13" s="20">
        <v>217.24</v>
      </c>
      <c r="N13" s="7"/>
      <c r="O13" s="7">
        <f>1/1.564</f>
        <v>0.639386189258312</v>
      </c>
      <c r="P13" s="20">
        <v>217.04</v>
      </c>
      <c r="Q13" s="7"/>
      <c r="R13" s="7">
        <f>1/1.565</f>
        <v>0.6389776357827476</v>
      </c>
      <c r="S13" s="20">
        <v>217.01</v>
      </c>
      <c r="T13" s="7"/>
      <c r="U13" s="7">
        <f>1/1.552</f>
        <v>0.6443298969072164</v>
      </c>
      <c r="V13" s="20">
        <v>215.34</v>
      </c>
      <c r="W13" s="7"/>
      <c r="X13" s="7">
        <f>1/1.5655</f>
        <v>0.6387735547748323</v>
      </c>
      <c r="Y13" s="20">
        <v>216.39</v>
      </c>
      <c r="Z13" s="7"/>
      <c r="AA13" s="7">
        <f>1/1.5626</f>
        <v>0.6399590426212722</v>
      </c>
      <c r="AB13" s="20">
        <v>215.99</v>
      </c>
      <c r="AC13" s="7"/>
      <c r="AD13" s="7">
        <f>1/1.5623</f>
        <v>0.6400819304871024</v>
      </c>
      <c r="AE13" s="7">
        <v>215.79</v>
      </c>
      <c r="AF13" s="7"/>
      <c r="AG13" s="7">
        <f>1/1.5519</f>
        <v>0.6443714156840002</v>
      </c>
      <c r="AH13" s="20">
        <v>214.29</v>
      </c>
      <c r="AI13" s="7"/>
      <c r="AJ13" s="7">
        <f>1/1.5527</f>
        <v>0.644039415212211</v>
      </c>
      <c r="AK13" s="20">
        <v>214.4</v>
      </c>
      <c r="AL13" s="7"/>
      <c r="AM13" s="7">
        <f>1/1.5538</f>
        <v>0.643583472776419</v>
      </c>
      <c r="AN13" s="20">
        <v>214.93</v>
      </c>
      <c r="AO13" s="7"/>
      <c r="AP13" s="7">
        <f>1/1.5478</f>
        <v>0.6460783046905285</v>
      </c>
      <c r="AQ13" s="20">
        <v>215.85</v>
      </c>
      <c r="AR13" s="7"/>
      <c r="AS13" s="7">
        <f>1/1.5491</f>
        <v>0.6455361177457879</v>
      </c>
      <c r="AT13" s="20">
        <v>215.59</v>
      </c>
      <c r="AU13" s="7"/>
      <c r="AV13" s="7">
        <f>1/1.5447</f>
        <v>0.6473748948015796</v>
      </c>
      <c r="AW13" s="20">
        <v>215.11</v>
      </c>
      <c r="AX13" s="7"/>
      <c r="AY13" s="7">
        <f>1/1.5489</f>
        <v>0.6456194718832721</v>
      </c>
      <c r="AZ13" s="20">
        <v>215.48</v>
      </c>
      <c r="BA13" s="7"/>
      <c r="BB13" s="7">
        <f>1/1.5461</f>
        <v>0.6467886941336265</v>
      </c>
      <c r="BC13" s="20">
        <v>215.3</v>
      </c>
      <c r="BD13" s="7"/>
      <c r="BE13" s="7">
        <f>1/1.5528</f>
        <v>0.6439979392065945</v>
      </c>
      <c r="BF13" s="20">
        <v>215.86</v>
      </c>
      <c r="BG13" s="7"/>
      <c r="BH13" s="7">
        <f>1/1.5528</f>
        <v>0.6439979392065945</v>
      </c>
      <c r="BI13" s="23">
        <v>215.9</v>
      </c>
      <c r="BJ13" s="7"/>
      <c r="BK13" s="22">
        <f>1/1.5588</f>
        <v>0.6415191172696947</v>
      </c>
      <c r="BL13" s="23">
        <v>216</v>
      </c>
      <c r="BM13" s="7"/>
      <c r="BN13" s="22">
        <f>1/1.5574</f>
        <v>0.6420958006934635</v>
      </c>
      <c r="BO13" s="23">
        <v>215.81</v>
      </c>
      <c r="BP13" s="7"/>
      <c r="BQ13" s="22">
        <f>1/1.5597</f>
        <v>0.6411489388985061</v>
      </c>
      <c r="BR13" s="23">
        <v>215.45</v>
      </c>
      <c r="BS13" s="7"/>
      <c r="BT13" s="7">
        <f t="shared" si="0"/>
        <v>0.642033889869552</v>
      </c>
      <c r="BU13" s="7">
        <f t="shared" si="1"/>
        <v>215.96217391304347</v>
      </c>
    </row>
    <row r="14" spans="1:73" ht="15.75">
      <c r="A14" s="18">
        <v>3</v>
      </c>
      <c r="B14" s="19" t="s">
        <v>19</v>
      </c>
      <c r="C14" s="7">
        <v>1.4768</v>
      </c>
      <c r="D14" s="20">
        <v>93.77</v>
      </c>
      <c r="E14" s="7"/>
      <c r="F14" s="7">
        <v>1.4865</v>
      </c>
      <c r="G14" s="20">
        <v>93.34</v>
      </c>
      <c r="H14" s="7"/>
      <c r="I14" s="7">
        <v>1.4777</v>
      </c>
      <c r="J14" s="20">
        <v>93.71</v>
      </c>
      <c r="K14" s="7"/>
      <c r="L14" s="7">
        <v>1.4813</v>
      </c>
      <c r="M14" s="20">
        <v>93.49</v>
      </c>
      <c r="N14" s="7"/>
      <c r="O14" s="7">
        <v>1.4919</v>
      </c>
      <c r="P14" s="20">
        <v>93.02</v>
      </c>
      <c r="Q14" s="7"/>
      <c r="R14" s="7">
        <v>1.4931</v>
      </c>
      <c r="S14" s="20">
        <v>92.87</v>
      </c>
      <c r="T14" s="7"/>
      <c r="U14" s="7">
        <v>1.4952</v>
      </c>
      <c r="V14" s="20">
        <v>92.8</v>
      </c>
      <c r="W14" s="7"/>
      <c r="X14" s="7">
        <v>1.4764</v>
      </c>
      <c r="Y14" s="20">
        <v>93.62</v>
      </c>
      <c r="Z14" s="7"/>
      <c r="AA14" s="7">
        <v>1.4829</v>
      </c>
      <c r="AB14" s="20">
        <v>93.21</v>
      </c>
      <c r="AC14" s="7"/>
      <c r="AD14" s="7">
        <v>1.4789</v>
      </c>
      <c r="AE14" s="7">
        <v>93.4</v>
      </c>
      <c r="AF14" s="7"/>
      <c r="AG14" s="7">
        <v>1.4911</v>
      </c>
      <c r="AH14" s="20">
        <v>92.61</v>
      </c>
      <c r="AI14" s="7"/>
      <c r="AJ14" s="7">
        <v>1.4963</v>
      </c>
      <c r="AK14" s="20">
        <v>92.28</v>
      </c>
      <c r="AL14" s="7"/>
      <c r="AM14" s="7">
        <v>1.502</v>
      </c>
      <c r="AN14" s="20">
        <v>92.09</v>
      </c>
      <c r="AO14" s="7"/>
      <c r="AP14" s="7">
        <v>1.5094</v>
      </c>
      <c r="AQ14" s="20">
        <v>92.39</v>
      </c>
      <c r="AR14" s="7"/>
      <c r="AS14" s="7">
        <v>1.5063</v>
      </c>
      <c r="AT14" s="20">
        <v>92.39</v>
      </c>
      <c r="AU14" s="7"/>
      <c r="AV14" s="7">
        <v>1.508</v>
      </c>
      <c r="AW14" s="20">
        <v>92.34</v>
      </c>
      <c r="AX14" s="7"/>
      <c r="AY14" s="7">
        <v>1.5</v>
      </c>
      <c r="AZ14" s="20">
        <v>92.74</v>
      </c>
      <c r="BA14" s="7"/>
      <c r="BB14" s="7">
        <v>1.5054</v>
      </c>
      <c r="BC14" s="20">
        <v>92.5</v>
      </c>
      <c r="BD14" s="7"/>
      <c r="BE14" s="7">
        <v>1.5009</v>
      </c>
      <c r="BF14" s="20">
        <v>92.62</v>
      </c>
      <c r="BG14" s="7"/>
      <c r="BH14" s="7">
        <v>1.5009</v>
      </c>
      <c r="BI14" s="23">
        <v>92.64</v>
      </c>
      <c r="BJ14" s="7"/>
      <c r="BK14" s="22">
        <v>1.4884</v>
      </c>
      <c r="BL14" s="23">
        <v>93.1</v>
      </c>
      <c r="BM14" s="7"/>
      <c r="BN14" s="22">
        <v>1.4893</v>
      </c>
      <c r="BO14" s="23">
        <v>93.04</v>
      </c>
      <c r="BP14" s="7"/>
      <c r="BQ14" s="22">
        <v>1.4826</v>
      </c>
      <c r="BR14" s="23">
        <v>93.17</v>
      </c>
      <c r="BS14" s="7"/>
      <c r="BT14" s="7">
        <f t="shared" si="0"/>
        <v>1.4922304347826088</v>
      </c>
      <c r="BU14" s="7">
        <f t="shared" si="1"/>
        <v>92.9191304347826</v>
      </c>
    </row>
    <row r="15" spans="1:73" ht="15.75">
      <c r="A15" s="18">
        <v>4</v>
      </c>
      <c r="B15" s="19" t="s">
        <v>24</v>
      </c>
      <c r="C15" s="7">
        <f>1/0.9873</f>
        <v>1.0128633647320977</v>
      </c>
      <c r="D15" s="20">
        <v>136.72</v>
      </c>
      <c r="E15" s="7"/>
      <c r="F15" s="7">
        <f>1/0.9829</f>
        <v>1.0173974972021569</v>
      </c>
      <c r="G15" s="20">
        <v>136.38</v>
      </c>
      <c r="H15" s="7"/>
      <c r="I15" s="7">
        <f>1/0.9872</f>
        <v>1.012965964343598</v>
      </c>
      <c r="J15" s="20">
        <v>136.7</v>
      </c>
      <c r="K15" s="7"/>
      <c r="L15" s="7">
        <f>1/0.9865</f>
        <v>1.0136847440446022</v>
      </c>
      <c r="M15" s="20">
        <v>136.61</v>
      </c>
      <c r="N15" s="7"/>
      <c r="O15" s="7">
        <f>1/0.9794</f>
        <v>1.0210332856851132</v>
      </c>
      <c r="P15" s="20">
        <v>135.91</v>
      </c>
      <c r="Q15" s="7"/>
      <c r="R15" s="7">
        <f>1/0.9807</f>
        <v>1.0196798205363515</v>
      </c>
      <c r="S15" s="20">
        <v>135.99</v>
      </c>
      <c r="T15" s="7"/>
      <c r="U15" s="7">
        <f>1/0.9799</f>
        <v>1.020512297173181</v>
      </c>
      <c r="V15" s="20">
        <v>135.96</v>
      </c>
      <c r="W15" s="7"/>
      <c r="X15" s="7">
        <f>1/0.99</f>
        <v>1.0101010101010102</v>
      </c>
      <c r="Y15" s="20">
        <v>136.84</v>
      </c>
      <c r="Z15" s="7"/>
      <c r="AA15" s="7">
        <f>1/0.9866</f>
        <v>1.0135819987837016</v>
      </c>
      <c r="AB15" s="20">
        <v>136.37</v>
      </c>
      <c r="AC15" s="7"/>
      <c r="AD15" s="7">
        <f>1/0.9883</f>
        <v>1.0118385105737124</v>
      </c>
      <c r="AE15" s="7">
        <v>136.51</v>
      </c>
      <c r="AF15" s="7"/>
      <c r="AG15" s="7">
        <f>1/0.9834</f>
        <v>1.016880211511084</v>
      </c>
      <c r="AH15" s="20">
        <v>135.79</v>
      </c>
      <c r="AI15" s="7"/>
      <c r="AJ15" s="7">
        <f>1/0.9812</f>
        <v>1.019160211985324</v>
      </c>
      <c r="AK15" s="20">
        <v>135.48</v>
      </c>
      <c r="AL15" s="7"/>
      <c r="AM15" s="24">
        <f>1/0.9765</f>
        <v>1.0240655401945724</v>
      </c>
      <c r="AN15" s="20">
        <v>135.07</v>
      </c>
      <c r="AO15" s="7"/>
      <c r="AP15" s="24">
        <f>1/0.9728</f>
        <v>1.0279605263157894</v>
      </c>
      <c r="AQ15" s="20">
        <v>135.66</v>
      </c>
      <c r="AR15" s="7"/>
      <c r="AS15" s="7">
        <f>1/0.9757</f>
        <v>1.0249051962693452</v>
      </c>
      <c r="AT15" s="20">
        <v>135.79</v>
      </c>
      <c r="AU15" s="7"/>
      <c r="AV15" s="7">
        <f>1/0.975</f>
        <v>1.0256410256410258</v>
      </c>
      <c r="AW15" s="20">
        <v>135.77</v>
      </c>
      <c r="AX15" s="7"/>
      <c r="AY15" s="7">
        <f>1/0.978</f>
        <v>1.0224948875255624</v>
      </c>
      <c r="AZ15" s="20">
        <v>136.05</v>
      </c>
      <c r="BA15" s="7"/>
      <c r="BB15" s="7">
        <f>1/0.9746</f>
        <v>1.0260619741432382</v>
      </c>
      <c r="BC15" s="20">
        <v>135.72</v>
      </c>
      <c r="BD15" s="7"/>
      <c r="BE15" s="7">
        <f>1/0.9772</f>
        <v>1.023331968890708</v>
      </c>
      <c r="BF15" s="20">
        <v>135.84</v>
      </c>
      <c r="BG15" s="7"/>
      <c r="BH15" s="7">
        <f>1/0.9772</f>
        <v>1.023331968890708</v>
      </c>
      <c r="BI15" s="23">
        <v>135.87</v>
      </c>
      <c r="BJ15" s="7"/>
      <c r="BK15" s="22">
        <f>1/0.9841</f>
        <v>1.01615689462453</v>
      </c>
      <c r="BL15" s="23">
        <v>136.36</v>
      </c>
      <c r="BM15" s="7"/>
      <c r="BN15" s="22">
        <f>1/0.9829</f>
        <v>1.0173974972021569</v>
      </c>
      <c r="BO15" s="23">
        <v>136.2</v>
      </c>
      <c r="BP15" s="7"/>
      <c r="BQ15" s="22">
        <f>1/0.986</f>
        <v>1.0141987829614605</v>
      </c>
      <c r="BR15" s="23">
        <v>136.2</v>
      </c>
      <c r="BS15" s="7"/>
      <c r="BT15" s="7">
        <f t="shared" si="0"/>
        <v>1.0189237034491754</v>
      </c>
      <c r="BU15" s="7">
        <f t="shared" si="1"/>
        <v>136.07782608695652</v>
      </c>
    </row>
    <row r="16" spans="1:73" ht="15.75">
      <c r="A16" s="18">
        <v>5</v>
      </c>
      <c r="B16" s="19" t="s">
        <v>25</v>
      </c>
      <c r="C16" s="7">
        <v>322.7</v>
      </c>
      <c r="D16" s="20">
        <v>44686.08</v>
      </c>
      <c r="E16" s="7"/>
      <c r="F16" s="7">
        <v>320</v>
      </c>
      <c r="G16" s="20">
        <v>44400.4</v>
      </c>
      <c r="H16" s="7"/>
      <c r="I16" s="7">
        <v>322.75</v>
      </c>
      <c r="J16" s="20">
        <v>44690.79</v>
      </c>
      <c r="K16" s="7"/>
      <c r="L16" s="7">
        <v>321.75</v>
      </c>
      <c r="M16" s="20">
        <v>44557.15</v>
      </c>
      <c r="N16" s="7"/>
      <c r="O16" s="7">
        <v>322.45</v>
      </c>
      <c r="P16" s="20">
        <v>44746.99</v>
      </c>
      <c r="Q16" s="7"/>
      <c r="R16" s="7">
        <v>320.7</v>
      </c>
      <c r="S16" s="20">
        <v>44470.47</v>
      </c>
      <c r="T16" s="7"/>
      <c r="U16" s="7">
        <v>318.65</v>
      </c>
      <c r="V16" s="20">
        <v>44212.29</v>
      </c>
      <c r="W16" s="7"/>
      <c r="X16" s="7">
        <v>319.6</v>
      </c>
      <c r="Y16" s="20">
        <v>44177.11</v>
      </c>
      <c r="Z16" s="7"/>
      <c r="AA16" s="7">
        <v>317.1</v>
      </c>
      <c r="AB16" s="20">
        <v>43830.16</v>
      </c>
      <c r="AC16" s="7"/>
      <c r="AD16" s="7">
        <v>317.5</v>
      </c>
      <c r="AE16" s="7">
        <v>43854.49</v>
      </c>
      <c r="AF16" s="7"/>
      <c r="AG16" s="7">
        <v>317.4</v>
      </c>
      <c r="AH16" s="20">
        <v>43828.18</v>
      </c>
      <c r="AI16" s="7"/>
      <c r="AJ16" s="7">
        <v>314</v>
      </c>
      <c r="AK16" s="20">
        <v>43356.92</v>
      </c>
      <c r="AL16" s="7"/>
      <c r="AM16" s="7">
        <v>312.9</v>
      </c>
      <c r="AN16" s="20">
        <v>43282.09</v>
      </c>
      <c r="AO16" s="7"/>
      <c r="AP16" s="7">
        <v>312.35</v>
      </c>
      <c r="AQ16" s="20">
        <v>43559.35</v>
      </c>
      <c r="AR16" s="7"/>
      <c r="AS16" s="7">
        <v>313.3</v>
      </c>
      <c r="AT16" s="20">
        <v>43601.37</v>
      </c>
      <c r="AU16" s="7"/>
      <c r="AV16" s="7">
        <v>311.6</v>
      </c>
      <c r="AW16" s="20">
        <v>43391.86</v>
      </c>
      <c r="AX16" s="7"/>
      <c r="AY16" s="7">
        <v>313.4</v>
      </c>
      <c r="AZ16" s="20">
        <v>43598.64</v>
      </c>
      <c r="BA16" s="7"/>
      <c r="BB16" s="7">
        <v>311.3</v>
      </c>
      <c r="BC16" s="20">
        <v>43349.5</v>
      </c>
      <c r="BD16" s="7"/>
      <c r="BE16" s="7">
        <v>312.1</v>
      </c>
      <c r="BF16" s="20">
        <v>43386.19</v>
      </c>
      <c r="BG16" s="7"/>
      <c r="BH16" s="7">
        <v>312.1</v>
      </c>
      <c r="BI16" s="23">
        <v>43393.8</v>
      </c>
      <c r="BJ16" s="7"/>
      <c r="BK16" s="22">
        <v>316</v>
      </c>
      <c r="BL16" s="23">
        <v>43786.99</v>
      </c>
      <c r="BM16" s="7"/>
      <c r="BN16" s="22">
        <v>316.75</v>
      </c>
      <c r="BO16" s="23">
        <v>43892.64</v>
      </c>
      <c r="BP16" s="7"/>
      <c r="BQ16" s="22">
        <v>316.4</v>
      </c>
      <c r="BR16" s="23">
        <v>43705.91</v>
      </c>
      <c r="BS16" s="7"/>
      <c r="BT16" s="7">
        <f t="shared" si="0"/>
        <v>316.6434782608696</v>
      </c>
      <c r="BU16" s="7">
        <f t="shared" si="1"/>
        <v>43902.58130434782</v>
      </c>
    </row>
    <row r="17" spans="1:73" ht="15.75">
      <c r="A17" s="18">
        <v>6</v>
      </c>
      <c r="B17" s="25" t="s">
        <v>26</v>
      </c>
      <c r="C17" s="7">
        <v>4.53</v>
      </c>
      <c r="D17" s="20">
        <v>627.29</v>
      </c>
      <c r="E17" s="7"/>
      <c r="F17" s="7">
        <v>4.48</v>
      </c>
      <c r="G17" s="20">
        <v>621.61</v>
      </c>
      <c r="H17" s="7"/>
      <c r="I17" s="7">
        <v>4.48</v>
      </c>
      <c r="J17" s="20">
        <v>620.34</v>
      </c>
      <c r="K17" s="7"/>
      <c r="L17" s="7">
        <v>4.46</v>
      </c>
      <c r="M17" s="20">
        <v>617.64</v>
      </c>
      <c r="N17" s="7"/>
      <c r="O17" s="7">
        <v>4.49</v>
      </c>
      <c r="P17" s="20">
        <v>623.09</v>
      </c>
      <c r="Q17" s="7"/>
      <c r="R17" s="7">
        <v>4.44</v>
      </c>
      <c r="S17" s="20">
        <v>615.68</v>
      </c>
      <c r="T17" s="7"/>
      <c r="U17" s="7">
        <v>4.36</v>
      </c>
      <c r="V17" s="20">
        <v>604.94</v>
      </c>
      <c r="W17" s="7"/>
      <c r="X17" s="7">
        <v>4.34</v>
      </c>
      <c r="Y17" s="20">
        <v>599.9</v>
      </c>
      <c r="Z17" s="7"/>
      <c r="AA17" s="7">
        <v>4.29</v>
      </c>
      <c r="AB17" s="20">
        <v>592.97</v>
      </c>
      <c r="AC17" s="7"/>
      <c r="AD17" s="7">
        <v>4.33</v>
      </c>
      <c r="AE17" s="7">
        <v>598.08</v>
      </c>
      <c r="AF17" s="7"/>
      <c r="AG17" s="7">
        <v>4.3</v>
      </c>
      <c r="AH17" s="20">
        <v>593.77</v>
      </c>
      <c r="AI17" s="7"/>
      <c r="AJ17" s="7">
        <v>4.31</v>
      </c>
      <c r="AK17" s="20">
        <v>595.12</v>
      </c>
      <c r="AL17" s="7"/>
      <c r="AM17" s="7">
        <v>4.35</v>
      </c>
      <c r="AN17" s="20">
        <v>601.72</v>
      </c>
      <c r="AO17" s="7"/>
      <c r="AP17" s="7">
        <v>4.35</v>
      </c>
      <c r="AQ17" s="20">
        <v>606.64</v>
      </c>
      <c r="AR17" s="7"/>
      <c r="AS17" s="7">
        <v>4.37</v>
      </c>
      <c r="AT17" s="20">
        <v>608.16</v>
      </c>
      <c r="AU17" s="7"/>
      <c r="AV17" s="7">
        <v>4.37</v>
      </c>
      <c r="AW17" s="20">
        <v>608.54</v>
      </c>
      <c r="AX17" s="7"/>
      <c r="AY17" s="7">
        <v>4.41</v>
      </c>
      <c r="AZ17" s="20">
        <v>613.5</v>
      </c>
      <c r="BA17" s="7"/>
      <c r="BB17" s="7">
        <v>4.4</v>
      </c>
      <c r="BC17" s="20">
        <v>612.71</v>
      </c>
      <c r="BD17" s="7"/>
      <c r="BE17" s="7">
        <v>4.37</v>
      </c>
      <c r="BF17" s="20">
        <v>607.49</v>
      </c>
      <c r="BG17" s="7"/>
      <c r="BH17" s="7">
        <v>4.37</v>
      </c>
      <c r="BI17" s="23">
        <v>607.6</v>
      </c>
      <c r="BJ17" s="7"/>
      <c r="BK17" s="22">
        <v>4.44</v>
      </c>
      <c r="BL17" s="23">
        <v>615.23</v>
      </c>
      <c r="BM17" s="7"/>
      <c r="BN17" s="22">
        <v>4.5</v>
      </c>
      <c r="BO17" s="23">
        <v>623.57</v>
      </c>
      <c r="BP17" s="7"/>
      <c r="BQ17" s="22">
        <v>4.46</v>
      </c>
      <c r="BR17" s="23">
        <v>616.08</v>
      </c>
      <c r="BS17" s="7"/>
      <c r="BT17" s="7">
        <f t="shared" si="0"/>
        <v>4.4</v>
      </c>
      <c r="BU17" s="7">
        <f t="shared" si="1"/>
        <v>610.072608695652</v>
      </c>
    </row>
    <row r="18" spans="1:73" ht="15.75">
      <c r="A18" s="18">
        <v>7</v>
      </c>
      <c r="B18" s="19" t="s">
        <v>27</v>
      </c>
      <c r="C18" s="7">
        <f>1/0.5416</f>
        <v>1.8463810930576072</v>
      </c>
      <c r="D18" s="20">
        <v>75</v>
      </c>
      <c r="E18" s="7"/>
      <c r="F18" s="7">
        <f>1/0.5447</f>
        <v>1.8358729575913348</v>
      </c>
      <c r="G18" s="20">
        <v>75.58</v>
      </c>
      <c r="H18" s="7"/>
      <c r="I18" s="7">
        <f>1/0.5443</f>
        <v>1.8372221201543266</v>
      </c>
      <c r="J18" s="20">
        <v>75.37</v>
      </c>
      <c r="K18" s="7"/>
      <c r="L18" s="7">
        <f>1/0.5466</f>
        <v>1.8294914013904136</v>
      </c>
      <c r="M18" s="20">
        <v>75.7</v>
      </c>
      <c r="N18" s="7"/>
      <c r="O18" s="7">
        <f>1/0.5493</f>
        <v>1.8204988166757692</v>
      </c>
      <c r="P18" s="20">
        <v>76.23</v>
      </c>
      <c r="Q18" s="7"/>
      <c r="R18" s="7">
        <f>1/0.5484</f>
        <v>1.8234865061998542</v>
      </c>
      <c r="S18" s="20">
        <v>76.04</v>
      </c>
      <c r="T18" s="7"/>
      <c r="U18" s="7">
        <f>1/0.547</f>
        <v>1.8281535648994514</v>
      </c>
      <c r="V18" s="20">
        <v>75.9</v>
      </c>
      <c r="W18" s="7"/>
      <c r="X18" s="7">
        <f>1/0.5475</f>
        <v>1.8264840182648403</v>
      </c>
      <c r="Y18" s="20">
        <v>75.68</v>
      </c>
      <c r="Z18" s="7"/>
      <c r="AA18" s="7">
        <f>1/0.5478</f>
        <v>1.8254837531945967</v>
      </c>
      <c r="AB18" s="20">
        <v>75.72</v>
      </c>
      <c r="AC18" s="7"/>
      <c r="AD18" s="7">
        <f>1/0.5459</f>
        <v>1.8318373328448432</v>
      </c>
      <c r="AE18" s="7">
        <v>75.4</v>
      </c>
      <c r="AF18" s="7"/>
      <c r="AG18" s="7">
        <f>1/0.5486</f>
        <v>1.8228217280349983</v>
      </c>
      <c r="AH18" s="20">
        <v>75.75</v>
      </c>
      <c r="AI18" s="7"/>
      <c r="AJ18" s="7">
        <f>1/0.5473</f>
        <v>1.827151470856934</v>
      </c>
      <c r="AK18" s="20">
        <v>75.57</v>
      </c>
      <c r="AL18" s="7"/>
      <c r="AM18" s="7">
        <f>1/0.5495</f>
        <v>1.8198362147406735</v>
      </c>
      <c r="AN18" s="20">
        <v>76.01</v>
      </c>
      <c r="AO18" s="7"/>
      <c r="AP18" s="7">
        <f>1/0.5508</f>
        <v>1.815541031227306</v>
      </c>
      <c r="AQ18" s="20">
        <v>76.81</v>
      </c>
      <c r="AR18" s="7"/>
      <c r="AS18" s="7">
        <f>1/0.5531</f>
        <v>1.807991321641656</v>
      </c>
      <c r="AT18" s="20">
        <v>76.97</v>
      </c>
      <c r="AU18" s="7"/>
      <c r="AV18" s="7">
        <f>1/0.5534</f>
        <v>1.8070112034694614</v>
      </c>
      <c r="AW18" s="20">
        <v>77.06</v>
      </c>
      <c r="AX18" s="7"/>
      <c r="AY18" s="7">
        <f>1/0.5525</f>
        <v>1.8099547511312217</v>
      </c>
      <c r="AZ18" s="20">
        <v>76.86</v>
      </c>
      <c r="BA18" s="7"/>
      <c r="BB18" s="7">
        <f>1/0.5545</f>
        <v>1.8034265103697025</v>
      </c>
      <c r="BC18" s="20">
        <v>77.22</v>
      </c>
      <c r="BD18" s="7"/>
      <c r="BE18" s="7">
        <f>1/0.5555</f>
        <v>1.8001800180018002</v>
      </c>
      <c r="BF18" s="20">
        <v>77.22</v>
      </c>
      <c r="BG18" s="7"/>
      <c r="BH18" s="7">
        <f>1/0.5555</f>
        <v>1.8001800180018002</v>
      </c>
      <c r="BI18" s="23">
        <v>77.24</v>
      </c>
      <c r="BJ18" s="7"/>
      <c r="BK18" s="22">
        <f>1/0.5584</f>
        <v>1.7908309455587392</v>
      </c>
      <c r="BL18" s="23">
        <v>77.38</v>
      </c>
      <c r="BM18" s="7"/>
      <c r="BN18" s="22">
        <f>1/0.5555</f>
        <v>1.8001800180018002</v>
      </c>
      <c r="BO18" s="23">
        <v>76.98</v>
      </c>
      <c r="BP18" s="7"/>
      <c r="BQ18" s="22">
        <f>1/0.5538</f>
        <v>1.8057060310581439</v>
      </c>
      <c r="BR18" s="23">
        <v>76.5</v>
      </c>
      <c r="BS18" s="7"/>
      <c r="BT18" s="7">
        <f t="shared" si="0"/>
        <v>1.8180749054942285</v>
      </c>
      <c r="BU18" s="7">
        <f t="shared" si="1"/>
        <v>76.26913043478261</v>
      </c>
    </row>
    <row r="19" spans="1:73" ht="15.75">
      <c r="A19" s="18">
        <v>8</v>
      </c>
      <c r="B19" s="19" t="s">
        <v>28</v>
      </c>
      <c r="C19" s="7">
        <v>1.5889</v>
      </c>
      <c r="D19" s="20">
        <v>87.15</v>
      </c>
      <c r="E19" s="7"/>
      <c r="F19" s="7">
        <v>1.5828</v>
      </c>
      <c r="G19" s="20">
        <v>87.66</v>
      </c>
      <c r="H19" s="7"/>
      <c r="I19" s="7">
        <v>1.5886</v>
      </c>
      <c r="J19" s="20">
        <v>87.16</v>
      </c>
      <c r="K19" s="7"/>
      <c r="L19" s="7">
        <v>1.5871</v>
      </c>
      <c r="M19" s="20">
        <v>87.26</v>
      </c>
      <c r="N19" s="7"/>
      <c r="O19" s="7">
        <v>1.5926</v>
      </c>
      <c r="P19" s="20">
        <v>87.14</v>
      </c>
      <c r="Q19" s="7"/>
      <c r="R19" s="7">
        <v>1.5919</v>
      </c>
      <c r="S19" s="20">
        <v>87.11</v>
      </c>
      <c r="T19" s="7"/>
      <c r="U19" s="7">
        <v>1.5941</v>
      </c>
      <c r="V19" s="20">
        <v>87.04</v>
      </c>
      <c r="W19" s="7"/>
      <c r="X19" s="7">
        <v>1.5914</v>
      </c>
      <c r="Y19" s="20">
        <v>86.86</v>
      </c>
      <c r="Z19" s="7"/>
      <c r="AA19" s="7">
        <v>1.5874</v>
      </c>
      <c r="AB19" s="20">
        <v>87.07</v>
      </c>
      <c r="AC19" s="7"/>
      <c r="AD19" s="7">
        <v>1.5854</v>
      </c>
      <c r="AE19" s="7">
        <v>87.12</v>
      </c>
      <c r="AF19" s="7"/>
      <c r="AG19" s="7">
        <v>1.5839</v>
      </c>
      <c r="AH19" s="20">
        <v>87.18</v>
      </c>
      <c r="AI19" s="7"/>
      <c r="AJ19" s="7">
        <v>1.5865</v>
      </c>
      <c r="AK19" s="20">
        <v>87.03</v>
      </c>
      <c r="AL19" s="7"/>
      <c r="AM19" s="7">
        <v>1.5787</v>
      </c>
      <c r="AN19" s="20">
        <v>87.62</v>
      </c>
      <c r="AO19" s="7"/>
      <c r="AP19" s="7">
        <v>1.5698</v>
      </c>
      <c r="AQ19" s="20">
        <v>88.84</v>
      </c>
      <c r="AR19" s="7"/>
      <c r="AS19" s="7">
        <v>1.5689</v>
      </c>
      <c r="AT19" s="20">
        <v>88.7</v>
      </c>
      <c r="AU19" s="7"/>
      <c r="AV19" s="7">
        <v>1.5653</v>
      </c>
      <c r="AW19" s="20">
        <v>88.96</v>
      </c>
      <c r="AX19" s="7"/>
      <c r="AY19" s="7">
        <v>1.5685</v>
      </c>
      <c r="AZ19" s="20">
        <v>88.69</v>
      </c>
      <c r="BA19" s="7"/>
      <c r="BB19" s="7">
        <v>1.5643</v>
      </c>
      <c r="BC19" s="20">
        <v>89.02</v>
      </c>
      <c r="BD19" s="7"/>
      <c r="BE19" s="7">
        <v>1.5637</v>
      </c>
      <c r="BF19" s="20">
        <v>88.9</v>
      </c>
      <c r="BG19" s="7"/>
      <c r="BH19" s="7">
        <v>1.5637</v>
      </c>
      <c r="BI19" s="23">
        <v>88.92</v>
      </c>
      <c r="BJ19" s="7"/>
      <c r="BK19" s="22">
        <v>1.5576</v>
      </c>
      <c r="BL19" s="23">
        <v>88.96</v>
      </c>
      <c r="BM19" s="7"/>
      <c r="BN19" s="22">
        <v>1.5635</v>
      </c>
      <c r="BO19" s="23">
        <v>88.63</v>
      </c>
      <c r="BP19" s="7"/>
      <c r="BQ19" s="22">
        <v>1.5656</v>
      </c>
      <c r="BR19" s="23">
        <v>88.23</v>
      </c>
      <c r="BS19" s="7"/>
      <c r="BT19" s="7">
        <f t="shared" si="0"/>
        <v>1.5778347826086958</v>
      </c>
      <c r="BU19" s="7">
        <f t="shared" si="1"/>
        <v>87.88043478260872</v>
      </c>
    </row>
    <row r="20" spans="1:73" ht="15.75">
      <c r="A20" s="18">
        <v>9</v>
      </c>
      <c r="B20" s="19" t="s">
        <v>31</v>
      </c>
      <c r="C20" s="7">
        <v>9.229</v>
      </c>
      <c r="D20" s="20">
        <v>15</v>
      </c>
      <c r="E20" s="7"/>
      <c r="F20" s="7">
        <v>9.2149</v>
      </c>
      <c r="G20" s="20">
        <v>15.06</v>
      </c>
      <c r="H20" s="7"/>
      <c r="I20" s="7">
        <v>9.2055</v>
      </c>
      <c r="J20" s="20">
        <v>15.04</v>
      </c>
      <c r="K20" s="7"/>
      <c r="L20" s="7">
        <v>9.2038</v>
      </c>
      <c r="M20" s="20">
        <v>15.05</v>
      </c>
      <c r="N20" s="7"/>
      <c r="O20" s="7">
        <v>9.274</v>
      </c>
      <c r="P20" s="20">
        <v>14.96</v>
      </c>
      <c r="Q20" s="7"/>
      <c r="R20" s="7">
        <v>9.2742</v>
      </c>
      <c r="S20" s="20">
        <v>14.95</v>
      </c>
      <c r="T20" s="7"/>
      <c r="U20" s="7">
        <v>9.338</v>
      </c>
      <c r="V20" s="20">
        <v>14.86</v>
      </c>
      <c r="W20" s="7"/>
      <c r="X20" s="7">
        <v>9.2614</v>
      </c>
      <c r="Y20" s="20">
        <v>14.92</v>
      </c>
      <c r="Z20" s="7"/>
      <c r="AA20" s="7">
        <v>9.2292</v>
      </c>
      <c r="AB20" s="20">
        <v>14.98</v>
      </c>
      <c r="AC20" s="7"/>
      <c r="AD20" s="7">
        <v>9.208</v>
      </c>
      <c r="AE20" s="7">
        <v>15</v>
      </c>
      <c r="AF20" s="7"/>
      <c r="AG20" s="7">
        <v>9.219</v>
      </c>
      <c r="AH20" s="20">
        <v>14.98</v>
      </c>
      <c r="AI20" s="7"/>
      <c r="AJ20" s="7">
        <v>9.246</v>
      </c>
      <c r="AK20" s="20">
        <v>14.93</v>
      </c>
      <c r="AL20" s="7"/>
      <c r="AM20" s="7">
        <v>9.282</v>
      </c>
      <c r="AN20" s="20">
        <v>14.9</v>
      </c>
      <c r="AO20" s="7"/>
      <c r="AP20" s="7">
        <v>9.3475</v>
      </c>
      <c r="AQ20" s="20">
        <v>14.92</v>
      </c>
      <c r="AR20" s="7"/>
      <c r="AS20" s="7">
        <v>9.286</v>
      </c>
      <c r="AT20" s="20">
        <v>14.99</v>
      </c>
      <c r="AU20" s="7"/>
      <c r="AV20" s="7">
        <v>9.322</v>
      </c>
      <c r="AW20" s="20">
        <v>14.94</v>
      </c>
      <c r="AX20" s="7"/>
      <c r="AY20" s="7">
        <v>9.3343</v>
      </c>
      <c r="AZ20" s="20">
        <v>14.9</v>
      </c>
      <c r="BA20" s="7"/>
      <c r="BB20" s="7">
        <v>9.3631</v>
      </c>
      <c r="BC20" s="20">
        <v>14.87</v>
      </c>
      <c r="BD20" s="7"/>
      <c r="BE20" s="7">
        <v>9.3518</v>
      </c>
      <c r="BF20" s="20">
        <v>14.86</v>
      </c>
      <c r="BG20" s="7"/>
      <c r="BH20" s="7">
        <v>9.3518</v>
      </c>
      <c r="BI20" s="23">
        <v>14.87</v>
      </c>
      <c r="BJ20" s="7"/>
      <c r="BK20" s="22">
        <v>9.242</v>
      </c>
      <c r="BL20" s="23">
        <v>14.99</v>
      </c>
      <c r="BM20" s="7"/>
      <c r="BN20" s="22">
        <v>9.2365</v>
      </c>
      <c r="BO20" s="23">
        <v>15</v>
      </c>
      <c r="BP20" s="7"/>
      <c r="BQ20" s="22">
        <v>9.2055</v>
      </c>
      <c r="BR20" s="23">
        <v>15.01</v>
      </c>
      <c r="BS20" s="7"/>
      <c r="BT20" s="7">
        <f t="shared" si="0"/>
        <v>9.27067391304348</v>
      </c>
      <c r="BU20" s="7">
        <f t="shared" si="1"/>
        <v>14.955652173913045</v>
      </c>
    </row>
    <row r="21" spans="1:73" ht="15.75">
      <c r="A21" s="18">
        <v>10</v>
      </c>
      <c r="B21" s="19" t="s">
        <v>32</v>
      </c>
      <c r="C21" s="7">
        <v>7.4009</v>
      </c>
      <c r="D21" s="20">
        <v>18.71</v>
      </c>
      <c r="E21" s="7"/>
      <c r="F21" s="7">
        <v>7.4232</v>
      </c>
      <c r="G21" s="20">
        <v>18.69</v>
      </c>
      <c r="H21" s="7"/>
      <c r="I21" s="7">
        <v>7.4063</v>
      </c>
      <c r="J21" s="20">
        <v>18.7</v>
      </c>
      <c r="K21" s="7"/>
      <c r="L21" s="7">
        <v>7.3963</v>
      </c>
      <c r="M21" s="20">
        <v>18.72</v>
      </c>
      <c r="N21" s="7"/>
      <c r="O21" s="7">
        <v>7.4366</v>
      </c>
      <c r="P21" s="20">
        <v>18.66</v>
      </c>
      <c r="Q21" s="7"/>
      <c r="R21" s="7">
        <v>7.425</v>
      </c>
      <c r="S21" s="20">
        <v>18.68</v>
      </c>
      <c r="T21" s="7"/>
      <c r="U21" s="7">
        <v>7.407</v>
      </c>
      <c r="V21" s="20">
        <v>18.73</v>
      </c>
      <c r="W21" s="7"/>
      <c r="X21" s="7">
        <v>7.3706</v>
      </c>
      <c r="Y21" s="20">
        <v>18.75</v>
      </c>
      <c r="Z21" s="7"/>
      <c r="AA21" s="7">
        <v>7.3753</v>
      </c>
      <c r="AB21" s="20">
        <v>18.74</v>
      </c>
      <c r="AC21" s="7"/>
      <c r="AD21" s="7">
        <v>7.3683</v>
      </c>
      <c r="AE21" s="7">
        <v>18.75</v>
      </c>
      <c r="AF21" s="7"/>
      <c r="AG21" s="7">
        <v>7.4168</v>
      </c>
      <c r="AH21" s="20">
        <v>18.62</v>
      </c>
      <c r="AI21" s="7"/>
      <c r="AJ21" s="7">
        <v>7.4493</v>
      </c>
      <c r="AK21" s="20">
        <v>18.54</v>
      </c>
      <c r="AL21" s="7"/>
      <c r="AM21" s="7">
        <v>7.5837</v>
      </c>
      <c r="AN21" s="20">
        <v>18.24</v>
      </c>
      <c r="AO21" s="7"/>
      <c r="AP21" s="7">
        <v>7.6158</v>
      </c>
      <c r="AQ21" s="20">
        <v>18.31</v>
      </c>
      <c r="AR21" s="7"/>
      <c r="AS21" s="7">
        <v>7.5722</v>
      </c>
      <c r="AT21" s="20">
        <v>18.38</v>
      </c>
      <c r="AU21" s="7"/>
      <c r="AV21" s="7">
        <v>7.6148</v>
      </c>
      <c r="AW21" s="20">
        <v>18.29</v>
      </c>
      <c r="AX21" s="7"/>
      <c r="AY21" s="7">
        <v>7.5583</v>
      </c>
      <c r="AZ21" s="20">
        <v>18.41</v>
      </c>
      <c r="BA21" s="7"/>
      <c r="BB21" s="7">
        <v>7.5568</v>
      </c>
      <c r="BC21" s="20">
        <v>18.43</v>
      </c>
      <c r="BD21" s="7"/>
      <c r="BE21" s="7">
        <v>7.5299</v>
      </c>
      <c r="BF21" s="20">
        <v>18.46</v>
      </c>
      <c r="BG21" s="7"/>
      <c r="BH21" s="7">
        <v>7.5299</v>
      </c>
      <c r="BI21" s="23">
        <v>18.46</v>
      </c>
      <c r="BJ21" s="7"/>
      <c r="BK21" s="22">
        <v>7.5076</v>
      </c>
      <c r="BL21" s="23">
        <v>18.46</v>
      </c>
      <c r="BM21" s="7"/>
      <c r="BN21" s="22">
        <v>7.531</v>
      </c>
      <c r="BO21" s="23">
        <v>18.4</v>
      </c>
      <c r="BP21" s="7"/>
      <c r="BQ21" s="22">
        <v>7.4592</v>
      </c>
      <c r="BR21" s="23">
        <v>18.52</v>
      </c>
      <c r="BS21" s="7"/>
      <c r="BT21" s="7">
        <f t="shared" si="0"/>
        <v>7.475426086956522</v>
      </c>
      <c r="BU21" s="7">
        <f t="shared" si="1"/>
        <v>18.549999999999997</v>
      </c>
    </row>
    <row r="22" spans="1:73" ht="15.75">
      <c r="A22" s="18">
        <v>11</v>
      </c>
      <c r="B22" s="19" t="s">
        <v>33</v>
      </c>
      <c r="C22" s="7">
        <v>7.5215</v>
      </c>
      <c r="D22" s="20">
        <v>18.41</v>
      </c>
      <c r="E22" s="7"/>
      <c r="F22" s="7">
        <v>7.5505</v>
      </c>
      <c r="G22" s="20">
        <v>18.38</v>
      </c>
      <c r="H22" s="7"/>
      <c r="I22" s="7">
        <v>7.5214</v>
      </c>
      <c r="J22" s="20">
        <v>18.41</v>
      </c>
      <c r="K22" s="7"/>
      <c r="L22" s="7">
        <v>7.5288</v>
      </c>
      <c r="M22" s="20">
        <v>18.39</v>
      </c>
      <c r="N22" s="7"/>
      <c r="O22" s="7">
        <v>7.5823</v>
      </c>
      <c r="P22" s="20">
        <v>18.3</v>
      </c>
      <c r="Q22" s="7"/>
      <c r="R22" s="7">
        <v>7.5725</v>
      </c>
      <c r="S22" s="20">
        <v>18.31</v>
      </c>
      <c r="T22" s="7"/>
      <c r="U22" s="7">
        <v>7.5751</v>
      </c>
      <c r="V22" s="20">
        <v>18.32</v>
      </c>
      <c r="W22" s="7"/>
      <c r="X22" s="7">
        <v>7.5003</v>
      </c>
      <c r="Y22" s="20">
        <v>18.43</v>
      </c>
      <c r="Z22" s="7"/>
      <c r="AA22" s="7">
        <v>7.5283</v>
      </c>
      <c r="AB22" s="20">
        <v>18.36</v>
      </c>
      <c r="AC22" s="7"/>
      <c r="AD22" s="7">
        <v>7.5146</v>
      </c>
      <c r="AE22" s="7">
        <v>18.38</v>
      </c>
      <c r="AF22" s="7"/>
      <c r="AG22" s="7">
        <v>7.5521</v>
      </c>
      <c r="AH22" s="20">
        <v>18.28</v>
      </c>
      <c r="AI22" s="7"/>
      <c r="AJ22" s="7">
        <v>7.5675</v>
      </c>
      <c r="AK22" s="20">
        <v>18.25</v>
      </c>
      <c r="AL22" s="7"/>
      <c r="AM22" s="7">
        <v>7.6014</v>
      </c>
      <c r="AN22" s="20">
        <v>18.2</v>
      </c>
      <c r="AO22" s="7"/>
      <c r="AP22" s="7">
        <v>7.6364</v>
      </c>
      <c r="AQ22" s="20">
        <v>18.26</v>
      </c>
      <c r="AR22" s="7"/>
      <c r="AS22" s="7">
        <v>7.613</v>
      </c>
      <c r="AT22" s="20">
        <v>18.28</v>
      </c>
      <c r="AU22" s="7"/>
      <c r="AV22" s="7">
        <v>7.6195</v>
      </c>
      <c r="AW22" s="20">
        <v>18.28</v>
      </c>
      <c r="AX22" s="7"/>
      <c r="AY22" s="7">
        <v>7.5956</v>
      </c>
      <c r="AZ22" s="20">
        <v>18.32</v>
      </c>
      <c r="BA22" s="7"/>
      <c r="BB22" s="7">
        <v>7.6219</v>
      </c>
      <c r="BC22" s="20">
        <v>18.27</v>
      </c>
      <c r="BD22" s="7"/>
      <c r="BE22" s="7">
        <v>7.6034</v>
      </c>
      <c r="BF22" s="20">
        <v>18.28</v>
      </c>
      <c r="BG22" s="7"/>
      <c r="BH22" s="7">
        <v>7.6034</v>
      </c>
      <c r="BI22" s="23">
        <v>18.29</v>
      </c>
      <c r="BJ22" s="7"/>
      <c r="BK22" s="22">
        <v>7.5526</v>
      </c>
      <c r="BL22" s="23">
        <v>18.35</v>
      </c>
      <c r="BM22" s="7"/>
      <c r="BN22" s="22">
        <v>7.559</v>
      </c>
      <c r="BO22" s="23">
        <v>18.33</v>
      </c>
      <c r="BP22" s="7"/>
      <c r="BQ22" s="22">
        <v>7.5302</v>
      </c>
      <c r="BR22" s="23">
        <v>18.34</v>
      </c>
      <c r="BS22" s="7"/>
      <c r="BT22" s="7">
        <f t="shared" si="0"/>
        <v>7.567447826086957</v>
      </c>
      <c r="BU22" s="7">
        <f t="shared" si="1"/>
        <v>18.322608695652175</v>
      </c>
    </row>
    <row r="23" spans="1:73" ht="15.75">
      <c r="A23" s="18">
        <v>12</v>
      </c>
      <c r="B23" s="19" t="s">
        <v>36</v>
      </c>
      <c r="C23" s="7">
        <f>1/1.32269</f>
        <v>0.7560350497849081</v>
      </c>
      <c r="D23" s="20">
        <v>183.16</v>
      </c>
      <c r="E23" s="7"/>
      <c r="F23" s="7">
        <f>1/1.32393</f>
        <v>0.7553269432673932</v>
      </c>
      <c r="G23" s="20">
        <v>183.7</v>
      </c>
      <c r="H23" s="7"/>
      <c r="I23" s="7">
        <f>1/1.32032</f>
        <v>0.7573921473582163</v>
      </c>
      <c r="J23" s="20">
        <v>182.82</v>
      </c>
      <c r="K23" s="7"/>
      <c r="L23" s="7">
        <f>1/1.32354</f>
        <v>0.7555495111594663</v>
      </c>
      <c r="M23" s="20">
        <v>183.29</v>
      </c>
      <c r="N23" s="7"/>
      <c r="O23" s="7">
        <f>1/1.32242</f>
        <v>0.7561894103234978</v>
      </c>
      <c r="P23" s="20">
        <v>183.51</v>
      </c>
      <c r="Q23" s="7"/>
      <c r="R23" s="7">
        <f>1/1.31665</f>
        <v>0.7595032848517069</v>
      </c>
      <c r="S23" s="20">
        <v>182.58</v>
      </c>
      <c r="T23" s="7"/>
      <c r="U23" s="7">
        <f>1/1.31772</f>
        <v>0.7588865616367665</v>
      </c>
      <c r="V23" s="20">
        <v>182.83</v>
      </c>
      <c r="W23" s="7"/>
      <c r="X23" s="7">
        <f>1/1.31634</f>
        <v>0.759682148988863</v>
      </c>
      <c r="Y23" s="20">
        <v>181.95</v>
      </c>
      <c r="Z23" s="7"/>
      <c r="AA23" s="7">
        <f>1/1.32238</f>
        <v>0.7562122839123399</v>
      </c>
      <c r="AB23" s="20">
        <v>182.78</v>
      </c>
      <c r="AC23" s="7"/>
      <c r="AD23" s="7">
        <f>1/1.3198</f>
        <v>0.7576905591756327</v>
      </c>
      <c r="AE23" s="7">
        <v>182.3</v>
      </c>
      <c r="AF23" s="7"/>
      <c r="AG23" s="7">
        <f>1/1.3198</f>
        <v>0.7576905591756327</v>
      </c>
      <c r="AH23" s="20">
        <v>182.24</v>
      </c>
      <c r="AI23" s="7"/>
      <c r="AJ23" s="7">
        <f>1/1.31705</f>
        <v>0.7592726168330739</v>
      </c>
      <c r="AK23" s="20">
        <v>181.86</v>
      </c>
      <c r="AL23" s="7"/>
      <c r="AM23" s="7">
        <f>1/1.6014</f>
        <v>0.6244536030972899</v>
      </c>
      <c r="AN23" s="20">
        <v>182.18</v>
      </c>
      <c r="AO23" s="7"/>
      <c r="AP23" s="7">
        <f>1/1.31466</f>
        <v>0.7606529444875482</v>
      </c>
      <c r="AQ23" s="20">
        <v>183.34</v>
      </c>
      <c r="AR23" s="7"/>
      <c r="AS23" s="7">
        <f>1/1.31124</f>
        <v>0.7626368933223514</v>
      </c>
      <c r="AT23" s="20">
        <v>182.48</v>
      </c>
      <c r="AU23" s="7"/>
      <c r="AV23" s="7">
        <f>1/1.31294</f>
        <v>0.7616494280012795</v>
      </c>
      <c r="AW23" s="20">
        <v>182.83</v>
      </c>
      <c r="AX23" s="7"/>
      <c r="AY23" s="7">
        <f>1/1.31207</f>
        <v>0.7621544582225034</v>
      </c>
      <c r="AZ23" s="20">
        <v>182.53</v>
      </c>
      <c r="BA23" s="7"/>
      <c r="BB23" s="7">
        <f>1/1.3142</f>
        <v>0.7609191903819814</v>
      </c>
      <c r="BC23" s="20">
        <v>183.01</v>
      </c>
      <c r="BD23" s="7"/>
      <c r="BE23" s="7">
        <f>1/1.31281</f>
        <v>0.7617248497497734</v>
      </c>
      <c r="BF23" s="20">
        <v>182.5</v>
      </c>
      <c r="BG23" s="7"/>
      <c r="BH23" s="7">
        <f>1/1.31281</f>
        <v>0.7617248497497734</v>
      </c>
      <c r="BI23" s="23">
        <v>182.53</v>
      </c>
      <c r="BJ23" s="7"/>
      <c r="BK23" s="22">
        <f>1/1.31323</f>
        <v>0.7614812332950055</v>
      </c>
      <c r="BL23" s="23">
        <v>181.97</v>
      </c>
      <c r="BM23" s="7"/>
      <c r="BN23" s="22">
        <f>1/1.32025</f>
        <v>0.7574323044877864</v>
      </c>
      <c r="BO23" s="23">
        <v>182.95</v>
      </c>
      <c r="BP23" s="7"/>
      <c r="BQ23" s="22">
        <f>1/1.32</f>
        <v>0.7575757575757576</v>
      </c>
      <c r="BR23" s="23">
        <v>182.34</v>
      </c>
      <c r="BS23" s="7"/>
      <c r="BT23" s="7">
        <f t="shared" si="0"/>
        <v>0.7531233299495022</v>
      </c>
      <c r="BU23" s="7">
        <f t="shared" si="1"/>
        <v>182.6817391304348</v>
      </c>
    </row>
    <row r="24" spans="1:73" ht="16.5" thickBot="1">
      <c r="A24" s="26">
        <v>13</v>
      </c>
      <c r="B24" s="27" t="s">
        <v>38</v>
      </c>
      <c r="C24" s="28">
        <v>1</v>
      </c>
      <c r="D24" s="29">
        <v>138.48</v>
      </c>
      <c r="E24" s="28"/>
      <c r="F24" s="28">
        <v>1</v>
      </c>
      <c r="G24" s="29">
        <v>138.75</v>
      </c>
      <c r="H24" s="28"/>
      <c r="I24" s="28">
        <v>1</v>
      </c>
      <c r="J24" s="29">
        <v>138.47</v>
      </c>
      <c r="K24" s="28"/>
      <c r="L24" s="28">
        <v>1</v>
      </c>
      <c r="M24" s="29">
        <v>138.48</v>
      </c>
      <c r="N24" s="28"/>
      <c r="O24" s="28">
        <v>1</v>
      </c>
      <c r="P24" s="29">
        <v>138.77</v>
      </c>
      <c r="Q24" s="28"/>
      <c r="R24" s="28">
        <v>1</v>
      </c>
      <c r="S24" s="29">
        <v>138.67</v>
      </c>
      <c r="T24" s="28"/>
      <c r="U24" s="28">
        <v>1</v>
      </c>
      <c r="V24" s="29">
        <v>138.75</v>
      </c>
      <c r="W24" s="28"/>
      <c r="X24" s="28">
        <v>1</v>
      </c>
      <c r="Y24" s="29">
        <v>138.23</v>
      </c>
      <c r="Z24" s="28"/>
      <c r="AA24" s="28">
        <v>1</v>
      </c>
      <c r="AB24" s="29">
        <v>138.22</v>
      </c>
      <c r="AC24" s="28"/>
      <c r="AD24" s="28">
        <v>1</v>
      </c>
      <c r="AE24" s="28">
        <v>138.12</v>
      </c>
      <c r="AF24" s="28"/>
      <c r="AG24" s="28">
        <v>1</v>
      </c>
      <c r="AH24" s="29">
        <v>138.09</v>
      </c>
      <c r="AI24" s="28"/>
      <c r="AJ24" s="28">
        <v>1</v>
      </c>
      <c r="AK24" s="29">
        <v>138.08</v>
      </c>
      <c r="AL24" s="28"/>
      <c r="AM24" s="28">
        <v>1</v>
      </c>
      <c r="AN24" s="29">
        <v>138.33</v>
      </c>
      <c r="AO24" s="28"/>
      <c r="AP24" s="28">
        <v>1</v>
      </c>
      <c r="AQ24" s="29">
        <v>139.46</v>
      </c>
      <c r="AR24" s="28"/>
      <c r="AS24" s="28">
        <v>1</v>
      </c>
      <c r="AT24" s="29">
        <v>139.17</v>
      </c>
      <c r="AU24" s="28"/>
      <c r="AV24" s="28">
        <v>1</v>
      </c>
      <c r="AW24" s="29">
        <v>139.26</v>
      </c>
      <c r="AX24" s="28"/>
      <c r="AY24" s="28">
        <v>1</v>
      </c>
      <c r="AZ24" s="29">
        <v>139.12</v>
      </c>
      <c r="BA24" s="28"/>
      <c r="BB24" s="28">
        <v>1</v>
      </c>
      <c r="BC24" s="29">
        <v>139.25</v>
      </c>
      <c r="BD24" s="28"/>
      <c r="BE24" s="28">
        <v>1</v>
      </c>
      <c r="BF24" s="29">
        <v>139.01</v>
      </c>
      <c r="BG24" s="28"/>
      <c r="BH24" s="28">
        <v>1</v>
      </c>
      <c r="BI24" s="33">
        <v>139.04</v>
      </c>
      <c r="BJ24" s="28"/>
      <c r="BK24" s="32">
        <v>1</v>
      </c>
      <c r="BL24" s="33">
        <v>138.57</v>
      </c>
      <c r="BM24" s="28"/>
      <c r="BN24" s="32">
        <v>1</v>
      </c>
      <c r="BO24" s="33">
        <v>138.57</v>
      </c>
      <c r="BP24" s="28"/>
      <c r="BQ24" s="32">
        <v>1</v>
      </c>
      <c r="BR24" s="33">
        <v>138.14</v>
      </c>
      <c r="BS24" s="31"/>
      <c r="BT24" s="31">
        <f t="shared" si="0"/>
        <v>1</v>
      </c>
      <c r="BU24" s="31">
        <f t="shared" si="1"/>
        <v>138.65347826086958</v>
      </c>
    </row>
    <row r="25" spans="1:73" ht="15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7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35"/>
      <c r="BT25" s="35"/>
      <c r="BU25" s="35"/>
    </row>
    <row r="26" spans="2:71" ht="15.75">
      <c r="B26" s="36"/>
      <c r="BM26" s="40"/>
      <c r="BN26" s="40"/>
      <c r="BO26" s="40"/>
      <c r="BP26" s="40"/>
      <c r="BQ26" s="40"/>
      <c r="BR26" s="40"/>
      <c r="BS26" s="40"/>
    </row>
    <row r="27" spans="2:71" ht="15.75">
      <c r="B27" s="36"/>
      <c r="BP27" s="40"/>
      <c r="BQ27" s="40"/>
      <c r="BR27" s="40"/>
      <c r="BS27" s="40"/>
    </row>
    <row r="28" ht="15.75">
      <c r="B28" s="36"/>
    </row>
    <row r="29" ht="15.75">
      <c r="B29" s="36"/>
    </row>
    <row r="30" ht="15.75">
      <c r="B30" s="36"/>
    </row>
    <row r="31" ht="15.75">
      <c r="B31" s="36"/>
    </row>
    <row r="32" ht="15.75">
      <c r="B32" s="36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5"/>
  <sheetViews>
    <sheetView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9.140625" defaultRowHeight="12.75"/>
  <cols>
    <col min="1" max="1" width="5.57421875" style="0" customWidth="1"/>
    <col min="2" max="2" width="30.28125" style="0" customWidth="1"/>
    <col min="4" max="4" width="10.421875" style="0" customWidth="1"/>
    <col min="7" max="7" width="10.421875" style="0" customWidth="1"/>
    <col min="10" max="10" width="10.421875" style="0" customWidth="1"/>
    <col min="13" max="13" width="10.421875" style="0" customWidth="1"/>
    <col min="16" max="16" width="10.421875" style="0" customWidth="1"/>
    <col min="19" max="19" width="10.421875" style="0" customWidth="1"/>
    <col min="22" max="22" width="10.421875" style="0" customWidth="1"/>
    <col min="25" max="25" width="10.421875" style="0" customWidth="1"/>
    <col min="28" max="28" width="10.421875" style="0" customWidth="1"/>
    <col min="31" max="31" width="11.57421875" style="0" customWidth="1"/>
    <col min="34" max="34" width="10.421875" style="0" customWidth="1"/>
    <col min="37" max="37" width="10.421875" style="0" customWidth="1"/>
    <col min="40" max="40" width="10.421875" style="0" customWidth="1"/>
    <col min="43" max="43" width="10.421875" style="0" customWidth="1"/>
    <col min="46" max="46" width="10.421875" style="0" customWidth="1"/>
    <col min="49" max="49" width="10.421875" style="0" customWidth="1"/>
    <col min="52" max="52" width="10.421875" style="0" customWidth="1"/>
    <col min="55" max="55" width="10.421875" style="0" customWidth="1"/>
    <col min="58" max="58" width="10.421875" style="0" bestFit="1" customWidth="1"/>
    <col min="61" max="61" width="11.28125" style="0" customWidth="1"/>
  </cols>
  <sheetData>
    <row r="1" spans="1:77" ht="15.75">
      <c r="A1" s="6"/>
      <c r="B1" s="4" t="s">
        <v>84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8" t="s">
        <v>1</v>
      </c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9"/>
      <c r="BI1" s="9"/>
      <c r="BJ1" s="9"/>
      <c r="BK1" s="9"/>
      <c r="BL1" s="9"/>
      <c r="BM1" s="9"/>
      <c r="BN1" s="9"/>
      <c r="BO1" s="9"/>
      <c r="BP1" s="10"/>
      <c r="BQ1" s="10"/>
      <c r="BR1" s="10"/>
      <c r="BS1" s="10"/>
      <c r="BT1" s="10"/>
      <c r="BU1" s="10"/>
      <c r="BV1" s="10"/>
      <c r="BW1" s="10"/>
      <c r="BX1" s="10"/>
      <c r="BY1" s="10"/>
    </row>
    <row r="2" spans="1:77" ht="15.75">
      <c r="A2" s="7"/>
      <c r="B2" s="5" t="s">
        <v>262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11"/>
      <c r="BI2" s="11"/>
      <c r="BJ2" s="11"/>
      <c r="BK2" s="11"/>
      <c r="BL2" s="11"/>
      <c r="BM2" s="11"/>
      <c r="BN2" s="11"/>
      <c r="BO2" s="11"/>
      <c r="BP2" s="10"/>
      <c r="BQ2" s="10"/>
      <c r="BR2" s="10"/>
      <c r="BS2" s="10"/>
      <c r="BT2" s="10"/>
      <c r="BU2" s="10"/>
      <c r="BV2" s="10"/>
      <c r="BW2" s="10"/>
      <c r="BX2" s="10"/>
      <c r="BY2" s="10"/>
    </row>
    <row r="3" spans="1:78" ht="15.75">
      <c r="A3" s="8" t="s">
        <v>2</v>
      </c>
      <c r="B3" s="7"/>
      <c r="C3" s="6" t="s">
        <v>263</v>
      </c>
      <c r="D3" s="12"/>
      <c r="E3" s="12"/>
      <c r="F3" s="6" t="s">
        <v>264</v>
      </c>
      <c r="G3" s="12"/>
      <c r="H3" s="12"/>
      <c r="I3" s="6" t="s">
        <v>265</v>
      </c>
      <c r="J3" s="12"/>
      <c r="K3" s="12"/>
      <c r="L3" s="6" t="s">
        <v>266</v>
      </c>
      <c r="M3" s="12"/>
      <c r="N3" s="12"/>
      <c r="O3" s="6" t="s">
        <v>267</v>
      </c>
      <c r="P3" s="12"/>
      <c r="Q3" s="12"/>
      <c r="R3" s="6" t="s">
        <v>268</v>
      </c>
      <c r="S3" s="12"/>
      <c r="T3" s="12"/>
      <c r="U3" s="6" t="s">
        <v>269</v>
      </c>
      <c r="V3" s="12"/>
      <c r="W3" s="12"/>
      <c r="X3" s="6" t="s">
        <v>270</v>
      </c>
      <c r="Y3" s="12"/>
      <c r="Z3" s="12"/>
      <c r="AA3" s="6" t="s">
        <v>271</v>
      </c>
      <c r="AB3" s="12"/>
      <c r="AC3" s="12"/>
      <c r="AD3" s="6" t="s">
        <v>272</v>
      </c>
      <c r="AE3" s="12"/>
      <c r="AF3" s="12"/>
      <c r="AG3" s="6" t="s">
        <v>273</v>
      </c>
      <c r="AH3" s="12"/>
      <c r="AI3" s="12"/>
      <c r="AJ3" s="6" t="s">
        <v>274</v>
      </c>
      <c r="AK3" s="12"/>
      <c r="AL3" s="12"/>
      <c r="AM3" s="6" t="s">
        <v>275</v>
      </c>
      <c r="AN3" s="12"/>
      <c r="AO3" s="12"/>
      <c r="AP3" s="6" t="s">
        <v>276</v>
      </c>
      <c r="AQ3" s="12"/>
      <c r="AR3" s="12"/>
      <c r="AS3" s="6" t="s">
        <v>277</v>
      </c>
      <c r="AT3" s="12"/>
      <c r="AU3" s="12"/>
      <c r="AV3" s="6" t="s">
        <v>278</v>
      </c>
      <c r="AW3" s="12"/>
      <c r="AX3" s="12"/>
      <c r="AY3" s="6" t="s">
        <v>279</v>
      </c>
      <c r="AZ3" s="12"/>
      <c r="BA3" s="12"/>
      <c r="BB3" s="6" t="s">
        <v>280</v>
      </c>
      <c r="BC3" s="12"/>
      <c r="BD3" s="12"/>
      <c r="BE3" s="6" t="s">
        <v>281</v>
      </c>
      <c r="BF3" s="12"/>
      <c r="BG3" s="6" t="s">
        <v>40</v>
      </c>
      <c r="BH3" s="6"/>
      <c r="BI3" s="6"/>
      <c r="BK3" s="49"/>
      <c r="BL3" s="48"/>
      <c r="BM3" s="49"/>
      <c r="BN3" s="49"/>
      <c r="BO3" s="49"/>
      <c r="BP3" s="48"/>
      <c r="BQ3" s="49"/>
      <c r="BR3" s="49"/>
      <c r="BS3" s="49"/>
      <c r="BT3" s="48"/>
      <c r="BU3" s="49"/>
      <c r="BV3" s="48"/>
      <c r="BW3" s="48"/>
      <c r="BX3" s="48"/>
      <c r="BY3" s="49"/>
      <c r="BZ3" s="55"/>
    </row>
    <row r="4" spans="1:78" ht="16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5"/>
    </row>
    <row r="5" spans="1:78" ht="16.5" thickTop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5"/>
    </row>
    <row r="6" spans="1:78" ht="15.75">
      <c r="A6" s="12"/>
      <c r="B6" s="7"/>
      <c r="C6" s="14" t="s">
        <v>4</v>
      </c>
      <c r="D6" s="14" t="s">
        <v>4</v>
      </c>
      <c r="E6" s="14"/>
      <c r="F6" s="14" t="s">
        <v>4</v>
      </c>
      <c r="G6" s="14" t="s">
        <v>4</v>
      </c>
      <c r="H6" s="14"/>
      <c r="I6" s="14" t="s">
        <v>4</v>
      </c>
      <c r="J6" s="14" t="s">
        <v>4</v>
      </c>
      <c r="K6" s="14"/>
      <c r="L6" s="14" t="s">
        <v>4</v>
      </c>
      <c r="M6" s="14" t="s">
        <v>4</v>
      </c>
      <c r="N6" s="14"/>
      <c r="O6" s="14" t="s">
        <v>4</v>
      </c>
      <c r="P6" s="14" t="s">
        <v>4</v>
      </c>
      <c r="Q6" s="14"/>
      <c r="R6" s="14" t="s">
        <v>4</v>
      </c>
      <c r="S6" s="14" t="s">
        <v>4</v>
      </c>
      <c r="T6" s="14"/>
      <c r="U6" s="14" t="s">
        <v>4</v>
      </c>
      <c r="V6" s="14" t="s">
        <v>4</v>
      </c>
      <c r="W6" s="14"/>
      <c r="X6" s="14" t="s">
        <v>4</v>
      </c>
      <c r="Y6" s="14" t="s">
        <v>4</v>
      </c>
      <c r="Z6" s="14"/>
      <c r="AA6" s="14" t="s">
        <v>4</v>
      </c>
      <c r="AB6" s="14" t="s">
        <v>4</v>
      </c>
      <c r="AC6" s="14"/>
      <c r="AD6" s="14" t="s">
        <v>4</v>
      </c>
      <c r="AE6" s="14" t="s">
        <v>4</v>
      </c>
      <c r="AF6" s="14"/>
      <c r="AG6" s="14" t="s">
        <v>4</v>
      </c>
      <c r="AH6" s="14" t="s">
        <v>4</v>
      </c>
      <c r="AI6" s="14"/>
      <c r="AJ6" s="14" t="s">
        <v>4</v>
      </c>
      <c r="AK6" s="14" t="s">
        <v>4</v>
      </c>
      <c r="AL6" s="14"/>
      <c r="AM6" s="14" t="s">
        <v>4</v>
      </c>
      <c r="AN6" s="14" t="s">
        <v>4</v>
      </c>
      <c r="AO6" s="14"/>
      <c r="AP6" s="14" t="s">
        <v>4</v>
      </c>
      <c r="AQ6" s="14" t="s">
        <v>4</v>
      </c>
      <c r="AR6" s="14"/>
      <c r="AS6" s="14" t="s">
        <v>4</v>
      </c>
      <c r="AT6" s="14" t="s">
        <v>4</v>
      </c>
      <c r="AU6" s="14"/>
      <c r="AV6" s="14" t="s">
        <v>4</v>
      </c>
      <c r="AW6" s="14" t="s">
        <v>4</v>
      </c>
      <c r="AX6" s="14"/>
      <c r="AY6" s="14" t="s">
        <v>4</v>
      </c>
      <c r="AZ6" s="14" t="s">
        <v>4</v>
      </c>
      <c r="BA6" s="14"/>
      <c r="BB6" s="14" t="s">
        <v>4</v>
      </c>
      <c r="BC6" s="14" t="s">
        <v>4</v>
      </c>
      <c r="BD6" s="14"/>
      <c r="BE6" s="14" t="s">
        <v>4</v>
      </c>
      <c r="BF6" s="14" t="s">
        <v>4</v>
      </c>
      <c r="BG6" s="14"/>
      <c r="BH6" s="14" t="s">
        <v>4</v>
      </c>
      <c r="BI6" s="14" t="s">
        <v>4</v>
      </c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5"/>
    </row>
    <row r="7" spans="1:78" ht="15.75">
      <c r="A7" s="7"/>
      <c r="B7" s="15" t="s">
        <v>6</v>
      </c>
      <c r="C7" s="14" t="s">
        <v>7</v>
      </c>
      <c r="D7" s="14" t="s">
        <v>7</v>
      </c>
      <c r="E7" s="14"/>
      <c r="F7" s="14" t="s">
        <v>7</v>
      </c>
      <c r="G7" s="14" t="s">
        <v>7</v>
      </c>
      <c r="H7" s="14"/>
      <c r="I7" s="14" t="s">
        <v>7</v>
      </c>
      <c r="J7" s="14" t="s">
        <v>7</v>
      </c>
      <c r="K7" s="14"/>
      <c r="L7" s="14" t="s">
        <v>7</v>
      </c>
      <c r="M7" s="14" t="s">
        <v>7</v>
      </c>
      <c r="N7" s="14"/>
      <c r="O7" s="14" t="s">
        <v>7</v>
      </c>
      <c r="P7" s="14" t="s">
        <v>7</v>
      </c>
      <c r="Q7" s="14"/>
      <c r="R7" s="14" t="s">
        <v>7</v>
      </c>
      <c r="S7" s="14" t="s">
        <v>7</v>
      </c>
      <c r="T7" s="14"/>
      <c r="U7" s="14" t="s">
        <v>7</v>
      </c>
      <c r="V7" s="14" t="s">
        <v>7</v>
      </c>
      <c r="W7" s="14"/>
      <c r="X7" s="14" t="s">
        <v>7</v>
      </c>
      <c r="Y7" s="14" t="s">
        <v>7</v>
      </c>
      <c r="Z7" s="14"/>
      <c r="AA7" s="14" t="s">
        <v>7</v>
      </c>
      <c r="AB7" s="14" t="s">
        <v>7</v>
      </c>
      <c r="AC7" s="14"/>
      <c r="AD7" s="14" t="s">
        <v>7</v>
      </c>
      <c r="AE7" s="14" t="s">
        <v>7</v>
      </c>
      <c r="AF7" s="14"/>
      <c r="AG7" s="14" t="s">
        <v>7</v>
      </c>
      <c r="AH7" s="14" t="s">
        <v>7</v>
      </c>
      <c r="AI7" s="14"/>
      <c r="AJ7" s="14" t="s">
        <v>7</v>
      </c>
      <c r="AK7" s="14" t="s">
        <v>7</v>
      </c>
      <c r="AL7" s="14"/>
      <c r="AM7" s="14" t="s">
        <v>7</v>
      </c>
      <c r="AN7" s="14" t="s">
        <v>7</v>
      </c>
      <c r="AO7" s="14"/>
      <c r="AP7" s="14" t="s">
        <v>7</v>
      </c>
      <c r="AQ7" s="14" t="s">
        <v>7</v>
      </c>
      <c r="AR7" s="14"/>
      <c r="AS7" s="14" t="s">
        <v>7</v>
      </c>
      <c r="AT7" s="14" t="s">
        <v>7</v>
      </c>
      <c r="AU7" s="14"/>
      <c r="AV7" s="14" t="s">
        <v>7</v>
      </c>
      <c r="AW7" s="14" t="s">
        <v>7</v>
      </c>
      <c r="AX7" s="14"/>
      <c r="AY7" s="14" t="s">
        <v>7</v>
      </c>
      <c r="AZ7" s="14" t="s">
        <v>7</v>
      </c>
      <c r="BA7" s="14"/>
      <c r="BB7" s="14" t="s">
        <v>7</v>
      </c>
      <c r="BC7" s="14" t="s">
        <v>7</v>
      </c>
      <c r="BD7" s="14"/>
      <c r="BE7" s="14" t="s">
        <v>7</v>
      </c>
      <c r="BF7" s="14" t="s">
        <v>7</v>
      </c>
      <c r="BG7" s="14"/>
      <c r="BH7" s="14" t="s">
        <v>7</v>
      </c>
      <c r="BI7" s="14" t="s">
        <v>7</v>
      </c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5"/>
    </row>
    <row r="8" spans="1:78" ht="15.75">
      <c r="A8" s="7"/>
      <c r="B8" s="7"/>
      <c r="C8" s="14" t="s">
        <v>11</v>
      </c>
      <c r="D8" s="14" t="s">
        <v>10</v>
      </c>
      <c r="E8" s="14"/>
      <c r="F8" s="14" t="s">
        <v>11</v>
      </c>
      <c r="G8" s="14" t="s">
        <v>10</v>
      </c>
      <c r="H8" s="14"/>
      <c r="I8" s="14" t="s">
        <v>11</v>
      </c>
      <c r="J8" s="14" t="s">
        <v>10</v>
      </c>
      <c r="K8" s="14"/>
      <c r="L8" s="14" t="s">
        <v>11</v>
      </c>
      <c r="M8" s="14" t="s">
        <v>10</v>
      </c>
      <c r="N8" s="14"/>
      <c r="O8" s="14" t="s">
        <v>11</v>
      </c>
      <c r="P8" s="14" t="s">
        <v>10</v>
      </c>
      <c r="Q8" s="14"/>
      <c r="R8" s="14" t="s">
        <v>11</v>
      </c>
      <c r="S8" s="14" t="s">
        <v>10</v>
      </c>
      <c r="T8" s="14"/>
      <c r="U8" s="14" t="s">
        <v>11</v>
      </c>
      <c r="V8" s="14" t="s">
        <v>10</v>
      </c>
      <c r="W8" s="14"/>
      <c r="X8" s="14" t="s">
        <v>11</v>
      </c>
      <c r="Y8" s="14" t="s">
        <v>10</v>
      </c>
      <c r="Z8" s="14"/>
      <c r="AA8" s="14" t="s">
        <v>11</v>
      </c>
      <c r="AB8" s="14" t="s">
        <v>10</v>
      </c>
      <c r="AC8" s="14"/>
      <c r="AD8" s="14" t="s">
        <v>11</v>
      </c>
      <c r="AE8" s="14" t="s">
        <v>10</v>
      </c>
      <c r="AF8" s="14"/>
      <c r="AG8" s="14" t="s">
        <v>11</v>
      </c>
      <c r="AH8" s="14" t="s">
        <v>10</v>
      </c>
      <c r="AI8" s="14"/>
      <c r="AJ8" s="14" t="s">
        <v>11</v>
      </c>
      <c r="AK8" s="14" t="s">
        <v>10</v>
      </c>
      <c r="AL8" s="14"/>
      <c r="AM8" s="14" t="s">
        <v>11</v>
      </c>
      <c r="AN8" s="14" t="s">
        <v>10</v>
      </c>
      <c r="AO8" s="14"/>
      <c r="AP8" s="14" t="s">
        <v>11</v>
      </c>
      <c r="AQ8" s="14" t="s">
        <v>10</v>
      </c>
      <c r="AR8" s="14"/>
      <c r="AS8" s="14" t="s">
        <v>11</v>
      </c>
      <c r="AT8" s="14" t="s">
        <v>10</v>
      </c>
      <c r="AU8" s="14"/>
      <c r="AV8" s="14" t="s">
        <v>11</v>
      </c>
      <c r="AW8" s="14" t="s">
        <v>10</v>
      </c>
      <c r="AX8" s="14"/>
      <c r="AY8" s="14" t="s">
        <v>11</v>
      </c>
      <c r="AZ8" s="14" t="s">
        <v>10</v>
      </c>
      <c r="BA8" s="14"/>
      <c r="BB8" s="14" t="s">
        <v>11</v>
      </c>
      <c r="BC8" s="14" t="s">
        <v>10</v>
      </c>
      <c r="BD8" s="14"/>
      <c r="BE8" s="14" t="s">
        <v>11</v>
      </c>
      <c r="BF8" s="14" t="s">
        <v>10</v>
      </c>
      <c r="BG8" s="14"/>
      <c r="BH8" s="14" t="s">
        <v>11</v>
      </c>
      <c r="BI8" s="14" t="s">
        <v>10</v>
      </c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5"/>
    </row>
    <row r="9" spans="1:78" ht="15.75">
      <c r="A9" s="7"/>
      <c r="B9" s="7"/>
      <c r="C9" s="7"/>
      <c r="D9" s="14" t="s">
        <v>14</v>
      </c>
      <c r="E9" s="7"/>
      <c r="F9" s="7"/>
      <c r="G9" s="14" t="s">
        <v>14</v>
      </c>
      <c r="H9" s="7"/>
      <c r="I9" s="7"/>
      <c r="J9" s="14" t="s">
        <v>14</v>
      </c>
      <c r="K9" s="7"/>
      <c r="L9" s="7"/>
      <c r="M9" s="14" t="s">
        <v>14</v>
      </c>
      <c r="N9" s="7"/>
      <c r="O9" s="7"/>
      <c r="P9" s="14" t="s">
        <v>14</v>
      </c>
      <c r="Q9" s="7"/>
      <c r="R9" s="7"/>
      <c r="S9" s="14" t="s">
        <v>14</v>
      </c>
      <c r="T9" s="7"/>
      <c r="U9" s="7"/>
      <c r="V9" s="14" t="s">
        <v>14</v>
      </c>
      <c r="W9" s="8" t="s">
        <v>15</v>
      </c>
      <c r="X9" s="7"/>
      <c r="Y9" s="14" t="s">
        <v>14</v>
      </c>
      <c r="Z9" s="8" t="s">
        <v>15</v>
      </c>
      <c r="AA9" s="7"/>
      <c r="AB9" s="14" t="s">
        <v>14</v>
      </c>
      <c r="AC9" s="7"/>
      <c r="AD9" s="7"/>
      <c r="AE9" s="14" t="s">
        <v>14</v>
      </c>
      <c r="AF9" s="7"/>
      <c r="AG9" s="7"/>
      <c r="AH9" s="14" t="s">
        <v>14</v>
      </c>
      <c r="AI9" s="7"/>
      <c r="AJ9" s="7"/>
      <c r="AK9" s="14" t="s">
        <v>14</v>
      </c>
      <c r="AL9" s="7"/>
      <c r="AM9" s="7"/>
      <c r="AN9" s="14" t="s">
        <v>14</v>
      </c>
      <c r="AO9" s="7"/>
      <c r="AP9" s="7"/>
      <c r="AQ9" s="14" t="s">
        <v>14</v>
      </c>
      <c r="AR9" s="7"/>
      <c r="AS9" s="7"/>
      <c r="AT9" s="14" t="s">
        <v>14</v>
      </c>
      <c r="AU9" s="7"/>
      <c r="AV9" s="7"/>
      <c r="AW9" s="14" t="s">
        <v>14</v>
      </c>
      <c r="AX9" s="7"/>
      <c r="AY9" s="7"/>
      <c r="AZ9" s="14" t="s">
        <v>14</v>
      </c>
      <c r="BA9" s="7"/>
      <c r="BB9" s="7"/>
      <c r="BC9" s="14" t="s">
        <v>14</v>
      </c>
      <c r="BD9" s="7"/>
      <c r="BE9" s="7"/>
      <c r="BF9" s="14" t="s">
        <v>14</v>
      </c>
      <c r="BG9" s="7"/>
      <c r="BH9" s="7"/>
      <c r="BI9" s="14" t="s">
        <v>14</v>
      </c>
      <c r="BK9" s="50"/>
      <c r="BL9" s="50"/>
      <c r="BM9" s="51"/>
      <c r="BN9" s="50"/>
      <c r="BO9" s="50"/>
      <c r="BP9" s="50"/>
      <c r="BQ9" s="51"/>
      <c r="BR9" s="50"/>
      <c r="BS9" s="50"/>
      <c r="BT9" s="50"/>
      <c r="BU9" s="51"/>
      <c r="BV9" s="50"/>
      <c r="BW9" s="50"/>
      <c r="BX9" s="50"/>
      <c r="BY9" s="51"/>
      <c r="BZ9" s="55"/>
    </row>
    <row r="10" spans="1:78" ht="16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5"/>
    </row>
    <row r="11" spans="1:78" ht="16.5" thickTop="1">
      <c r="A11" s="16" t="s">
        <v>2</v>
      </c>
      <c r="B11" s="13"/>
      <c r="C11" s="17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5"/>
    </row>
    <row r="12" spans="1:78" ht="15.75">
      <c r="A12" s="18">
        <v>1</v>
      </c>
      <c r="B12" s="19" t="s">
        <v>17</v>
      </c>
      <c r="C12" s="7">
        <v>122.53</v>
      </c>
      <c r="D12" s="20">
        <v>112.55</v>
      </c>
      <c r="E12" s="7"/>
      <c r="F12" s="7">
        <v>122.32</v>
      </c>
      <c r="G12" s="20">
        <v>112.42</v>
      </c>
      <c r="H12" s="7"/>
      <c r="I12" s="7">
        <v>121.67</v>
      </c>
      <c r="J12" s="20">
        <v>112.72</v>
      </c>
      <c r="K12" s="7"/>
      <c r="L12" s="7">
        <v>122.45</v>
      </c>
      <c r="M12" s="20">
        <v>112.33</v>
      </c>
      <c r="N12" s="7"/>
      <c r="O12" s="7">
        <v>121.76</v>
      </c>
      <c r="P12" s="20">
        <v>112.53</v>
      </c>
      <c r="Q12" s="7"/>
      <c r="R12" s="7">
        <v>121.04</v>
      </c>
      <c r="S12" s="20">
        <v>112.91</v>
      </c>
      <c r="T12" s="7"/>
      <c r="U12" s="7">
        <v>119.22</v>
      </c>
      <c r="V12" s="20">
        <v>114.45</v>
      </c>
      <c r="W12" s="7"/>
      <c r="X12" s="7">
        <v>119.36</v>
      </c>
      <c r="Y12" s="20">
        <v>114.31</v>
      </c>
      <c r="Z12" s="7"/>
      <c r="AA12" s="7">
        <v>120.01</v>
      </c>
      <c r="AB12" s="20">
        <v>113.69</v>
      </c>
      <c r="AC12" s="7"/>
      <c r="AD12" s="7">
        <v>120.3</v>
      </c>
      <c r="AE12" s="7">
        <v>113.46</v>
      </c>
      <c r="AF12" s="7"/>
      <c r="AG12" s="7">
        <v>120.64</v>
      </c>
      <c r="AH12" s="20">
        <v>113.15</v>
      </c>
      <c r="AI12" s="7"/>
      <c r="AJ12" s="7">
        <v>121.13</v>
      </c>
      <c r="AK12" s="20">
        <v>112.57</v>
      </c>
      <c r="AL12" s="7"/>
      <c r="AM12" s="7">
        <v>121.15</v>
      </c>
      <c r="AN12" s="20">
        <v>112.51</v>
      </c>
      <c r="AO12" s="7"/>
      <c r="AP12" s="7">
        <v>122.52</v>
      </c>
      <c r="AQ12" s="20">
        <v>111.55</v>
      </c>
      <c r="AR12" s="7"/>
      <c r="AS12" s="7">
        <v>122.61</v>
      </c>
      <c r="AT12" s="20">
        <v>111.72</v>
      </c>
      <c r="AU12" s="7"/>
      <c r="AV12" s="7">
        <v>122.7</v>
      </c>
      <c r="AW12" s="20">
        <v>111.77</v>
      </c>
      <c r="AX12" s="7"/>
      <c r="AY12" s="7">
        <v>122.86</v>
      </c>
      <c r="AZ12" s="20">
        <v>111.9</v>
      </c>
      <c r="BA12" s="7"/>
      <c r="BB12" s="7">
        <v>121.93</v>
      </c>
      <c r="BC12" s="20">
        <v>113.16</v>
      </c>
      <c r="BD12" s="7"/>
      <c r="BE12" s="7">
        <v>121.69</v>
      </c>
      <c r="BF12" s="20">
        <v>113.3</v>
      </c>
      <c r="BG12" s="7"/>
      <c r="BH12" s="7">
        <f aca="true" t="shared" si="0" ref="BH12:BH24">(+C12+F12+I12+L12+O12+R12+U12+X12+AA12+AD12+AG12+AJ12+AM12+AP12+AS12+AV12+AY12+BB12+BE12)/19</f>
        <v>121.46789473684213</v>
      </c>
      <c r="BI12" s="7">
        <f aca="true" t="shared" si="1" ref="BI12:BI24">(+D12+G12+J12+M12+P12+S12+V12+Y12+AB12+AE12+AH12+AK12+AN12+AQ12+AT12+AW12+AZ12+BC12+BF12)/19</f>
        <v>112.78947368421055</v>
      </c>
      <c r="BK12" s="56"/>
      <c r="BL12" s="54"/>
      <c r="BM12" s="54"/>
      <c r="BN12" s="50"/>
      <c r="BO12" s="56"/>
      <c r="BP12" s="54"/>
      <c r="BQ12" s="54"/>
      <c r="BR12" s="50"/>
      <c r="BS12" s="56"/>
      <c r="BT12" s="54"/>
      <c r="BU12" s="54"/>
      <c r="BV12" s="50"/>
      <c r="BW12" s="50"/>
      <c r="BX12" s="50"/>
      <c r="BY12" s="50"/>
      <c r="BZ12" s="55"/>
    </row>
    <row r="13" spans="1:78" ht="15.75">
      <c r="A13" s="18">
        <v>2</v>
      </c>
      <c r="B13" s="19" t="s">
        <v>18</v>
      </c>
      <c r="C13" s="7">
        <f>1/1.5651</f>
        <v>0.6389368091495752</v>
      </c>
      <c r="D13" s="20">
        <v>215.84</v>
      </c>
      <c r="E13" s="7"/>
      <c r="F13" s="7">
        <f>1/1.556</f>
        <v>0.6426735218508998</v>
      </c>
      <c r="G13" s="20">
        <v>213.98</v>
      </c>
      <c r="H13" s="7"/>
      <c r="I13" s="7">
        <f>1/1.5631</f>
        <v>0.6397543343356151</v>
      </c>
      <c r="J13" s="20">
        <v>214.37</v>
      </c>
      <c r="K13" s="7"/>
      <c r="L13" s="7">
        <f>1/1.5584</f>
        <v>0.6416837782340863</v>
      </c>
      <c r="M13" s="20">
        <v>214.35</v>
      </c>
      <c r="N13" s="7"/>
      <c r="O13" s="7">
        <f>1/1.5655</f>
        <v>0.6387735547748323</v>
      </c>
      <c r="P13" s="20">
        <v>214.5</v>
      </c>
      <c r="Q13" s="7"/>
      <c r="R13" s="7">
        <f>1/1.5846</f>
        <v>0.6310740880979427</v>
      </c>
      <c r="S13" s="20">
        <v>216.56</v>
      </c>
      <c r="T13" s="7"/>
      <c r="U13" s="7">
        <f>1/1.5935</f>
        <v>0.627549419516787</v>
      </c>
      <c r="V13" s="20">
        <v>217.42</v>
      </c>
      <c r="W13" s="7"/>
      <c r="X13" s="7">
        <f>1/1.5904</f>
        <v>0.6287726358148893</v>
      </c>
      <c r="Y13" s="20">
        <v>217</v>
      </c>
      <c r="Z13" s="7"/>
      <c r="AA13" s="7">
        <f>1/1.5875</f>
        <v>0.6299212598425197</v>
      </c>
      <c r="AB13" s="20">
        <v>216.6</v>
      </c>
      <c r="AC13" s="7"/>
      <c r="AD13" s="7">
        <f>1/1.5869</f>
        <v>0.630159430335875</v>
      </c>
      <c r="AE13" s="7">
        <v>216.59</v>
      </c>
      <c r="AF13" s="7"/>
      <c r="AG13" s="7">
        <f>1/1.5782</f>
        <v>0.6336332530731212</v>
      </c>
      <c r="AH13" s="20">
        <v>215.44</v>
      </c>
      <c r="AI13" s="7"/>
      <c r="AJ13" s="7">
        <f>1/1.5798</f>
        <v>0.6329915179136599</v>
      </c>
      <c r="AK13" s="20">
        <v>215.42</v>
      </c>
      <c r="AL13" s="7"/>
      <c r="AM13" s="7">
        <f>1/1.5877</f>
        <v>0.6298419096806702</v>
      </c>
      <c r="AN13" s="20">
        <v>216.41</v>
      </c>
      <c r="AO13" s="7"/>
      <c r="AP13" s="7">
        <f>1/1.5743</f>
        <v>0.6352029473416757</v>
      </c>
      <c r="AQ13" s="20">
        <v>215.15</v>
      </c>
      <c r="AR13" s="7"/>
      <c r="AS13" s="7">
        <f>1/1.5738</f>
        <v>0.6354047528275512</v>
      </c>
      <c r="AT13" s="20">
        <v>215.58</v>
      </c>
      <c r="AU13" s="7"/>
      <c r="AV13" s="7">
        <f>1/1.5822</f>
        <v>0.6320313487548982</v>
      </c>
      <c r="AW13" s="20">
        <v>216.98</v>
      </c>
      <c r="AX13" s="7"/>
      <c r="AY13" s="7">
        <f>1/1.5681</f>
        <v>0.6377144314775843</v>
      </c>
      <c r="AZ13" s="20">
        <v>215.58</v>
      </c>
      <c r="BA13" s="7"/>
      <c r="BB13" s="7">
        <f>1/1.5621</f>
        <v>0.6401638819537802</v>
      </c>
      <c r="BC13" s="20">
        <v>215.53</v>
      </c>
      <c r="BD13" s="7"/>
      <c r="BE13" s="7">
        <f>1/1.5504</f>
        <v>0.6449948400412797</v>
      </c>
      <c r="BF13" s="20">
        <v>213.77</v>
      </c>
      <c r="BG13" s="7"/>
      <c r="BH13" s="7">
        <f t="shared" si="0"/>
        <v>0.6353304060535391</v>
      </c>
      <c r="BI13" s="7">
        <f t="shared" si="1"/>
        <v>215.63526315789477</v>
      </c>
      <c r="BK13" s="56"/>
      <c r="BL13" s="54"/>
      <c r="BM13" s="54"/>
      <c r="BN13" s="50"/>
      <c r="BO13" s="56"/>
      <c r="BP13" s="54"/>
      <c r="BQ13" s="54"/>
      <c r="BR13" s="50"/>
      <c r="BS13" s="56"/>
      <c r="BT13" s="54"/>
      <c r="BU13" s="54"/>
      <c r="BV13" s="50"/>
      <c r="BW13" s="50"/>
      <c r="BX13" s="50"/>
      <c r="BY13" s="50"/>
      <c r="BZ13" s="55"/>
    </row>
    <row r="14" spans="1:78" ht="15.75">
      <c r="A14" s="18">
        <v>3</v>
      </c>
      <c r="B14" s="19" t="s">
        <v>19</v>
      </c>
      <c r="C14" s="7">
        <v>1.4737</v>
      </c>
      <c r="D14" s="20">
        <v>93.58</v>
      </c>
      <c r="E14" s="7"/>
      <c r="F14" s="7">
        <v>1.4718</v>
      </c>
      <c r="G14" s="20">
        <v>93.43</v>
      </c>
      <c r="H14" s="7"/>
      <c r="I14" s="7">
        <v>1.4588</v>
      </c>
      <c r="J14" s="20">
        <v>94.01</v>
      </c>
      <c r="K14" s="7"/>
      <c r="L14" s="7">
        <v>1.4688</v>
      </c>
      <c r="M14" s="20">
        <v>93.64</v>
      </c>
      <c r="N14" s="7"/>
      <c r="O14" s="7">
        <v>1.461</v>
      </c>
      <c r="P14" s="20">
        <v>93.78</v>
      </c>
      <c r="Q14" s="7"/>
      <c r="R14" s="7">
        <v>1.4482</v>
      </c>
      <c r="S14" s="20">
        <v>94.37</v>
      </c>
      <c r="T14" s="7"/>
      <c r="U14" s="7">
        <v>1.44</v>
      </c>
      <c r="V14" s="20">
        <v>94.75</v>
      </c>
      <c r="W14" s="7"/>
      <c r="X14" s="7">
        <v>1.4455</v>
      </c>
      <c r="Y14" s="20">
        <v>94.39</v>
      </c>
      <c r="Z14" s="7"/>
      <c r="AA14" s="7">
        <v>1.452</v>
      </c>
      <c r="AB14" s="20">
        <v>93.97</v>
      </c>
      <c r="AC14" s="7"/>
      <c r="AD14" s="7">
        <v>1.4567</v>
      </c>
      <c r="AE14" s="7">
        <v>93.7</v>
      </c>
      <c r="AF14" s="7"/>
      <c r="AG14" s="7">
        <v>1.4611</v>
      </c>
      <c r="AH14" s="20">
        <v>93.43</v>
      </c>
      <c r="AI14" s="7"/>
      <c r="AJ14" s="7">
        <v>1.4557</v>
      </c>
      <c r="AK14" s="20">
        <v>93.67</v>
      </c>
      <c r="AL14" s="7"/>
      <c r="AM14" s="7">
        <v>1.4496</v>
      </c>
      <c r="AN14" s="20">
        <v>94.03</v>
      </c>
      <c r="AO14" s="7"/>
      <c r="AP14" s="7">
        <v>1.4656</v>
      </c>
      <c r="AQ14" s="20">
        <v>93.25</v>
      </c>
      <c r="AR14" s="7"/>
      <c r="AS14" s="7">
        <v>1.4662</v>
      </c>
      <c r="AT14" s="20">
        <v>93.43</v>
      </c>
      <c r="AU14" s="7"/>
      <c r="AV14" s="7">
        <v>1.4674</v>
      </c>
      <c r="AW14" s="20">
        <v>93.46</v>
      </c>
      <c r="AX14" s="7"/>
      <c r="AY14" s="7">
        <v>1.4873</v>
      </c>
      <c r="AZ14" s="20">
        <v>92.43</v>
      </c>
      <c r="BA14" s="7"/>
      <c r="BB14" s="7">
        <v>1.4857</v>
      </c>
      <c r="BC14" s="20">
        <v>92.87</v>
      </c>
      <c r="BD14" s="7"/>
      <c r="BE14" s="7">
        <v>1.4857</v>
      </c>
      <c r="BF14" s="20">
        <v>92.8</v>
      </c>
      <c r="BG14" s="7"/>
      <c r="BH14" s="7">
        <f t="shared" si="0"/>
        <v>1.4632</v>
      </c>
      <c r="BI14" s="7">
        <f t="shared" si="1"/>
        <v>93.63105263157895</v>
      </c>
      <c r="BK14" s="56"/>
      <c r="BL14" s="54"/>
      <c r="BM14" s="54"/>
      <c r="BN14" s="50"/>
      <c r="BO14" s="56"/>
      <c r="BP14" s="54"/>
      <c r="BQ14" s="54"/>
      <c r="BR14" s="50"/>
      <c r="BS14" s="56"/>
      <c r="BT14" s="54"/>
      <c r="BU14" s="54"/>
      <c r="BV14" s="50"/>
      <c r="BW14" s="50"/>
      <c r="BX14" s="50"/>
      <c r="BY14" s="50"/>
      <c r="BZ14" s="55"/>
    </row>
    <row r="15" spans="1:78" ht="15.75">
      <c r="A15" s="18">
        <v>4</v>
      </c>
      <c r="B15" s="19" t="s">
        <v>24</v>
      </c>
      <c r="C15" s="7">
        <f>1/0.9918</f>
        <v>1.008267795926598</v>
      </c>
      <c r="D15" s="20">
        <v>136.78</v>
      </c>
      <c r="E15" s="7"/>
      <c r="F15" s="7">
        <f>1/0.9943</f>
        <v>1.0057326762546515</v>
      </c>
      <c r="G15" s="20">
        <v>136.73</v>
      </c>
      <c r="H15" s="7"/>
      <c r="I15" s="7">
        <f>1/1.001</f>
        <v>0.9990009990009991</v>
      </c>
      <c r="J15" s="20">
        <v>137.28</v>
      </c>
      <c r="K15" s="7"/>
      <c r="L15" s="7">
        <f>1/0.9959</f>
        <v>1.0041168792047395</v>
      </c>
      <c r="M15" s="20">
        <v>136.98</v>
      </c>
      <c r="N15" s="7"/>
      <c r="O15" s="7">
        <f>1/1.0025</f>
        <v>0.9975062344139651</v>
      </c>
      <c r="P15" s="20">
        <v>137.36</v>
      </c>
      <c r="Q15" s="7"/>
      <c r="R15" s="7">
        <f>1/1.0105</f>
        <v>0.9896091044037606</v>
      </c>
      <c r="S15" s="20">
        <v>138.1</v>
      </c>
      <c r="T15" s="7"/>
      <c r="U15" s="7">
        <f>1/1.0152</f>
        <v>0.9850275807722615</v>
      </c>
      <c r="V15" s="20">
        <v>138.52</v>
      </c>
      <c r="W15" s="7"/>
      <c r="X15" s="7">
        <f>1/1.0114</f>
        <v>0.9887284951552303</v>
      </c>
      <c r="Y15" s="20">
        <v>138</v>
      </c>
      <c r="Z15" s="7"/>
      <c r="AA15" s="7">
        <f>1/1.0075</f>
        <v>0.9925558312655086</v>
      </c>
      <c r="AB15" s="20">
        <v>137.46</v>
      </c>
      <c r="AC15" s="7"/>
      <c r="AD15" s="7">
        <f>1/1.0062</f>
        <v>0.9938382031405287</v>
      </c>
      <c r="AE15" s="7">
        <v>137.33</v>
      </c>
      <c r="AF15" s="7"/>
      <c r="AG15" s="7">
        <f>1/1.0035</f>
        <v>0.996512207274539</v>
      </c>
      <c r="AH15" s="20">
        <v>136.98</v>
      </c>
      <c r="AI15" s="7"/>
      <c r="AJ15" s="7">
        <f>1/1.0082</f>
        <v>0.9918666931164452</v>
      </c>
      <c r="AK15" s="20">
        <v>137.48</v>
      </c>
      <c r="AL15" s="7"/>
      <c r="AM15" s="24">
        <f>1/1.0123</f>
        <v>0.9878494517435543</v>
      </c>
      <c r="AN15" s="20">
        <v>137.98</v>
      </c>
      <c r="AO15" s="7"/>
      <c r="AP15" s="24">
        <f>1/1.001</f>
        <v>0.9990009990009991</v>
      </c>
      <c r="AQ15" s="20">
        <v>136.8</v>
      </c>
      <c r="AR15" s="7"/>
      <c r="AS15" s="7">
        <f>1/1.0015</f>
        <v>0.9985022466300548</v>
      </c>
      <c r="AT15" s="20">
        <v>137.19</v>
      </c>
      <c r="AU15" s="7"/>
      <c r="AV15" s="7">
        <f>1/1.0025</f>
        <v>0.9975062344139651</v>
      </c>
      <c r="AW15" s="20">
        <v>137.48</v>
      </c>
      <c r="AX15" s="7"/>
      <c r="AY15" s="7">
        <f>1/0.9906</f>
        <v>1.0094891984655763</v>
      </c>
      <c r="AZ15" s="20">
        <v>136.18</v>
      </c>
      <c r="BA15" s="7"/>
      <c r="BB15" s="7">
        <f>1/0.9912</f>
        <v>1.0088781275221954</v>
      </c>
      <c r="BC15" s="20">
        <v>136.76</v>
      </c>
      <c r="BD15" s="7"/>
      <c r="BE15" s="7">
        <f>1/0.9922</f>
        <v>1.0078613182826044</v>
      </c>
      <c r="BF15" s="20">
        <v>136.8</v>
      </c>
      <c r="BG15" s="7"/>
      <c r="BH15" s="7">
        <f t="shared" si="0"/>
        <v>0.9979921197888516</v>
      </c>
      <c r="BI15" s="7">
        <f t="shared" si="1"/>
        <v>137.2731578947368</v>
      </c>
      <c r="BK15" s="56"/>
      <c r="BL15" s="54"/>
      <c r="BM15" s="54"/>
      <c r="BN15" s="50"/>
      <c r="BO15" s="56"/>
      <c r="BP15" s="54"/>
      <c r="BQ15" s="54"/>
      <c r="BR15" s="50"/>
      <c r="BS15" s="56"/>
      <c r="BT15" s="54"/>
      <c r="BU15" s="54"/>
      <c r="BV15" s="50"/>
      <c r="BW15" s="50"/>
      <c r="BX15" s="50"/>
      <c r="BY15" s="50"/>
      <c r="BZ15" s="55"/>
    </row>
    <row r="16" spans="1:78" ht="15.75">
      <c r="A16" s="18">
        <v>5</v>
      </c>
      <c r="B16" s="19" t="s">
        <v>25</v>
      </c>
      <c r="C16" s="7">
        <v>319</v>
      </c>
      <c r="D16" s="20">
        <v>43992.89</v>
      </c>
      <c r="E16" s="7"/>
      <c r="F16" s="7">
        <v>317.1</v>
      </c>
      <c r="G16" s="20">
        <v>43606.6</v>
      </c>
      <c r="H16" s="7"/>
      <c r="I16" s="7">
        <v>319.5</v>
      </c>
      <c r="J16" s="20">
        <v>43817.63</v>
      </c>
      <c r="K16" s="7"/>
      <c r="L16" s="7">
        <v>317.25</v>
      </c>
      <c r="M16" s="20">
        <v>43635.75</v>
      </c>
      <c r="N16" s="7"/>
      <c r="O16" s="7">
        <v>319.5</v>
      </c>
      <c r="P16" s="20">
        <v>43777.69</v>
      </c>
      <c r="Q16" s="7"/>
      <c r="R16" s="7">
        <v>322.5</v>
      </c>
      <c r="S16" s="20">
        <v>44075.47</v>
      </c>
      <c r="T16" s="7"/>
      <c r="U16" s="7">
        <v>321.1</v>
      </c>
      <c r="V16" s="20">
        <v>43812.09</v>
      </c>
      <c r="W16" s="7"/>
      <c r="X16" s="7">
        <v>321.75</v>
      </c>
      <c r="Y16" s="20">
        <v>43901.58</v>
      </c>
      <c r="Z16" s="7"/>
      <c r="AA16" s="7">
        <v>323.1</v>
      </c>
      <c r="AB16" s="20">
        <v>44083.97</v>
      </c>
      <c r="AC16" s="7"/>
      <c r="AD16" s="7">
        <v>318.45</v>
      </c>
      <c r="AE16" s="7">
        <v>43464.84</v>
      </c>
      <c r="AF16" s="7"/>
      <c r="AG16" s="7">
        <v>318.3</v>
      </c>
      <c r="AH16" s="20">
        <v>43450.14</v>
      </c>
      <c r="AI16" s="7"/>
      <c r="AJ16" s="7">
        <v>319.15</v>
      </c>
      <c r="AK16" s="20">
        <v>43519.29</v>
      </c>
      <c r="AL16" s="7"/>
      <c r="AM16" s="7">
        <v>319.7</v>
      </c>
      <c r="AN16" s="20">
        <v>43577.31</v>
      </c>
      <c r="AO16" s="7"/>
      <c r="AP16" s="7">
        <v>319</v>
      </c>
      <c r="AQ16" s="20">
        <v>43596.73</v>
      </c>
      <c r="AR16" s="7"/>
      <c r="AS16" s="7">
        <v>318.15</v>
      </c>
      <c r="AT16" s="20">
        <v>43580.58</v>
      </c>
      <c r="AU16" s="7"/>
      <c r="AV16" s="7">
        <v>318.3</v>
      </c>
      <c r="AW16" s="20">
        <v>43650.47</v>
      </c>
      <c r="AX16" s="7"/>
      <c r="AY16" s="7">
        <v>319.4</v>
      </c>
      <c r="AZ16" s="20">
        <v>43910.11</v>
      </c>
      <c r="BA16" s="7"/>
      <c r="BB16" s="7">
        <v>317.7</v>
      </c>
      <c r="BC16" s="20">
        <v>43835.25</v>
      </c>
      <c r="BD16" s="7"/>
      <c r="BE16" s="7">
        <v>318.2</v>
      </c>
      <c r="BF16" s="20">
        <v>43872.82</v>
      </c>
      <c r="BG16" s="7"/>
      <c r="BH16" s="7">
        <f t="shared" si="0"/>
        <v>319.32368421052627</v>
      </c>
      <c r="BI16" s="7">
        <f t="shared" si="1"/>
        <v>43745.326842105256</v>
      </c>
      <c r="BK16" s="56"/>
      <c r="BL16" s="54"/>
      <c r="BM16" s="54"/>
      <c r="BN16" s="50"/>
      <c r="BO16" s="56"/>
      <c r="BP16" s="54"/>
      <c r="BQ16" s="54"/>
      <c r="BR16" s="50"/>
      <c r="BS16" s="56"/>
      <c r="BT16" s="54"/>
      <c r="BU16" s="54"/>
      <c r="BV16" s="50"/>
      <c r="BW16" s="50"/>
      <c r="BX16" s="50"/>
      <c r="BY16" s="50"/>
      <c r="BZ16" s="55"/>
    </row>
    <row r="17" spans="1:78" ht="15.75">
      <c r="A17" s="18">
        <v>6</v>
      </c>
      <c r="B17" s="25" t="s">
        <v>26</v>
      </c>
      <c r="C17" s="7">
        <v>4.53</v>
      </c>
      <c r="D17" s="20">
        <v>624.73</v>
      </c>
      <c r="E17" s="7"/>
      <c r="F17" s="7">
        <v>4.45</v>
      </c>
      <c r="G17" s="20">
        <v>611.95</v>
      </c>
      <c r="H17" s="7"/>
      <c r="I17" s="7">
        <v>4.5</v>
      </c>
      <c r="J17" s="20">
        <v>617.15</v>
      </c>
      <c r="K17" s="7"/>
      <c r="L17" s="7">
        <v>4.47</v>
      </c>
      <c r="M17" s="20">
        <v>614.82</v>
      </c>
      <c r="N17" s="7"/>
      <c r="O17" s="7">
        <v>4.51</v>
      </c>
      <c r="P17" s="20">
        <v>617.96</v>
      </c>
      <c r="Q17" s="7"/>
      <c r="R17" s="7">
        <v>4.58</v>
      </c>
      <c r="S17" s="20">
        <v>625.94</v>
      </c>
      <c r="T17" s="7"/>
      <c r="U17" s="7">
        <v>4.53</v>
      </c>
      <c r="V17" s="20">
        <v>618.09</v>
      </c>
      <c r="W17" s="7"/>
      <c r="X17" s="7">
        <v>4.56</v>
      </c>
      <c r="Y17" s="20">
        <v>622.19</v>
      </c>
      <c r="Z17" s="7"/>
      <c r="AA17" s="7">
        <v>4.57</v>
      </c>
      <c r="AB17" s="20">
        <v>623.53</v>
      </c>
      <c r="AC17" s="7"/>
      <c r="AD17" s="7">
        <v>4.54</v>
      </c>
      <c r="AE17" s="7">
        <v>619.66</v>
      </c>
      <c r="AF17" s="7"/>
      <c r="AG17" s="7">
        <v>4.54</v>
      </c>
      <c r="AH17" s="20">
        <v>619.74</v>
      </c>
      <c r="AI17" s="7"/>
      <c r="AJ17" s="7">
        <v>4.54</v>
      </c>
      <c r="AK17" s="20">
        <v>619.07</v>
      </c>
      <c r="AL17" s="7"/>
      <c r="AM17" s="7">
        <v>4.54</v>
      </c>
      <c r="AN17" s="20">
        <v>618.83</v>
      </c>
      <c r="AO17" s="7"/>
      <c r="AP17" s="7">
        <v>4.55</v>
      </c>
      <c r="AQ17" s="20">
        <v>621.83</v>
      </c>
      <c r="AR17" s="7"/>
      <c r="AS17" s="7">
        <v>4.53</v>
      </c>
      <c r="AT17" s="20">
        <v>620.53</v>
      </c>
      <c r="AU17" s="7"/>
      <c r="AV17" s="7">
        <v>4.46</v>
      </c>
      <c r="AW17" s="20">
        <v>611.63</v>
      </c>
      <c r="AX17" s="7"/>
      <c r="AY17" s="7">
        <v>4.5</v>
      </c>
      <c r="AZ17" s="20">
        <v>618.65</v>
      </c>
      <c r="BA17" s="7"/>
      <c r="BB17" s="7">
        <v>4.46</v>
      </c>
      <c r="BC17" s="20">
        <v>615.38</v>
      </c>
      <c r="BD17" s="7"/>
      <c r="BE17" s="7">
        <v>4.43</v>
      </c>
      <c r="BF17" s="20">
        <v>610.8</v>
      </c>
      <c r="BG17" s="7"/>
      <c r="BH17" s="7">
        <f t="shared" si="0"/>
        <v>4.515263157894736</v>
      </c>
      <c r="BI17" s="7">
        <f t="shared" si="1"/>
        <v>618.5515789473683</v>
      </c>
      <c r="BK17" s="56"/>
      <c r="BL17" s="54"/>
      <c r="BM17" s="54"/>
      <c r="BN17" s="50"/>
      <c r="BO17" s="56"/>
      <c r="BP17" s="54"/>
      <c r="BQ17" s="54"/>
      <c r="BR17" s="50"/>
      <c r="BS17" s="56"/>
      <c r="BT17" s="54"/>
      <c r="BU17" s="54"/>
      <c r="BV17" s="50"/>
      <c r="BW17" s="50"/>
      <c r="BX17" s="50"/>
      <c r="BY17" s="50"/>
      <c r="BZ17" s="55"/>
    </row>
    <row r="18" spans="1:78" ht="15.75">
      <c r="A18" s="18">
        <v>7</v>
      </c>
      <c r="B18" s="19" t="s">
        <v>27</v>
      </c>
      <c r="C18" s="7">
        <f>1/0.5556</f>
        <v>1.7998560115190785</v>
      </c>
      <c r="D18" s="20">
        <v>76.62</v>
      </c>
      <c r="E18" s="7"/>
      <c r="F18" s="7">
        <f>1/0.5614</f>
        <v>1.7812611328820804</v>
      </c>
      <c r="G18" s="20">
        <v>77.2</v>
      </c>
      <c r="H18" s="7"/>
      <c r="I18" s="7">
        <f>1/0.5623</f>
        <v>1.7784101013693756</v>
      </c>
      <c r="J18" s="20">
        <v>77.12</v>
      </c>
      <c r="K18" s="7"/>
      <c r="L18" s="7">
        <f>1/0.5604</f>
        <v>1.7844396859386153</v>
      </c>
      <c r="M18" s="20">
        <v>77.08</v>
      </c>
      <c r="N18" s="7"/>
      <c r="O18" s="7">
        <f>1/0.5649</f>
        <v>1.7702248185519562</v>
      </c>
      <c r="P18" s="20">
        <v>77.4</v>
      </c>
      <c r="Q18" s="7"/>
      <c r="R18" s="7">
        <f>1/0.5651</f>
        <v>1.7695983011856307</v>
      </c>
      <c r="S18" s="20">
        <v>77.23</v>
      </c>
      <c r="T18" s="7"/>
      <c r="U18" s="7">
        <f>1/0.562</f>
        <v>1.779359430604982</v>
      </c>
      <c r="V18" s="20">
        <v>76.68</v>
      </c>
      <c r="W18" s="7"/>
      <c r="X18" s="7">
        <f>1/0.5617</f>
        <v>1.7803097739006588</v>
      </c>
      <c r="Y18" s="20">
        <v>76.64</v>
      </c>
      <c r="Z18" s="7"/>
      <c r="AA18" s="7">
        <f>1/0.5596</f>
        <v>1.7869907076483202</v>
      </c>
      <c r="AB18" s="20">
        <v>76.35</v>
      </c>
      <c r="AC18" s="7"/>
      <c r="AD18" s="7">
        <f>1/0.5615</f>
        <v>1.7809439002671417</v>
      </c>
      <c r="AE18" s="7">
        <v>76.64</v>
      </c>
      <c r="AF18" s="7"/>
      <c r="AG18" s="7">
        <f>1/0.5635</f>
        <v>1.774622892635315</v>
      </c>
      <c r="AH18" s="20">
        <v>76.92</v>
      </c>
      <c r="AI18" s="7"/>
      <c r="AJ18" s="7">
        <f>1/0.5621</f>
        <v>1.7790428749332858</v>
      </c>
      <c r="AK18" s="20">
        <v>76.65</v>
      </c>
      <c r="AL18" s="7"/>
      <c r="AM18" s="7">
        <f>1/0.5635</f>
        <v>1.774622892635315</v>
      </c>
      <c r="AN18" s="20">
        <v>76.81</v>
      </c>
      <c r="AO18" s="7"/>
      <c r="AP18" s="7">
        <f>1/0.5585</f>
        <v>1.7905102954341987</v>
      </c>
      <c r="AQ18" s="20">
        <v>76.33</v>
      </c>
      <c r="AR18" s="7"/>
      <c r="AS18" s="7">
        <f>1/0.5585</f>
        <v>1.7905102954341987</v>
      </c>
      <c r="AT18" s="20">
        <v>76.5</v>
      </c>
      <c r="AU18" s="7"/>
      <c r="AV18" s="7">
        <f>1/0.5632</f>
        <v>1.7755681818181817</v>
      </c>
      <c r="AW18" s="20">
        <v>77.24</v>
      </c>
      <c r="AX18" s="7"/>
      <c r="AY18" s="7">
        <f>1/0.5611</f>
        <v>1.7822135091783995</v>
      </c>
      <c r="AZ18" s="20">
        <v>77.14</v>
      </c>
      <c r="BA18" s="7"/>
      <c r="BB18" s="7">
        <f>1/0.5591</f>
        <v>1.7885888034340904</v>
      </c>
      <c r="BC18" s="20">
        <v>77.14</v>
      </c>
      <c r="BD18" s="7"/>
      <c r="BE18" s="7">
        <f>1/0.5591</f>
        <v>1.7885888034340904</v>
      </c>
      <c r="BF18" s="20">
        <v>77.09</v>
      </c>
      <c r="BG18" s="7"/>
      <c r="BH18" s="7">
        <f t="shared" si="0"/>
        <v>1.7818769690949954</v>
      </c>
      <c r="BI18" s="7">
        <f t="shared" si="1"/>
        <v>76.88315789473684</v>
      </c>
      <c r="BK18" s="56"/>
      <c r="BL18" s="54"/>
      <c r="BM18" s="54"/>
      <c r="BN18" s="50"/>
      <c r="BO18" s="56"/>
      <c r="BP18" s="54"/>
      <c r="BQ18" s="54"/>
      <c r="BR18" s="50"/>
      <c r="BS18" s="56"/>
      <c r="BT18" s="54"/>
      <c r="BU18" s="54"/>
      <c r="BV18" s="50"/>
      <c r="BW18" s="50"/>
      <c r="BX18" s="50"/>
      <c r="BY18" s="50"/>
      <c r="BZ18" s="55"/>
    </row>
    <row r="19" spans="1:78" ht="15.75">
      <c r="A19" s="18">
        <v>8</v>
      </c>
      <c r="B19" s="19" t="s">
        <v>28</v>
      </c>
      <c r="C19" s="7">
        <v>1.5581</v>
      </c>
      <c r="D19" s="20">
        <v>88.51</v>
      </c>
      <c r="E19" s="7"/>
      <c r="F19" s="7">
        <v>1.5543</v>
      </c>
      <c r="G19" s="20">
        <v>88.48</v>
      </c>
      <c r="H19" s="7"/>
      <c r="I19" s="7">
        <v>1.556</v>
      </c>
      <c r="J19" s="20">
        <v>88.14</v>
      </c>
      <c r="K19" s="7"/>
      <c r="L19" s="7">
        <v>1.5564</v>
      </c>
      <c r="M19" s="20">
        <v>88.37</v>
      </c>
      <c r="N19" s="7"/>
      <c r="O19" s="7">
        <v>1.5525</v>
      </c>
      <c r="P19" s="20">
        <v>88.26</v>
      </c>
      <c r="Q19" s="7"/>
      <c r="R19" s="7">
        <v>1.5578</v>
      </c>
      <c r="S19" s="20">
        <v>87.73</v>
      </c>
      <c r="T19" s="7"/>
      <c r="U19" s="7">
        <v>1.5683</v>
      </c>
      <c r="V19" s="20">
        <v>87</v>
      </c>
      <c r="W19" s="7"/>
      <c r="X19" s="7">
        <v>1.5677</v>
      </c>
      <c r="Y19" s="20">
        <v>87.04</v>
      </c>
      <c r="Z19" s="7"/>
      <c r="AA19" s="7">
        <v>1.579</v>
      </c>
      <c r="AB19" s="20">
        <v>86.41</v>
      </c>
      <c r="AC19" s="7"/>
      <c r="AD19" s="7">
        <v>1.5746</v>
      </c>
      <c r="AE19" s="7">
        <v>86.68</v>
      </c>
      <c r="AF19" s="7"/>
      <c r="AG19" s="7">
        <v>1.5762</v>
      </c>
      <c r="AH19" s="20">
        <v>86.61</v>
      </c>
      <c r="AI19" s="7"/>
      <c r="AJ19" s="7">
        <v>1.5811</v>
      </c>
      <c r="AK19" s="20">
        <v>86.24</v>
      </c>
      <c r="AL19" s="7"/>
      <c r="AM19" s="7">
        <v>1.587</v>
      </c>
      <c r="AN19" s="20">
        <v>85.89</v>
      </c>
      <c r="AO19" s="7"/>
      <c r="AP19" s="7">
        <v>1.5835</v>
      </c>
      <c r="AQ19" s="20">
        <v>86.31</v>
      </c>
      <c r="AR19" s="7"/>
      <c r="AS19" s="7">
        <v>1.5835</v>
      </c>
      <c r="AT19" s="20">
        <v>86.51</v>
      </c>
      <c r="AU19" s="7"/>
      <c r="AV19" s="7">
        <v>1.5781</v>
      </c>
      <c r="AW19" s="20">
        <v>86.9</v>
      </c>
      <c r="AX19" s="7"/>
      <c r="AY19" s="7">
        <v>1.5744</v>
      </c>
      <c r="AZ19" s="20">
        <v>87.32</v>
      </c>
      <c r="BA19" s="7"/>
      <c r="BB19" s="7">
        <v>1.574</v>
      </c>
      <c r="BC19" s="20">
        <v>87.66</v>
      </c>
      <c r="BD19" s="7"/>
      <c r="BE19" s="7">
        <v>1.5747</v>
      </c>
      <c r="BF19" s="20">
        <v>87.56</v>
      </c>
      <c r="BG19" s="7"/>
      <c r="BH19" s="7">
        <f t="shared" si="0"/>
        <v>1.5703789473684213</v>
      </c>
      <c r="BI19" s="7">
        <f t="shared" si="1"/>
        <v>87.24315789473684</v>
      </c>
      <c r="BK19" s="56"/>
      <c r="BL19" s="54"/>
      <c r="BM19" s="54"/>
      <c r="BN19" s="50"/>
      <c r="BO19" s="56"/>
      <c r="BP19" s="54"/>
      <c r="BQ19" s="54"/>
      <c r="BR19" s="50"/>
      <c r="BS19" s="56"/>
      <c r="BT19" s="54"/>
      <c r="BU19" s="54"/>
      <c r="BV19" s="50"/>
      <c r="BW19" s="50"/>
      <c r="BX19" s="50"/>
      <c r="BY19" s="50"/>
      <c r="BZ19" s="55"/>
    </row>
    <row r="20" spans="1:78" ht="15.75">
      <c r="A20" s="18">
        <v>9</v>
      </c>
      <c r="B20" s="19" t="s">
        <v>31</v>
      </c>
      <c r="C20" s="7">
        <v>9.1549</v>
      </c>
      <c r="D20" s="20">
        <v>15.06</v>
      </c>
      <c r="E20" s="7"/>
      <c r="F20" s="7">
        <v>9.1387</v>
      </c>
      <c r="G20" s="20">
        <v>15.05</v>
      </c>
      <c r="H20" s="7"/>
      <c r="I20" s="7">
        <v>9.1376</v>
      </c>
      <c r="J20" s="20">
        <v>15.01</v>
      </c>
      <c r="K20" s="7"/>
      <c r="L20" s="7">
        <v>9.16</v>
      </c>
      <c r="M20" s="20">
        <v>15.02</v>
      </c>
      <c r="N20" s="7"/>
      <c r="O20" s="7">
        <v>9.1099</v>
      </c>
      <c r="P20" s="20">
        <v>15.04</v>
      </c>
      <c r="Q20" s="7"/>
      <c r="R20" s="7">
        <v>9.0215</v>
      </c>
      <c r="S20" s="20">
        <v>15.15</v>
      </c>
      <c r="T20" s="7"/>
      <c r="U20" s="7">
        <v>8.9633</v>
      </c>
      <c r="V20" s="20">
        <v>15.22</v>
      </c>
      <c r="W20" s="7"/>
      <c r="X20" s="7">
        <v>8.975</v>
      </c>
      <c r="Y20" s="20">
        <v>15.2</v>
      </c>
      <c r="Z20" s="7"/>
      <c r="AA20" s="7">
        <v>8.9996</v>
      </c>
      <c r="AB20" s="20">
        <v>15.16</v>
      </c>
      <c r="AC20" s="7"/>
      <c r="AD20" s="7">
        <v>9.0312</v>
      </c>
      <c r="AE20" s="7">
        <v>15.11</v>
      </c>
      <c r="AF20" s="7"/>
      <c r="AG20" s="7">
        <v>9.0406</v>
      </c>
      <c r="AH20" s="20">
        <v>15.1</v>
      </c>
      <c r="AI20" s="7"/>
      <c r="AJ20" s="7">
        <v>8.9899</v>
      </c>
      <c r="AK20" s="20">
        <v>15.17</v>
      </c>
      <c r="AL20" s="7"/>
      <c r="AM20" s="7">
        <v>8.9607</v>
      </c>
      <c r="AN20" s="20">
        <v>15.21</v>
      </c>
      <c r="AO20" s="7"/>
      <c r="AP20" s="7">
        <v>9.0709</v>
      </c>
      <c r="AQ20" s="20">
        <v>15.07</v>
      </c>
      <c r="AR20" s="7"/>
      <c r="AS20" s="7">
        <v>9.0485</v>
      </c>
      <c r="AT20" s="20">
        <v>15.14</v>
      </c>
      <c r="AU20" s="7"/>
      <c r="AV20" s="7">
        <v>8.991</v>
      </c>
      <c r="AW20" s="20">
        <v>15.25</v>
      </c>
      <c r="AX20" s="7"/>
      <c r="AY20" s="7">
        <v>9.0862</v>
      </c>
      <c r="AZ20" s="20">
        <v>15.13</v>
      </c>
      <c r="BA20" s="7"/>
      <c r="BB20" s="7">
        <v>9.1082</v>
      </c>
      <c r="BC20" s="20">
        <v>15.15</v>
      </c>
      <c r="BD20" s="7"/>
      <c r="BE20" s="7">
        <v>9.14</v>
      </c>
      <c r="BF20" s="20">
        <v>15.09</v>
      </c>
      <c r="BG20" s="7"/>
      <c r="BH20" s="7">
        <f t="shared" si="0"/>
        <v>9.059352631578948</v>
      </c>
      <c r="BI20" s="7">
        <f t="shared" si="1"/>
        <v>15.122631578947368</v>
      </c>
      <c r="BK20" s="56"/>
      <c r="BL20" s="54"/>
      <c r="BM20" s="54"/>
      <c r="BN20" s="50"/>
      <c r="BO20" s="56"/>
      <c r="BP20" s="54"/>
      <c r="BQ20" s="54"/>
      <c r="BR20" s="50"/>
      <c r="BS20" s="56"/>
      <c r="BT20" s="54"/>
      <c r="BU20" s="54"/>
      <c r="BV20" s="50"/>
      <c r="BW20" s="50"/>
      <c r="BX20" s="50"/>
      <c r="BY20" s="50"/>
      <c r="BZ20" s="55"/>
    </row>
    <row r="21" spans="1:78" ht="15.75">
      <c r="A21" s="18">
        <v>10</v>
      </c>
      <c r="B21" s="19" t="s">
        <v>32</v>
      </c>
      <c r="C21" s="7">
        <v>7.4198</v>
      </c>
      <c r="D21" s="20">
        <v>18.59</v>
      </c>
      <c r="E21" s="7"/>
      <c r="F21" s="7">
        <v>7.4047</v>
      </c>
      <c r="G21" s="20">
        <v>18.57</v>
      </c>
      <c r="H21" s="7"/>
      <c r="I21" s="7">
        <v>7.3546</v>
      </c>
      <c r="J21" s="20">
        <v>18.65</v>
      </c>
      <c r="K21" s="7"/>
      <c r="L21" s="7">
        <v>7.3854</v>
      </c>
      <c r="M21" s="20">
        <v>18.62</v>
      </c>
      <c r="N21" s="7"/>
      <c r="O21" s="7">
        <v>7.3373</v>
      </c>
      <c r="P21" s="20">
        <v>18.67</v>
      </c>
      <c r="Q21" s="7"/>
      <c r="R21" s="7">
        <v>7.2527</v>
      </c>
      <c r="S21" s="20">
        <v>18.84</v>
      </c>
      <c r="T21" s="7"/>
      <c r="U21" s="7">
        <v>7.2013</v>
      </c>
      <c r="V21" s="20">
        <v>18.95</v>
      </c>
      <c r="W21" s="7"/>
      <c r="X21" s="7">
        <v>7.2032</v>
      </c>
      <c r="Y21" s="20">
        <v>18.94</v>
      </c>
      <c r="Z21" s="7"/>
      <c r="AA21" s="7">
        <v>7.2634</v>
      </c>
      <c r="AB21" s="20">
        <v>18.78</v>
      </c>
      <c r="AC21" s="7"/>
      <c r="AD21" s="7">
        <v>7.2753</v>
      </c>
      <c r="AE21" s="7">
        <v>18.76</v>
      </c>
      <c r="AF21" s="7"/>
      <c r="AG21" s="7">
        <v>7.2777</v>
      </c>
      <c r="AH21" s="20">
        <v>18.76</v>
      </c>
      <c r="AI21" s="7"/>
      <c r="AJ21" s="7">
        <v>7.3634</v>
      </c>
      <c r="AK21" s="20">
        <v>18.52</v>
      </c>
      <c r="AL21" s="7"/>
      <c r="AM21" s="7">
        <v>7.2204</v>
      </c>
      <c r="AN21" s="20">
        <v>18.88</v>
      </c>
      <c r="AO21" s="7"/>
      <c r="AP21" s="7">
        <v>7.3302</v>
      </c>
      <c r="AQ21" s="20">
        <v>18.64</v>
      </c>
      <c r="AR21" s="7"/>
      <c r="AS21" s="7">
        <v>7.3032</v>
      </c>
      <c r="AT21" s="20">
        <v>18.76</v>
      </c>
      <c r="AU21" s="7"/>
      <c r="AV21" s="7">
        <v>7.2881</v>
      </c>
      <c r="AW21" s="20">
        <v>18.82</v>
      </c>
      <c r="AX21" s="7"/>
      <c r="AY21" s="7">
        <v>7.3672</v>
      </c>
      <c r="AZ21" s="20">
        <v>18.66</v>
      </c>
      <c r="BA21" s="7"/>
      <c r="BB21" s="7">
        <v>7.3481</v>
      </c>
      <c r="BC21" s="20">
        <v>18.78</v>
      </c>
      <c r="BD21" s="7"/>
      <c r="BE21" s="7">
        <v>7.3251</v>
      </c>
      <c r="BF21" s="20">
        <v>18.82</v>
      </c>
      <c r="BG21" s="7"/>
      <c r="BH21" s="7">
        <f t="shared" si="0"/>
        <v>7.311636842105263</v>
      </c>
      <c r="BI21" s="7">
        <f t="shared" si="1"/>
        <v>18.73736842105263</v>
      </c>
      <c r="BK21" s="56"/>
      <c r="BL21" s="54"/>
      <c r="BM21" s="54"/>
      <c r="BN21" s="50"/>
      <c r="BO21" s="56"/>
      <c r="BP21" s="54"/>
      <c r="BQ21" s="54"/>
      <c r="BR21" s="50"/>
      <c r="BS21" s="56"/>
      <c r="BT21" s="54"/>
      <c r="BU21" s="54"/>
      <c r="BV21" s="50"/>
      <c r="BW21" s="50"/>
      <c r="BX21" s="50"/>
      <c r="BY21" s="50"/>
      <c r="BZ21" s="55"/>
    </row>
    <row r="22" spans="1:78" ht="15.75">
      <c r="A22" s="18">
        <v>11</v>
      </c>
      <c r="B22" s="19" t="s">
        <v>33</v>
      </c>
      <c r="C22" s="7">
        <v>7.492</v>
      </c>
      <c r="D22" s="20">
        <v>18.41</v>
      </c>
      <c r="E22" s="7"/>
      <c r="F22" s="7">
        <v>7.474</v>
      </c>
      <c r="G22" s="20">
        <v>18.4</v>
      </c>
      <c r="H22" s="7"/>
      <c r="I22" s="7">
        <v>7.4189</v>
      </c>
      <c r="J22" s="20">
        <v>18.49</v>
      </c>
      <c r="K22" s="7"/>
      <c r="L22" s="7">
        <v>7.4573</v>
      </c>
      <c r="M22" s="20">
        <v>18.44</v>
      </c>
      <c r="N22" s="7"/>
      <c r="O22" s="7">
        <v>7.4098</v>
      </c>
      <c r="P22" s="20">
        <v>18.49</v>
      </c>
      <c r="Q22" s="7"/>
      <c r="R22" s="7">
        <v>7.3511</v>
      </c>
      <c r="S22" s="20">
        <v>18.59</v>
      </c>
      <c r="T22" s="7"/>
      <c r="U22" s="7">
        <v>7.314</v>
      </c>
      <c r="V22" s="20">
        <v>18.66</v>
      </c>
      <c r="W22" s="7"/>
      <c r="X22" s="7">
        <v>7.3413</v>
      </c>
      <c r="Y22" s="20">
        <v>18.59</v>
      </c>
      <c r="Z22" s="7"/>
      <c r="AA22" s="7">
        <v>7.37</v>
      </c>
      <c r="AB22" s="20">
        <v>18.51</v>
      </c>
      <c r="AC22" s="7"/>
      <c r="AD22" s="7">
        <v>7.3792</v>
      </c>
      <c r="AE22" s="7">
        <v>18.5</v>
      </c>
      <c r="AF22" s="7"/>
      <c r="AG22" s="7">
        <v>7.3981</v>
      </c>
      <c r="AH22" s="20">
        <v>18.45</v>
      </c>
      <c r="AI22" s="7"/>
      <c r="AJ22" s="7">
        <v>7.251</v>
      </c>
      <c r="AK22" s="20">
        <v>18.81</v>
      </c>
      <c r="AL22" s="7"/>
      <c r="AM22" s="7">
        <v>7.3346</v>
      </c>
      <c r="AN22" s="20">
        <v>18.58</v>
      </c>
      <c r="AO22" s="7"/>
      <c r="AP22" s="7">
        <v>7.4179</v>
      </c>
      <c r="AQ22" s="20">
        <v>18.42</v>
      </c>
      <c r="AR22" s="7"/>
      <c r="AS22" s="7">
        <v>7.4142</v>
      </c>
      <c r="AT22" s="20">
        <v>18.48</v>
      </c>
      <c r="AU22" s="7"/>
      <c r="AV22" s="7">
        <v>7.4066</v>
      </c>
      <c r="AW22" s="20">
        <v>18.52</v>
      </c>
      <c r="AX22" s="7"/>
      <c r="AY22" s="7">
        <v>7.4906</v>
      </c>
      <c r="AZ22" s="20">
        <v>18.35</v>
      </c>
      <c r="BA22" s="7"/>
      <c r="BB22" s="7">
        <v>7.4909</v>
      </c>
      <c r="BC22" s="20">
        <v>18.42</v>
      </c>
      <c r="BD22" s="7"/>
      <c r="BE22" s="7">
        <v>7.482</v>
      </c>
      <c r="BF22" s="20">
        <v>18.43</v>
      </c>
      <c r="BG22" s="7"/>
      <c r="BH22" s="7">
        <f t="shared" si="0"/>
        <v>7.404921052631579</v>
      </c>
      <c r="BI22" s="7">
        <f t="shared" si="1"/>
        <v>18.502105263157897</v>
      </c>
      <c r="BK22" s="56"/>
      <c r="BL22" s="54"/>
      <c r="BM22" s="54"/>
      <c r="BN22" s="50"/>
      <c r="BO22" s="56"/>
      <c r="BP22" s="54"/>
      <c r="BQ22" s="54"/>
      <c r="BR22" s="50"/>
      <c r="BS22" s="56"/>
      <c r="BT22" s="54"/>
      <c r="BU22" s="54"/>
      <c r="BV22" s="50"/>
      <c r="BW22" s="50"/>
      <c r="BX22" s="50"/>
      <c r="BY22" s="50"/>
      <c r="BZ22" s="55"/>
    </row>
    <row r="23" spans="1:78" ht="15.75">
      <c r="A23" s="18">
        <v>12</v>
      </c>
      <c r="B23" s="19" t="s">
        <v>36</v>
      </c>
      <c r="C23" s="7">
        <f>1/1.32163</f>
        <v>0.7566414200646171</v>
      </c>
      <c r="D23" s="20">
        <v>182.26</v>
      </c>
      <c r="E23" s="7"/>
      <c r="F23" s="7">
        <f>1/1.3264</f>
        <v>0.7539203860072377</v>
      </c>
      <c r="G23" s="20">
        <v>182.4</v>
      </c>
      <c r="H23" s="7"/>
      <c r="I23" s="7">
        <f>1/1.32507</f>
        <v>0.7546771113978884</v>
      </c>
      <c r="J23" s="20">
        <v>181.73</v>
      </c>
      <c r="K23" s="7"/>
      <c r="L23" s="7">
        <f>1/1.33021</f>
        <v>0.7517610001428346</v>
      </c>
      <c r="M23" s="20">
        <v>182.96</v>
      </c>
      <c r="N23" s="7"/>
      <c r="O23" s="7">
        <f>1/1.326</f>
        <v>0.7541478129713424</v>
      </c>
      <c r="P23" s="20">
        <v>181.69</v>
      </c>
      <c r="Q23" s="7"/>
      <c r="R23" s="7">
        <f>1/1.33042</f>
        <v>0.7516423385096436</v>
      </c>
      <c r="S23" s="20">
        <v>181.83</v>
      </c>
      <c r="T23" s="7"/>
      <c r="U23" s="7">
        <f>1/1.33725</f>
        <v>0.7478033277248084</v>
      </c>
      <c r="V23" s="20">
        <v>182.46</v>
      </c>
      <c r="W23" s="7"/>
      <c r="X23" s="7">
        <f>1/1.34266</f>
        <v>0.7447901926027438</v>
      </c>
      <c r="Y23" s="20">
        <v>183.2</v>
      </c>
      <c r="Z23" s="7"/>
      <c r="AA23" s="7">
        <f>1/1.34005</f>
        <v>0.7462408119100034</v>
      </c>
      <c r="AB23" s="20">
        <v>182.84</v>
      </c>
      <c r="AC23" s="7"/>
      <c r="AD23" s="7">
        <f>1/1.33708</f>
        <v>0.7478984054805995</v>
      </c>
      <c r="AE23" s="7">
        <v>182.5</v>
      </c>
      <c r="AF23" s="7"/>
      <c r="AG23" s="7">
        <f>1/1.33701</f>
        <v>0.7479375621723099</v>
      </c>
      <c r="AH23" s="20">
        <v>182.51</v>
      </c>
      <c r="AI23" s="7"/>
      <c r="AJ23" s="7">
        <f>1/1.33701</f>
        <v>0.7479375621723099</v>
      </c>
      <c r="AK23" s="20">
        <v>182.31</v>
      </c>
      <c r="AL23" s="7"/>
      <c r="AM23" s="7">
        <f>1/1.3576</f>
        <v>0.7365939893930465</v>
      </c>
      <c r="AN23" s="20">
        <v>185.05</v>
      </c>
      <c r="AO23" s="7"/>
      <c r="AP23" s="7">
        <f>1/1.33843</f>
        <v>0.7471440418998379</v>
      </c>
      <c r="AQ23" s="20">
        <v>182.92</v>
      </c>
      <c r="AR23" s="7"/>
      <c r="AS23" s="7">
        <f>1/1.32978</f>
        <v>0.7520040909022545</v>
      </c>
      <c r="AT23" s="20">
        <v>182.15</v>
      </c>
      <c r="AU23" s="7"/>
      <c r="AV23" s="7">
        <f>1/1.33027</f>
        <v>0.7517270929961586</v>
      </c>
      <c r="AW23" s="20">
        <v>182.43</v>
      </c>
      <c r="AX23" s="7"/>
      <c r="AY23" s="7">
        <f>1/1.33056</f>
        <v>0.7515632515632515</v>
      </c>
      <c r="AZ23" s="20">
        <v>182.92</v>
      </c>
      <c r="BA23" s="7"/>
      <c r="BB23" s="7">
        <f>1/1.32405</f>
        <v>0.7552584872172501</v>
      </c>
      <c r="BC23" s="20">
        <v>182.69</v>
      </c>
      <c r="BD23" s="7"/>
      <c r="BE23" s="7">
        <f>1/1.32587</f>
        <v>0.7542217562807816</v>
      </c>
      <c r="BF23" s="20">
        <v>182.81</v>
      </c>
      <c r="BG23" s="7"/>
      <c r="BH23" s="7">
        <f t="shared" si="0"/>
        <v>0.7502058232320483</v>
      </c>
      <c r="BI23" s="7">
        <f t="shared" si="1"/>
        <v>182.61368421052634</v>
      </c>
      <c r="BK23" s="56"/>
      <c r="BL23" s="54"/>
      <c r="BM23" s="57"/>
      <c r="BN23" s="50"/>
      <c r="BO23" s="56"/>
      <c r="BP23" s="54"/>
      <c r="BQ23" s="57"/>
      <c r="BR23" s="50"/>
      <c r="BS23" s="56"/>
      <c r="BT23" s="54"/>
      <c r="BU23" s="57"/>
      <c r="BV23" s="50"/>
      <c r="BW23" s="50"/>
      <c r="BX23" s="50"/>
      <c r="BY23" s="50"/>
      <c r="BZ23" s="55"/>
    </row>
    <row r="24" spans="1:78" ht="16.5" thickBot="1">
      <c r="A24" s="26">
        <v>13</v>
      </c>
      <c r="B24" s="27" t="s">
        <v>38</v>
      </c>
      <c r="C24" s="28">
        <v>1</v>
      </c>
      <c r="D24" s="29">
        <v>137.91</v>
      </c>
      <c r="E24" s="28"/>
      <c r="F24" s="28">
        <v>1</v>
      </c>
      <c r="G24" s="29">
        <v>137.52</v>
      </c>
      <c r="H24" s="28"/>
      <c r="I24" s="28">
        <v>1</v>
      </c>
      <c r="J24" s="29">
        <v>137.14</v>
      </c>
      <c r="K24" s="28"/>
      <c r="L24" s="28">
        <v>1</v>
      </c>
      <c r="M24" s="29">
        <v>137.54</v>
      </c>
      <c r="N24" s="28"/>
      <c r="O24" s="28">
        <v>1</v>
      </c>
      <c r="P24" s="29">
        <v>137.02</v>
      </c>
      <c r="Q24" s="28"/>
      <c r="R24" s="28">
        <v>1</v>
      </c>
      <c r="S24" s="29">
        <v>136.67</v>
      </c>
      <c r="T24" s="28"/>
      <c r="U24" s="28">
        <v>1</v>
      </c>
      <c r="V24" s="29">
        <v>136.44</v>
      </c>
      <c r="W24" s="28"/>
      <c r="X24" s="28">
        <v>1</v>
      </c>
      <c r="Y24" s="29">
        <v>136.45</v>
      </c>
      <c r="Z24" s="28"/>
      <c r="AA24" s="28">
        <v>1</v>
      </c>
      <c r="AB24" s="29">
        <v>136.44</v>
      </c>
      <c r="AC24" s="28"/>
      <c r="AD24" s="28">
        <v>1</v>
      </c>
      <c r="AE24" s="28">
        <v>136.49</v>
      </c>
      <c r="AF24" s="28"/>
      <c r="AG24" s="28">
        <v>1</v>
      </c>
      <c r="AH24" s="29">
        <v>136.51</v>
      </c>
      <c r="AI24" s="28"/>
      <c r="AJ24" s="28">
        <v>1</v>
      </c>
      <c r="AK24" s="29">
        <v>136.36</v>
      </c>
      <c r="AL24" s="28"/>
      <c r="AM24" s="28">
        <v>1</v>
      </c>
      <c r="AN24" s="29">
        <v>136.31</v>
      </c>
      <c r="AO24" s="28"/>
      <c r="AP24" s="28">
        <v>1</v>
      </c>
      <c r="AQ24" s="29">
        <v>136.67</v>
      </c>
      <c r="AR24" s="28"/>
      <c r="AS24" s="28">
        <v>1</v>
      </c>
      <c r="AT24" s="29">
        <v>136.98</v>
      </c>
      <c r="AU24" s="28"/>
      <c r="AV24" s="28">
        <v>1</v>
      </c>
      <c r="AW24" s="29">
        <v>137.14</v>
      </c>
      <c r="AX24" s="28"/>
      <c r="AY24" s="28">
        <v>1</v>
      </c>
      <c r="AZ24" s="29">
        <v>137.48</v>
      </c>
      <c r="BA24" s="28"/>
      <c r="BB24" s="28">
        <v>1</v>
      </c>
      <c r="BC24" s="29">
        <v>137.98</v>
      </c>
      <c r="BD24" s="28"/>
      <c r="BE24" s="28">
        <v>1</v>
      </c>
      <c r="BF24" s="29">
        <v>137.88</v>
      </c>
      <c r="BG24" s="28"/>
      <c r="BH24" s="31">
        <f t="shared" si="0"/>
        <v>1</v>
      </c>
      <c r="BI24" s="31">
        <f t="shared" si="1"/>
        <v>136.9963157894737</v>
      </c>
      <c r="BK24" s="56"/>
      <c r="BL24" s="54"/>
      <c r="BM24" s="54"/>
      <c r="BN24" s="50"/>
      <c r="BO24" s="56"/>
      <c r="BP24" s="54"/>
      <c r="BQ24" s="54"/>
      <c r="BR24" s="50"/>
      <c r="BS24" s="56"/>
      <c r="BT24" s="54"/>
      <c r="BU24" s="54"/>
      <c r="BV24" s="50"/>
      <c r="BW24" s="50"/>
      <c r="BX24" s="50"/>
      <c r="BY24" s="50"/>
      <c r="BZ24" s="55"/>
    </row>
    <row r="25" spans="1:78" ht="15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7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10"/>
      <c r="BH25" s="35"/>
      <c r="BI25" s="35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2"/>
      <c r="BW25" s="52"/>
      <c r="BX25" s="52"/>
      <c r="BY25" s="52"/>
      <c r="BZ25" s="55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25"/>
  <sheetViews>
    <sheetView zoomScale="75" zoomScaleNormal="75" zoomScalePageLayoutView="0" workbookViewId="0" topLeftCell="A1">
      <selection activeCell="C11" sqref="C11"/>
    </sheetView>
  </sheetViews>
  <sheetFormatPr defaultColWidth="9.140625" defaultRowHeight="12.75"/>
  <cols>
    <col min="1" max="1" width="5.57421875" style="0" customWidth="1"/>
    <col min="2" max="2" width="30.28125" style="0" customWidth="1"/>
    <col min="4" max="4" width="10.421875" style="0" customWidth="1"/>
    <col min="7" max="7" width="10.421875" style="0" customWidth="1"/>
    <col min="10" max="10" width="10.421875" style="0" customWidth="1"/>
    <col min="13" max="13" width="10.421875" style="0" customWidth="1"/>
    <col min="16" max="16" width="10.421875" style="0" customWidth="1"/>
    <col min="19" max="19" width="10.421875" style="0" customWidth="1"/>
    <col min="22" max="22" width="10.421875" style="0" customWidth="1"/>
    <col min="25" max="25" width="10.421875" style="0" customWidth="1"/>
    <col min="28" max="28" width="10.421875" style="0" customWidth="1"/>
    <col min="31" max="31" width="11.57421875" style="0" customWidth="1"/>
    <col min="34" max="34" width="10.421875" style="0" customWidth="1"/>
    <col min="37" max="37" width="10.421875" style="0" customWidth="1"/>
    <col min="40" max="40" width="10.421875" style="0" customWidth="1"/>
    <col min="43" max="43" width="10.421875" style="0" customWidth="1"/>
    <col min="46" max="46" width="10.421875" style="0" customWidth="1"/>
    <col min="49" max="49" width="10.421875" style="0" customWidth="1"/>
    <col min="52" max="52" width="10.421875" style="0" customWidth="1"/>
    <col min="55" max="55" width="10.421875" style="0" customWidth="1"/>
    <col min="58" max="58" width="10.421875" style="0" customWidth="1"/>
    <col min="61" max="61" width="11.28125" style="0" customWidth="1"/>
    <col min="64" max="64" width="10.421875" style="0" bestFit="1" customWidth="1"/>
    <col min="66" max="66" width="10.421875" style="0" customWidth="1"/>
    <col min="67" max="67" width="12.00390625" style="0" customWidth="1"/>
  </cols>
  <sheetData>
    <row r="1" spans="1:76" ht="15.75">
      <c r="A1" s="6"/>
      <c r="B1" s="4" t="s">
        <v>84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8" t="s">
        <v>1</v>
      </c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9"/>
      <c r="BI1" s="9"/>
      <c r="BJ1" s="9"/>
      <c r="BK1" s="9"/>
      <c r="BL1" s="9"/>
      <c r="BM1" s="9"/>
      <c r="BN1" s="9"/>
      <c r="BO1" s="9"/>
      <c r="BP1" s="10"/>
      <c r="BQ1" s="10"/>
      <c r="BR1" s="10"/>
      <c r="BS1" s="10"/>
      <c r="BT1" s="10"/>
      <c r="BU1" s="10"/>
      <c r="BV1" s="10"/>
      <c r="BW1" s="10"/>
      <c r="BX1" s="10"/>
    </row>
    <row r="2" spans="1:76" ht="15.75">
      <c r="A2" s="7"/>
      <c r="B2" s="5" t="s">
        <v>282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11"/>
      <c r="BI2" s="11"/>
      <c r="BJ2" s="11"/>
      <c r="BK2" s="11"/>
      <c r="BL2" s="11"/>
      <c r="BM2" s="11"/>
      <c r="BN2" s="11"/>
      <c r="BO2" s="11"/>
      <c r="BP2" s="10"/>
      <c r="BQ2" s="10"/>
      <c r="BR2" s="10"/>
      <c r="BS2" s="10"/>
      <c r="BT2" s="10"/>
      <c r="BU2" s="10"/>
      <c r="BV2" s="10"/>
      <c r="BW2" s="10"/>
      <c r="BX2" s="10"/>
    </row>
    <row r="3" spans="1:77" ht="15.75">
      <c r="A3" s="8" t="s">
        <v>2</v>
      </c>
      <c r="B3" s="7"/>
      <c r="C3" s="6" t="s">
        <v>283</v>
      </c>
      <c r="D3" s="12"/>
      <c r="E3" s="12"/>
      <c r="F3" s="6" t="s">
        <v>284</v>
      </c>
      <c r="G3" s="12"/>
      <c r="H3" s="12"/>
      <c r="I3" s="6" t="s">
        <v>285</v>
      </c>
      <c r="J3" s="12"/>
      <c r="K3" s="12"/>
      <c r="L3" s="6" t="s">
        <v>286</v>
      </c>
      <c r="M3" s="12"/>
      <c r="N3" s="12"/>
      <c r="O3" s="6" t="s">
        <v>287</v>
      </c>
      <c r="P3" s="12"/>
      <c r="Q3" s="12"/>
      <c r="R3" s="6" t="s">
        <v>288</v>
      </c>
      <c r="S3" s="12"/>
      <c r="T3" s="12"/>
      <c r="U3" s="6" t="s">
        <v>289</v>
      </c>
      <c r="V3" s="12"/>
      <c r="W3" s="12"/>
      <c r="X3" s="6" t="s">
        <v>290</v>
      </c>
      <c r="Y3" s="12"/>
      <c r="Z3" s="12"/>
      <c r="AA3" s="6" t="s">
        <v>291</v>
      </c>
      <c r="AB3" s="12"/>
      <c r="AC3" s="12"/>
      <c r="AD3" s="6" t="s">
        <v>292</v>
      </c>
      <c r="AE3" s="12"/>
      <c r="AF3" s="12"/>
      <c r="AG3" s="6" t="s">
        <v>293</v>
      </c>
      <c r="AH3" s="12"/>
      <c r="AI3" s="12"/>
      <c r="AJ3" s="6" t="s">
        <v>294</v>
      </c>
      <c r="AK3" s="12"/>
      <c r="AL3" s="12"/>
      <c r="AM3" s="6" t="s">
        <v>295</v>
      </c>
      <c r="AN3" s="12"/>
      <c r="AO3" s="12"/>
      <c r="AP3" s="6" t="s">
        <v>296</v>
      </c>
      <c r="AQ3" s="12"/>
      <c r="AR3" s="12"/>
      <c r="AS3" s="6" t="s">
        <v>297</v>
      </c>
      <c r="AT3" s="12"/>
      <c r="AU3" s="12"/>
      <c r="AV3" s="6" t="s">
        <v>298</v>
      </c>
      <c r="AW3" s="12"/>
      <c r="AX3" s="12"/>
      <c r="AY3" s="6" t="s">
        <v>299</v>
      </c>
      <c r="AZ3" s="12"/>
      <c r="BA3" s="12"/>
      <c r="BB3" s="6" t="s">
        <v>300</v>
      </c>
      <c r="BC3" s="12"/>
      <c r="BD3" s="12"/>
      <c r="BE3" s="6" t="s">
        <v>301</v>
      </c>
      <c r="BF3" s="12"/>
      <c r="BG3" s="12"/>
      <c r="BH3" s="6" t="s">
        <v>302</v>
      </c>
      <c r="BI3" s="12"/>
      <c r="BJ3" s="12"/>
      <c r="BK3" s="6" t="s">
        <v>303</v>
      </c>
      <c r="BL3" s="12"/>
      <c r="BM3" s="12"/>
      <c r="BN3" s="6" t="s">
        <v>40</v>
      </c>
      <c r="BO3" s="6"/>
      <c r="BP3" s="49"/>
      <c r="BQ3" s="49"/>
      <c r="BR3" s="49"/>
      <c r="BS3" s="48"/>
      <c r="BT3" s="49"/>
      <c r="BU3" s="48"/>
      <c r="BV3" s="48"/>
      <c r="BW3" s="48"/>
      <c r="BX3" s="49"/>
      <c r="BY3" s="55"/>
    </row>
    <row r="4" spans="1:77" ht="16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50"/>
      <c r="BQ4" s="50"/>
      <c r="BR4" s="50"/>
      <c r="BS4" s="50"/>
      <c r="BT4" s="50"/>
      <c r="BU4" s="50"/>
      <c r="BV4" s="50"/>
      <c r="BW4" s="50"/>
      <c r="BX4" s="50"/>
      <c r="BY4" s="55"/>
    </row>
    <row r="5" spans="1:77" ht="16.5" thickTop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50"/>
      <c r="BQ5" s="50"/>
      <c r="BR5" s="50"/>
      <c r="BS5" s="50"/>
      <c r="BT5" s="50"/>
      <c r="BU5" s="50"/>
      <c r="BV5" s="50"/>
      <c r="BW5" s="50"/>
      <c r="BX5" s="50"/>
      <c r="BY5" s="55"/>
    </row>
    <row r="6" spans="1:77" ht="15.75">
      <c r="A6" s="12"/>
      <c r="B6" s="7"/>
      <c r="C6" s="14" t="s">
        <v>4</v>
      </c>
      <c r="D6" s="14" t="s">
        <v>4</v>
      </c>
      <c r="E6" s="14"/>
      <c r="F6" s="14" t="s">
        <v>4</v>
      </c>
      <c r="G6" s="14" t="s">
        <v>4</v>
      </c>
      <c r="H6" s="14"/>
      <c r="I6" s="14" t="s">
        <v>4</v>
      </c>
      <c r="J6" s="14" t="s">
        <v>4</v>
      </c>
      <c r="K6" s="14"/>
      <c r="L6" s="14" t="s">
        <v>4</v>
      </c>
      <c r="M6" s="14" t="s">
        <v>4</v>
      </c>
      <c r="N6" s="14"/>
      <c r="O6" s="14" t="s">
        <v>4</v>
      </c>
      <c r="P6" s="14" t="s">
        <v>4</v>
      </c>
      <c r="Q6" s="14"/>
      <c r="R6" s="14" t="s">
        <v>4</v>
      </c>
      <c r="S6" s="14" t="s">
        <v>4</v>
      </c>
      <c r="T6" s="14"/>
      <c r="U6" s="14" t="s">
        <v>4</v>
      </c>
      <c r="V6" s="14" t="s">
        <v>4</v>
      </c>
      <c r="W6" s="14"/>
      <c r="X6" s="14" t="s">
        <v>4</v>
      </c>
      <c r="Y6" s="14" t="s">
        <v>4</v>
      </c>
      <c r="Z6" s="14"/>
      <c r="AA6" s="14" t="s">
        <v>4</v>
      </c>
      <c r="AB6" s="14" t="s">
        <v>4</v>
      </c>
      <c r="AC6" s="14"/>
      <c r="AD6" s="14" t="s">
        <v>4</v>
      </c>
      <c r="AE6" s="14" t="s">
        <v>4</v>
      </c>
      <c r="AF6" s="14"/>
      <c r="AG6" s="14" t="s">
        <v>4</v>
      </c>
      <c r="AH6" s="14" t="s">
        <v>4</v>
      </c>
      <c r="AI6" s="14"/>
      <c r="AJ6" s="14" t="s">
        <v>4</v>
      </c>
      <c r="AK6" s="14" t="s">
        <v>4</v>
      </c>
      <c r="AL6" s="14"/>
      <c r="AM6" s="14" t="s">
        <v>4</v>
      </c>
      <c r="AN6" s="14" t="s">
        <v>4</v>
      </c>
      <c r="AO6" s="14"/>
      <c r="AP6" s="14" t="s">
        <v>4</v>
      </c>
      <c r="AQ6" s="14" t="s">
        <v>4</v>
      </c>
      <c r="AR6" s="14"/>
      <c r="AS6" s="14" t="s">
        <v>4</v>
      </c>
      <c r="AT6" s="14" t="s">
        <v>4</v>
      </c>
      <c r="AU6" s="14"/>
      <c r="AV6" s="14" t="s">
        <v>4</v>
      </c>
      <c r="AW6" s="14" t="s">
        <v>4</v>
      </c>
      <c r="AX6" s="14"/>
      <c r="AY6" s="14" t="s">
        <v>4</v>
      </c>
      <c r="AZ6" s="14" t="s">
        <v>4</v>
      </c>
      <c r="BA6" s="14"/>
      <c r="BB6" s="14" t="s">
        <v>4</v>
      </c>
      <c r="BC6" s="14" t="s">
        <v>4</v>
      </c>
      <c r="BD6" s="14"/>
      <c r="BE6" s="14" t="s">
        <v>4</v>
      </c>
      <c r="BF6" s="14" t="s">
        <v>4</v>
      </c>
      <c r="BG6" s="14"/>
      <c r="BH6" s="14" t="s">
        <v>4</v>
      </c>
      <c r="BI6" s="14" t="s">
        <v>4</v>
      </c>
      <c r="BJ6" s="14"/>
      <c r="BK6" s="14" t="s">
        <v>4</v>
      </c>
      <c r="BL6" s="14" t="s">
        <v>4</v>
      </c>
      <c r="BM6" s="14"/>
      <c r="BN6" s="14" t="s">
        <v>4</v>
      </c>
      <c r="BO6" s="14" t="s">
        <v>4</v>
      </c>
      <c r="BP6" s="51"/>
      <c r="BQ6" s="51"/>
      <c r="BR6" s="51"/>
      <c r="BS6" s="51"/>
      <c r="BT6" s="51"/>
      <c r="BU6" s="51"/>
      <c r="BV6" s="51"/>
      <c r="BW6" s="51"/>
      <c r="BX6" s="51"/>
      <c r="BY6" s="55"/>
    </row>
    <row r="7" spans="1:77" ht="15.75">
      <c r="A7" s="7"/>
      <c r="B7" s="15" t="s">
        <v>6</v>
      </c>
      <c r="C7" s="14" t="s">
        <v>7</v>
      </c>
      <c r="D7" s="14" t="s">
        <v>7</v>
      </c>
      <c r="E7" s="14"/>
      <c r="F7" s="14" t="s">
        <v>7</v>
      </c>
      <c r="G7" s="14" t="s">
        <v>7</v>
      </c>
      <c r="H7" s="14"/>
      <c r="I7" s="14" t="s">
        <v>7</v>
      </c>
      <c r="J7" s="14" t="s">
        <v>7</v>
      </c>
      <c r="K7" s="14"/>
      <c r="L7" s="14" t="s">
        <v>7</v>
      </c>
      <c r="M7" s="14" t="s">
        <v>7</v>
      </c>
      <c r="N7" s="14"/>
      <c r="O7" s="14" t="s">
        <v>7</v>
      </c>
      <c r="P7" s="14" t="s">
        <v>7</v>
      </c>
      <c r="Q7" s="14"/>
      <c r="R7" s="14" t="s">
        <v>7</v>
      </c>
      <c r="S7" s="14" t="s">
        <v>7</v>
      </c>
      <c r="T7" s="14"/>
      <c r="U7" s="14" t="s">
        <v>7</v>
      </c>
      <c r="V7" s="14" t="s">
        <v>7</v>
      </c>
      <c r="W7" s="14"/>
      <c r="X7" s="14" t="s">
        <v>7</v>
      </c>
      <c r="Y7" s="14" t="s">
        <v>7</v>
      </c>
      <c r="Z7" s="14"/>
      <c r="AA7" s="14" t="s">
        <v>7</v>
      </c>
      <c r="AB7" s="14" t="s">
        <v>7</v>
      </c>
      <c r="AC7" s="14"/>
      <c r="AD7" s="14" t="s">
        <v>7</v>
      </c>
      <c r="AE7" s="14" t="s">
        <v>7</v>
      </c>
      <c r="AF7" s="14"/>
      <c r="AG7" s="14" t="s">
        <v>7</v>
      </c>
      <c r="AH7" s="14" t="s">
        <v>7</v>
      </c>
      <c r="AI7" s="14"/>
      <c r="AJ7" s="14" t="s">
        <v>7</v>
      </c>
      <c r="AK7" s="14" t="s">
        <v>7</v>
      </c>
      <c r="AL7" s="14"/>
      <c r="AM7" s="14" t="s">
        <v>7</v>
      </c>
      <c r="AN7" s="14" t="s">
        <v>7</v>
      </c>
      <c r="AO7" s="14"/>
      <c r="AP7" s="14" t="s">
        <v>7</v>
      </c>
      <c r="AQ7" s="14" t="s">
        <v>7</v>
      </c>
      <c r="AR7" s="14"/>
      <c r="AS7" s="14" t="s">
        <v>7</v>
      </c>
      <c r="AT7" s="14" t="s">
        <v>7</v>
      </c>
      <c r="AU7" s="14"/>
      <c r="AV7" s="14" t="s">
        <v>7</v>
      </c>
      <c r="AW7" s="14" t="s">
        <v>7</v>
      </c>
      <c r="AX7" s="14"/>
      <c r="AY7" s="14" t="s">
        <v>7</v>
      </c>
      <c r="AZ7" s="14" t="s">
        <v>7</v>
      </c>
      <c r="BA7" s="14"/>
      <c r="BB7" s="14" t="s">
        <v>7</v>
      </c>
      <c r="BC7" s="14" t="s">
        <v>7</v>
      </c>
      <c r="BD7" s="14"/>
      <c r="BE7" s="14" t="s">
        <v>7</v>
      </c>
      <c r="BF7" s="14" t="s">
        <v>7</v>
      </c>
      <c r="BG7" s="14"/>
      <c r="BH7" s="14" t="s">
        <v>7</v>
      </c>
      <c r="BI7" s="14" t="s">
        <v>7</v>
      </c>
      <c r="BJ7" s="14"/>
      <c r="BK7" s="14" t="s">
        <v>7</v>
      </c>
      <c r="BL7" s="14" t="s">
        <v>7</v>
      </c>
      <c r="BM7" s="14"/>
      <c r="BN7" s="14" t="s">
        <v>7</v>
      </c>
      <c r="BO7" s="14" t="s">
        <v>7</v>
      </c>
      <c r="BP7" s="51"/>
      <c r="BQ7" s="51"/>
      <c r="BR7" s="51"/>
      <c r="BS7" s="51"/>
      <c r="BT7" s="51"/>
      <c r="BU7" s="51"/>
      <c r="BV7" s="51"/>
      <c r="BW7" s="51"/>
      <c r="BX7" s="51"/>
      <c r="BY7" s="55"/>
    </row>
    <row r="8" spans="1:77" ht="15.75">
      <c r="A8" s="7"/>
      <c r="B8" s="7"/>
      <c r="C8" s="14" t="s">
        <v>11</v>
      </c>
      <c r="D8" s="14" t="s">
        <v>10</v>
      </c>
      <c r="E8" s="14"/>
      <c r="F8" s="14" t="s">
        <v>11</v>
      </c>
      <c r="G8" s="14" t="s">
        <v>10</v>
      </c>
      <c r="H8" s="14"/>
      <c r="I8" s="14" t="s">
        <v>11</v>
      </c>
      <c r="J8" s="14" t="s">
        <v>10</v>
      </c>
      <c r="K8" s="14"/>
      <c r="L8" s="14" t="s">
        <v>11</v>
      </c>
      <c r="M8" s="14" t="s">
        <v>10</v>
      </c>
      <c r="N8" s="14"/>
      <c r="O8" s="14" t="s">
        <v>11</v>
      </c>
      <c r="P8" s="14" t="s">
        <v>10</v>
      </c>
      <c r="Q8" s="14"/>
      <c r="R8" s="14" t="s">
        <v>11</v>
      </c>
      <c r="S8" s="14" t="s">
        <v>10</v>
      </c>
      <c r="T8" s="14"/>
      <c r="U8" s="14" t="s">
        <v>11</v>
      </c>
      <c r="V8" s="14" t="s">
        <v>10</v>
      </c>
      <c r="W8" s="14"/>
      <c r="X8" s="14" t="s">
        <v>11</v>
      </c>
      <c r="Y8" s="14" t="s">
        <v>10</v>
      </c>
      <c r="Z8" s="14"/>
      <c r="AA8" s="14" t="s">
        <v>11</v>
      </c>
      <c r="AB8" s="14" t="s">
        <v>10</v>
      </c>
      <c r="AC8" s="14"/>
      <c r="AD8" s="14" t="s">
        <v>11</v>
      </c>
      <c r="AE8" s="14" t="s">
        <v>10</v>
      </c>
      <c r="AF8" s="14"/>
      <c r="AG8" s="14" t="s">
        <v>11</v>
      </c>
      <c r="AH8" s="14" t="s">
        <v>10</v>
      </c>
      <c r="AI8" s="14"/>
      <c r="AJ8" s="14" t="s">
        <v>11</v>
      </c>
      <c r="AK8" s="14" t="s">
        <v>10</v>
      </c>
      <c r="AL8" s="14"/>
      <c r="AM8" s="14" t="s">
        <v>11</v>
      </c>
      <c r="AN8" s="14" t="s">
        <v>10</v>
      </c>
      <c r="AO8" s="14"/>
      <c r="AP8" s="14" t="s">
        <v>11</v>
      </c>
      <c r="AQ8" s="14" t="s">
        <v>10</v>
      </c>
      <c r="AR8" s="14"/>
      <c r="AS8" s="14" t="s">
        <v>11</v>
      </c>
      <c r="AT8" s="14" t="s">
        <v>10</v>
      </c>
      <c r="AU8" s="14"/>
      <c r="AV8" s="14" t="s">
        <v>11</v>
      </c>
      <c r="AW8" s="14" t="s">
        <v>10</v>
      </c>
      <c r="AX8" s="14"/>
      <c r="AY8" s="14" t="s">
        <v>11</v>
      </c>
      <c r="AZ8" s="14" t="s">
        <v>10</v>
      </c>
      <c r="BA8" s="14"/>
      <c r="BB8" s="14" t="s">
        <v>11</v>
      </c>
      <c r="BC8" s="14" t="s">
        <v>10</v>
      </c>
      <c r="BD8" s="14"/>
      <c r="BE8" s="14" t="s">
        <v>11</v>
      </c>
      <c r="BF8" s="14" t="s">
        <v>10</v>
      </c>
      <c r="BG8" s="14"/>
      <c r="BH8" s="14" t="s">
        <v>11</v>
      </c>
      <c r="BI8" s="14" t="s">
        <v>10</v>
      </c>
      <c r="BJ8" s="14"/>
      <c r="BK8" s="14" t="s">
        <v>11</v>
      </c>
      <c r="BL8" s="14" t="s">
        <v>10</v>
      </c>
      <c r="BM8" s="14"/>
      <c r="BN8" s="14" t="s">
        <v>11</v>
      </c>
      <c r="BO8" s="14" t="s">
        <v>10</v>
      </c>
      <c r="BP8" s="51"/>
      <c r="BQ8" s="51"/>
      <c r="BR8" s="51"/>
      <c r="BS8" s="51"/>
      <c r="BT8" s="51"/>
      <c r="BU8" s="51"/>
      <c r="BV8" s="51"/>
      <c r="BW8" s="51"/>
      <c r="BX8" s="51"/>
      <c r="BY8" s="55"/>
    </row>
    <row r="9" spans="1:77" ht="15.75">
      <c r="A9" s="7"/>
      <c r="B9" s="7"/>
      <c r="C9" s="7"/>
      <c r="D9" s="14" t="s">
        <v>14</v>
      </c>
      <c r="E9" s="7"/>
      <c r="F9" s="7"/>
      <c r="G9" s="14" t="s">
        <v>14</v>
      </c>
      <c r="H9" s="7"/>
      <c r="I9" s="7"/>
      <c r="J9" s="14" t="s">
        <v>14</v>
      </c>
      <c r="K9" s="7"/>
      <c r="L9" s="7"/>
      <c r="M9" s="14" t="s">
        <v>14</v>
      </c>
      <c r="N9" s="7"/>
      <c r="O9" s="7"/>
      <c r="P9" s="14" t="s">
        <v>14</v>
      </c>
      <c r="Q9" s="7"/>
      <c r="R9" s="7"/>
      <c r="S9" s="14" t="s">
        <v>14</v>
      </c>
      <c r="T9" s="7"/>
      <c r="U9" s="7"/>
      <c r="V9" s="14" t="s">
        <v>14</v>
      </c>
      <c r="W9" s="8" t="s">
        <v>15</v>
      </c>
      <c r="X9" s="7"/>
      <c r="Y9" s="14" t="s">
        <v>14</v>
      </c>
      <c r="Z9" s="8" t="s">
        <v>15</v>
      </c>
      <c r="AA9" s="7"/>
      <c r="AB9" s="14" t="s">
        <v>14</v>
      </c>
      <c r="AC9" s="7"/>
      <c r="AD9" s="7"/>
      <c r="AE9" s="14" t="s">
        <v>14</v>
      </c>
      <c r="AF9" s="7"/>
      <c r="AG9" s="7"/>
      <c r="AH9" s="14" t="s">
        <v>14</v>
      </c>
      <c r="AI9" s="7"/>
      <c r="AJ9" s="7"/>
      <c r="AK9" s="14" t="s">
        <v>14</v>
      </c>
      <c r="AL9" s="7"/>
      <c r="AM9" s="7"/>
      <c r="AN9" s="14" t="s">
        <v>14</v>
      </c>
      <c r="AO9" s="7"/>
      <c r="AP9" s="7"/>
      <c r="AQ9" s="14" t="s">
        <v>14</v>
      </c>
      <c r="AR9" s="7"/>
      <c r="AS9" s="7"/>
      <c r="AT9" s="14" t="s">
        <v>14</v>
      </c>
      <c r="AU9" s="7"/>
      <c r="AV9" s="7"/>
      <c r="AW9" s="14" t="s">
        <v>14</v>
      </c>
      <c r="AX9" s="7"/>
      <c r="AY9" s="7"/>
      <c r="AZ9" s="14" t="s">
        <v>14</v>
      </c>
      <c r="BA9" s="7"/>
      <c r="BB9" s="7"/>
      <c r="BC9" s="14" t="s">
        <v>14</v>
      </c>
      <c r="BD9" s="7"/>
      <c r="BE9" s="7"/>
      <c r="BF9" s="14" t="s">
        <v>14</v>
      </c>
      <c r="BG9" s="7"/>
      <c r="BH9" s="7"/>
      <c r="BI9" s="14" t="s">
        <v>14</v>
      </c>
      <c r="BJ9" s="7"/>
      <c r="BK9" s="7"/>
      <c r="BL9" s="14" t="s">
        <v>14</v>
      </c>
      <c r="BM9" s="14"/>
      <c r="BN9" s="7"/>
      <c r="BO9" s="14" t="s">
        <v>14</v>
      </c>
      <c r="BP9" s="51"/>
      <c r="BQ9" s="50"/>
      <c r="BR9" s="50"/>
      <c r="BS9" s="50"/>
      <c r="BT9" s="51"/>
      <c r="BU9" s="50"/>
      <c r="BV9" s="50"/>
      <c r="BW9" s="50"/>
      <c r="BX9" s="51"/>
      <c r="BY9" s="55"/>
    </row>
    <row r="10" spans="1:77" ht="16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50"/>
      <c r="BQ10" s="50"/>
      <c r="BR10" s="50"/>
      <c r="BS10" s="50"/>
      <c r="BT10" s="50"/>
      <c r="BU10" s="50"/>
      <c r="BV10" s="50"/>
      <c r="BW10" s="50"/>
      <c r="BX10" s="50"/>
      <c r="BY10" s="55"/>
    </row>
    <row r="11" spans="1:77" ht="16.5" thickTop="1">
      <c r="A11" s="16" t="s">
        <v>2</v>
      </c>
      <c r="B11" s="13"/>
      <c r="C11" s="17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50"/>
      <c r="BQ11" s="50"/>
      <c r="BR11" s="50"/>
      <c r="BS11" s="50"/>
      <c r="BT11" s="50"/>
      <c r="BU11" s="50"/>
      <c r="BV11" s="50"/>
      <c r="BW11" s="50"/>
      <c r="BX11" s="50"/>
      <c r="BY11" s="55"/>
    </row>
    <row r="12" spans="1:77" ht="15.75">
      <c r="A12" s="18">
        <v>1</v>
      </c>
      <c r="B12" s="19" t="s">
        <v>17</v>
      </c>
      <c r="C12" s="7">
        <v>123.87</v>
      </c>
      <c r="D12" s="20">
        <v>111.12</v>
      </c>
      <c r="E12" s="7"/>
      <c r="F12" s="7">
        <v>124.47</v>
      </c>
      <c r="G12" s="20">
        <v>110.47</v>
      </c>
      <c r="H12" s="7"/>
      <c r="I12" s="7">
        <v>124.41</v>
      </c>
      <c r="J12" s="20">
        <v>110.07</v>
      </c>
      <c r="K12" s="7"/>
      <c r="L12" s="7">
        <v>124.7</v>
      </c>
      <c r="M12" s="20">
        <v>109.73</v>
      </c>
      <c r="N12" s="7"/>
      <c r="O12" s="7">
        <v>122.66</v>
      </c>
      <c r="P12" s="20">
        <v>111.02</v>
      </c>
      <c r="Q12" s="7"/>
      <c r="R12" s="7">
        <v>113.18</v>
      </c>
      <c r="S12" s="20">
        <v>120.18</v>
      </c>
      <c r="T12" s="7"/>
      <c r="U12" s="7">
        <v>123.29</v>
      </c>
      <c r="V12" s="20">
        <v>110.27</v>
      </c>
      <c r="W12" s="7"/>
      <c r="X12" s="7">
        <v>122.97</v>
      </c>
      <c r="Y12" s="20">
        <v>110.32</v>
      </c>
      <c r="Z12" s="7"/>
      <c r="AA12" s="7">
        <v>121.75</v>
      </c>
      <c r="AB12" s="20">
        <v>110.69</v>
      </c>
      <c r="AC12" s="7"/>
      <c r="AD12" s="7">
        <v>120.94</v>
      </c>
      <c r="AE12" s="7">
        <v>111.38</v>
      </c>
      <c r="AF12" s="7"/>
      <c r="AG12" s="7">
        <v>120.75</v>
      </c>
      <c r="AH12" s="20">
        <v>111.09</v>
      </c>
      <c r="AI12" s="7"/>
      <c r="AJ12" s="7">
        <v>120.98</v>
      </c>
      <c r="AK12" s="20">
        <v>111.12</v>
      </c>
      <c r="AL12" s="7"/>
      <c r="AM12" s="7">
        <v>120.72</v>
      </c>
      <c r="AN12" s="20">
        <v>111.34</v>
      </c>
      <c r="AO12" s="7"/>
      <c r="AP12" s="7">
        <v>120.73</v>
      </c>
      <c r="AQ12" s="20">
        <v>111.35</v>
      </c>
      <c r="AR12" s="7"/>
      <c r="AS12" s="7">
        <v>119.835</v>
      </c>
      <c r="AT12" s="20">
        <v>110.98</v>
      </c>
      <c r="AU12" s="7"/>
      <c r="AV12" s="7">
        <v>120.11</v>
      </c>
      <c r="AW12" s="20">
        <v>110.82</v>
      </c>
      <c r="AX12" s="7"/>
      <c r="AY12" s="7">
        <v>120.06</v>
      </c>
      <c r="AZ12" s="20">
        <v>111.23</v>
      </c>
      <c r="BA12" s="7"/>
      <c r="BB12" s="7">
        <v>119.9</v>
      </c>
      <c r="BC12" s="20">
        <v>111.66</v>
      </c>
      <c r="BD12" s="7"/>
      <c r="BE12" s="7">
        <v>119.83</v>
      </c>
      <c r="BF12" s="20">
        <v>111.57</v>
      </c>
      <c r="BG12" s="7"/>
      <c r="BH12" s="7">
        <v>119.33</v>
      </c>
      <c r="BI12" s="20">
        <v>112.03</v>
      </c>
      <c r="BJ12" s="7"/>
      <c r="BK12" s="7">
        <v>118.66</v>
      </c>
      <c r="BL12" s="20">
        <v>112.7</v>
      </c>
      <c r="BM12" s="20"/>
      <c r="BN12" s="7">
        <f aca="true" t="shared" si="0" ref="BN12:BN24">(+C12+F12+I12+L12+O12+R12+U12+X12+AA12+AD12+AG12+AJ12+AM12+AP12+AS12+AV12+AY12+BB12+BE12+BH12+BK12)/21</f>
        <v>121.10214285714285</v>
      </c>
      <c r="BO12" s="7">
        <f aca="true" t="shared" si="1" ref="BO12:BO24">(+D12+G12+J12+M12+P12+S12+V12+Y12+AB12+AE12+AH12+AK12+AN12+AQ12+AT12+AW12+AZ12+BC12+BF12+BI12+BL12)/21</f>
        <v>111.48285714285714</v>
      </c>
      <c r="BP12" s="54"/>
      <c r="BQ12" s="50"/>
      <c r="BR12" s="56"/>
      <c r="BS12" s="54"/>
      <c r="BT12" s="54"/>
      <c r="BU12" s="50"/>
      <c r="BV12" s="50"/>
      <c r="BW12" s="50"/>
      <c r="BX12" s="50"/>
      <c r="BY12" s="55"/>
    </row>
    <row r="13" spans="1:77" ht="15.75">
      <c r="A13" s="18">
        <v>2</v>
      </c>
      <c r="B13" s="19" t="s">
        <v>18</v>
      </c>
      <c r="C13" s="7">
        <f>1/1.5561</f>
        <v>0.64263222157959</v>
      </c>
      <c r="D13" s="20">
        <v>214.19</v>
      </c>
      <c r="E13" s="7"/>
      <c r="F13" s="7">
        <f>1/1.5638</f>
        <v>0.639467962655071</v>
      </c>
      <c r="G13" s="20">
        <v>215.02</v>
      </c>
      <c r="H13" s="7"/>
      <c r="I13" s="7">
        <f>1/1.5707</f>
        <v>0.6366588145412874</v>
      </c>
      <c r="J13" s="20">
        <v>215.09</v>
      </c>
      <c r="K13" s="7"/>
      <c r="L13" s="7">
        <f>1/1.5691</f>
        <v>0.6373080109616979</v>
      </c>
      <c r="M13" s="20">
        <v>214.71</v>
      </c>
      <c r="N13" s="7"/>
      <c r="O13" s="7">
        <f>1/1.5765</f>
        <v>0.6343165239454488</v>
      </c>
      <c r="P13" s="20">
        <v>214.68</v>
      </c>
      <c r="Q13" s="7"/>
      <c r="R13" s="7">
        <f>1/1.5817</f>
        <v>0.632231143706139</v>
      </c>
      <c r="S13" s="20">
        <v>215.15</v>
      </c>
      <c r="T13" s="7"/>
      <c r="U13" s="7">
        <f>1/1.5723</f>
        <v>0.6360109393881574</v>
      </c>
      <c r="V13" s="20">
        <v>213.76</v>
      </c>
      <c r="W13" s="7"/>
      <c r="X13" s="7">
        <f>1/1.5774</f>
        <v>0.6339546088500064</v>
      </c>
      <c r="Y13" s="20">
        <v>213.99</v>
      </c>
      <c r="Z13" s="7"/>
      <c r="AA13" s="7">
        <f>1/1.5893</f>
        <v>0.6292078273453722</v>
      </c>
      <c r="AB13" s="20">
        <v>214.18</v>
      </c>
      <c r="AC13" s="7"/>
      <c r="AD13" s="7">
        <f>1/1.5878</f>
        <v>0.6298022420959818</v>
      </c>
      <c r="AE13" s="7">
        <v>213.89</v>
      </c>
      <c r="AF13" s="7"/>
      <c r="AG13" s="7">
        <f>1/1.5994</f>
        <v>0.6252344629235964</v>
      </c>
      <c r="AH13" s="20">
        <v>214.55</v>
      </c>
      <c r="AI13" s="7"/>
      <c r="AJ13" s="7">
        <f>1/1.5986</f>
        <v>0.6255473539346929</v>
      </c>
      <c r="AK13" s="20">
        <v>214.91</v>
      </c>
      <c r="AL13" s="7"/>
      <c r="AM13" s="7">
        <f>1/1.6047</f>
        <v>0.6231694397706736</v>
      </c>
      <c r="AN13" s="20">
        <v>215.69</v>
      </c>
      <c r="AO13" s="7"/>
      <c r="AP13" s="7">
        <f>1/1.6029</f>
        <v>0.6238692370079232</v>
      </c>
      <c r="AQ13" s="20">
        <v>215.48</v>
      </c>
      <c r="AR13" s="7"/>
      <c r="AS13" s="7">
        <f>1/1.6042</f>
        <v>0.6233636703652911</v>
      </c>
      <c r="AT13" s="20">
        <v>213.36</v>
      </c>
      <c r="AU13" s="7"/>
      <c r="AV13" s="7">
        <f>1/1.592</f>
        <v>0.6281407035175879</v>
      </c>
      <c r="AW13" s="20">
        <v>211.91</v>
      </c>
      <c r="AX13" s="7"/>
      <c r="AY13" s="7">
        <f>1/1.5975</f>
        <v>0.6259780907668232</v>
      </c>
      <c r="AZ13" s="20">
        <v>213.34</v>
      </c>
      <c r="BA13" s="7"/>
      <c r="BB13" s="7">
        <f>1/1.5993</f>
        <v>0.6252735571812669</v>
      </c>
      <c r="BC13" s="20">
        <v>214.11</v>
      </c>
      <c r="BD13" s="7"/>
      <c r="BE13" s="7">
        <f>1/1.6039</f>
        <v>0.6234802668495542</v>
      </c>
      <c r="BF13" s="20">
        <v>214.44</v>
      </c>
      <c r="BG13" s="7"/>
      <c r="BH13" s="7">
        <f>1/1.6031</f>
        <v>0.6237914041544508</v>
      </c>
      <c r="BI13" s="20">
        <v>214.3</v>
      </c>
      <c r="BJ13" s="7"/>
      <c r="BK13" s="7">
        <f>1/1.61</f>
        <v>0.6211180124223602</v>
      </c>
      <c r="BL13" s="20">
        <v>215.31</v>
      </c>
      <c r="BM13" s="20"/>
      <c r="BN13" s="7">
        <f t="shared" si="0"/>
        <v>0.629550309236332</v>
      </c>
      <c r="BO13" s="7">
        <f t="shared" si="1"/>
        <v>214.3838095238096</v>
      </c>
      <c r="BP13" s="54"/>
      <c r="BQ13" s="50"/>
      <c r="BR13" s="56"/>
      <c r="BS13" s="54"/>
      <c r="BT13" s="54"/>
      <c r="BU13" s="50"/>
      <c r="BV13" s="50"/>
      <c r="BW13" s="50"/>
      <c r="BX13" s="50"/>
      <c r="BY13" s="55"/>
    </row>
    <row r="14" spans="1:77" ht="15.75">
      <c r="A14" s="18">
        <v>3</v>
      </c>
      <c r="B14" s="19" t="s">
        <v>19</v>
      </c>
      <c r="C14" s="7">
        <v>1.4875</v>
      </c>
      <c r="D14" s="20">
        <v>92.53</v>
      </c>
      <c r="E14" s="7"/>
      <c r="F14" s="7">
        <v>1.4768</v>
      </c>
      <c r="G14" s="20">
        <v>93.11</v>
      </c>
      <c r="H14" s="7"/>
      <c r="I14" s="7">
        <v>1.4703</v>
      </c>
      <c r="J14" s="20">
        <v>93.14</v>
      </c>
      <c r="K14" s="7"/>
      <c r="L14" s="7">
        <v>1.4701</v>
      </c>
      <c r="M14" s="20">
        <v>93.08</v>
      </c>
      <c r="N14" s="7"/>
      <c r="O14" s="7">
        <v>1.4595</v>
      </c>
      <c r="P14" s="20">
        <v>93.3</v>
      </c>
      <c r="Q14" s="7"/>
      <c r="R14" s="7">
        <v>1.4543</v>
      </c>
      <c r="S14" s="20">
        <v>93.53</v>
      </c>
      <c r="T14" s="7"/>
      <c r="U14" s="7">
        <v>1.4611</v>
      </c>
      <c r="V14" s="20">
        <v>93.05</v>
      </c>
      <c r="W14" s="7"/>
      <c r="X14" s="7">
        <v>1.4553</v>
      </c>
      <c r="Y14" s="20">
        <v>93.22</v>
      </c>
      <c r="Z14" s="7"/>
      <c r="AA14" s="7">
        <v>1.4428</v>
      </c>
      <c r="AB14" s="20">
        <v>93.4</v>
      </c>
      <c r="AC14" s="7"/>
      <c r="AD14" s="7">
        <v>1.4446</v>
      </c>
      <c r="AE14" s="7">
        <v>93.25</v>
      </c>
      <c r="AF14" s="7"/>
      <c r="AG14" s="7">
        <v>1.4273</v>
      </c>
      <c r="AH14" s="20">
        <v>93.99</v>
      </c>
      <c r="AI14" s="7"/>
      <c r="AJ14" s="7">
        <v>1.4289</v>
      </c>
      <c r="AK14" s="20">
        <v>94.08</v>
      </c>
      <c r="AL14" s="7"/>
      <c r="AM14" s="7">
        <v>1.4231</v>
      </c>
      <c r="AN14" s="20">
        <v>94.45</v>
      </c>
      <c r="AO14" s="7"/>
      <c r="AP14" s="7">
        <v>1.4247</v>
      </c>
      <c r="AQ14" s="20">
        <v>94.36</v>
      </c>
      <c r="AR14" s="7"/>
      <c r="AS14" s="7">
        <v>1.4137</v>
      </c>
      <c r="AT14" s="20">
        <v>94.08</v>
      </c>
      <c r="AU14" s="7"/>
      <c r="AV14" s="7">
        <v>1.4145</v>
      </c>
      <c r="AW14" s="20">
        <v>94.1</v>
      </c>
      <c r="AX14" s="7"/>
      <c r="AY14" s="7">
        <v>1.4016</v>
      </c>
      <c r="AZ14" s="20">
        <v>95.28</v>
      </c>
      <c r="BA14" s="7"/>
      <c r="BB14" s="7">
        <v>1.4011</v>
      </c>
      <c r="BC14" s="20">
        <v>95.55</v>
      </c>
      <c r="BD14" s="7"/>
      <c r="BE14" s="7">
        <v>1.3901</v>
      </c>
      <c r="BF14" s="20">
        <v>96.18</v>
      </c>
      <c r="BG14" s="7"/>
      <c r="BH14" s="7">
        <v>1.394</v>
      </c>
      <c r="BI14" s="20">
        <v>95.9</v>
      </c>
      <c r="BJ14" s="7"/>
      <c r="BK14" s="7">
        <v>1.3856</v>
      </c>
      <c r="BL14" s="20">
        <v>96.52</v>
      </c>
      <c r="BM14" s="20"/>
      <c r="BN14" s="7">
        <f t="shared" si="0"/>
        <v>1.4346142857142854</v>
      </c>
      <c r="BO14" s="7">
        <f t="shared" si="1"/>
        <v>94.09999999999998</v>
      </c>
      <c r="BP14" s="54"/>
      <c r="BQ14" s="50"/>
      <c r="BR14" s="56"/>
      <c r="BS14" s="54"/>
      <c r="BT14" s="54"/>
      <c r="BU14" s="50"/>
      <c r="BV14" s="50"/>
      <c r="BW14" s="50"/>
      <c r="BX14" s="50"/>
      <c r="BY14" s="55"/>
    </row>
    <row r="15" spans="1:77" ht="15.75">
      <c r="A15" s="18">
        <v>4</v>
      </c>
      <c r="B15" s="19" t="s">
        <v>24</v>
      </c>
      <c r="C15" s="7">
        <f>1/0.9924</f>
        <v>1.0076582023377672</v>
      </c>
      <c r="D15" s="20">
        <v>136.6</v>
      </c>
      <c r="E15" s="7"/>
      <c r="F15" s="7">
        <f>1/0.997</f>
        <v>1.0030090270812437</v>
      </c>
      <c r="G15" s="20">
        <v>137.09</v>
      </c>
      <c r="H15" s="7"/>
      <c r="I15" s="7">
        <f>1/1.0005</f>
        <v>0.9995002498750625</v>
      </c>
      <c r="J15" s="20">
        <v>137.01</v>
      </c>
      <c r="K15" s="7"/>
      <c r="L15" s="7">
        <f>1/1.004</f>
        <v>0.9960159362549801</v>
      </c>
      <c r="M15" s="20">
        <v>137.38</v>
      </c>
      <c r="N15" s="7"/>
      <c r="O15" s="7">
        <f>1/1.0094</f>
        <v>0.9906875371507826</v>
      </c>
      <c r="P15" s="20">
        <v>137.46</v>
      </c>
      <c r="Q15" s="7"/>
      <c r="R15" s="7">
        <f>1/1.0129</f>
        <v>0.9872642906506073</v>
      </c>
      <c r="S15" s="20">
        <v>137.78</v>
      </c>
      <c r="T15" s="7"/>
      <c r="U15" s="7">
        <f>1/1.0084</f>
        <v>0.9916699722332408</v>
      </c>
      <c r="V15" s="20">
        <v>137.09</v>
      </c>
      <c r="W15" s="7"/>
      <c r="X15" s="7">
        <f>1/1.0135</f>
        <v>0.9866798223976319</v>
      </c>
      <c r="Y15" s="20">
        <v>137.49</v>
      </c>
      <c r="Z15" s="7"/>
      <c r="AA15" s="7">
        <f>1/1.0234</f>
        <v>0.9771350400625366</v>
      </c>
      <c r="AB15" s="20">
        <v>137.92</v>
      </c>
      <c r="AC15" s="7"/>
      <c r="AD15" s="7">
        <f>1/1.022</f>
        <v>0.9784735812133072</v>
      </c>
      <c r="AE15" s="7">
        <v>137.67</v>
      </c>
      <c r="AF15" s="7"/>
      <c r="AG15" s="7">
        <f>1/1.0316</f>
        <v>0.9693679720822024</v>
      </c>
      <c r="AH15" s="20">
        <v>138.38</v>
      </c>
      <c r="AI15" s="7"/>
      <c r="AJ15" s="7">
        <f>1/1.027</f>
        <v>0.9737098344693282</v>
      </c>
      <c r="AK15" s="20">
        <v>138.06</v>
      </c>
      <c r="AL15" s="7"/>
      <c r="AM15" s="24">
        <f>1/1.0273</f>
        <v>0.9734254842791783</v>
      </c>
      <c r="AN15" s="20">
        <v>138.08</v>
      </c>
      <c r="AO15" s="7"/>
      <c r="AP15" s="24">
        <f>1/1.0255</f>
        <v>0.9751340809361286</v>
      </c>
      <c r="AQ15" s="20">
        <v>137.86</v>
      </c>
      <c r="AR15" s="7"/>
      <c r="AS15" s="7">
        <f>1/1.0307</f>
        <v>0.9702144173862424</v>
      </c>
      <c r="AT15" s="20">
        <v>137.08</v>
      </c>
      <c r="AU15" s="7"/>
      <c r="AV15" s="7">
        <f>1/1.0282</f>
        <v>0.9725734292939117</v>
      </c>
      <c r="AW15" s="20">
        <v>136.86</v>
      </c>
      <c r="AX15" s="7"/>
      <c r="AY15" s="7">
        <f>1/1.0351</f>
        <v>0.9660902328277462</v>
      </c>
      <c r="AZ15" s="20">
        <v>138.23</v>
      </c>
      <c r="BA15" s="7"/>
      <c r="BB15" s="7">
        <f>1/1.0376</f>
        <v>0.9637625289128758</v>
      </c>
      <c r="BC15" s="20">
        <v>138.91</v>
      </c>
      <c r="BD15" s="7"/>
      <c r="BE15" s="7">
        <f>1/1.0435</f>
        <v>0.9583133684714901</v>
      </c>
      <c r="BF15" s="20">
        <v>139.51</v>
      </c>
      <c r="BG15" s="7"/>
      <c r="BH15" s="7">
        <f>1/1.042</f>
        <v>0.9596928982725528</v>
      </c>
      <c r="BI15" s="20">
        <v>139.3</v>
      </c>
      <c r="BJ15" s="7"/>
      <c r="BK15" s="7">
        <f>1/1.0482</f>
        <v>0.9540164090822362</v>
      </c>
      <c r="BL15" s="20">
        <v>140.18</v>
      </c>
      <c r="BM15" s="20"/>
      <c r="BN15" s="7">
        <f t="shared" si="0"/>
        <v>0.9787806816795742</v>
      </c>
      <c r="BO15" s="7">
        <f t="shared" si="1"/>
        <v>137.90190476190477</v>
      </c>
      <c r="BP15" s="54"/>
      <c r="BQ15" s="50"/>
      <c r="BR15" s="56"/>
      <c r="BS15" s="54"/>
      <c r="BT15" s="54"/>
      <c r="BU15" s="50"/>
      <c r="BV15" s="50"/>
      <c r="BW15" s="50"/>
      <c r="BX15" s="50"/>
      <c r="BY15" s="55"/>
    </row>
    <row r="16" spans="1:77" ht="15.75">
      <c r="A16" s="18">
        <v>5</v>
      </c>
      <c r="B16" s="19" t="s">
        <v>25</v>
      </c>
      <c r="C16" s="7">
        <v>317.35</v>
      </c>
      <c r="D16" s="20">
        <v>43681.05</v>
      </c>
      <c r="E16" s="7"/>
      <c r="F16" s="7">
        <v>317.5</v>
      </c>
      <c r="G16" s="20">
        <v>43655.65</v>
      </c>
      <c r="H16" s="7"/>
      <c r="I16" s="7">
        <v>320.65</v>
      </c>
      <c r="J16" s="20">
        <v>43910.01</v>
      </c>
      <c r="K16" s="7"/>
      <c r="L16" s="7">
        <v>325.3</v>
      </c>
      <c r="M16" s="20">
        <v>44512.43</v>
      </c>
      <c r="N16" s="7"/>
      <c r="O16" s="7">
        <v>325.3</v>
      </c>
      <c r="P16" s="20">
        <v>44298.13</v>
      </c>
      <c r="Q16" s="7"/>
      <c r="R16" s="7">
        <v>325.9</v>
      </c>
      <c r="S16" s="20">
        <v>44330.55</v>
      </c>
      <c r="T16" s="7"/>
      <c r="U16" s="7">
        <v>323.6</v>
      </c>
      <c r="V16" s="20">
        <v>43994.23</v>
      </c>
      <c r="W16" s="7"/>
      <c r="X16" s="7">
        <v>326.4</v>
      </c>
      <c r="Y16" s="20">
        <v>44279.22</v>
      </c>
      <c r="Z16" s="7"/>
      <c r="AA16" s="7">
        <v>333.25</v>
      </c>
      <c r="AB16" s="20">
        <v>44910.02</v>
      </c>
      <c r="AC16" s="7"/>
      <c r="AD16" s="7">
        <v>332.4</v>
      </c>
      <c r="AE16" s="7">
        <v>44776.77</v>
      </c>
      <c r="AF16" s="7"/>
      <c r="AG16" s="7">
        <v>340.75</v>
      </c>
      <c r="AH16" s="20">
        <v>45710.12</v>
      </c>
      <c r="AI16" s="7"/>
      <c r="AJ16" s="7">
        <v>336.75</v>
      </c>
      <c r="AK16" s="20">
        <v>45270.99</v>
      </c>
      <c r="AL16" s="7"/>
      <c r="AM16" s="7">
        <v>347</v>
      </c>
      <c r="AN16" s="20">
        <v>46641.57</v>
      </c>
      <c r="AO16" s="7"/>
      <c r="AP16" s="7">
        <v>342.75</v>
      </c>
      <c r="AQ16" s="20">
        <v>46075.88</v>
      </c>
      <c r="AR16" s="7"/>
      <c r="AS16" s="7">
        <v>343.75</v>
      </c>
      <c r="AT16" s="20">
        <v>45718.11</v>
      </c>
      <c r="AU16" s="7"/>
      <c r="AV16" s="7">
        <v>345.1</v>
      </c>
      <c r="AW16" s="20">
        <v>45936.48</v>
      </c>
      <c r="AX16" s="7"/>
      <c r="AY16" s="7">
        <v>345.5</v>
      </c>
      <c r="AZ16" s="20">
        <v>46139.58</v>
      </c>
      <c r="BA16" s="7"/>
      <c r="BB16" s="7">
        <v>347.75</v>
      </c>
      <c r="BC16" s="20">
        <v>46556.77</v>
      </c>
      <c r="BD16" s="7"/>
      <c r="BE16" s="7">
        <v>348.9</v>
      </c>
      <c r="BF16" s="20">
        <v>46646.77</v>
      </c>
      <c r="BG16" s="7"/>
      <c r="BH16" s="7">
        <v>348.25</v>
      </c>
      <c r="BI16" s="20">
        <v>46554.5</v>
      </c>
      <c r="BJ16" s="7"/>
      <c r="BK16" s="7">
        <v>342.5</v>
      </c>
      <c r="BL16" s="20">
        <v>45804.45</v>
      </c>
      <c r="BM16" s="20"/>
      <c r="BN16" s="7">
        <f t="shared" si="0"/>
        <v>335.0785714285714</v>
      </c>
      <c r="BO16" s="7">
        <f t="shared" si="1"/>
        <v>45209.67999999999</v>
      </c>
      <c r="BP16" s="54"/>
      <c r="BQ16" s="50"/>
      <c r="BR16" s="56"/>
      <c r="BS16" s="54"/>
      <c r="BT16" s="54"/>
      <c r="BU16" s="50"/>
      <c r="BV16" s="50"/>
      <c r="BW16" s="50"/>
      <c r="BX16" s="50"/>
      <c r="BY16" s="55"/>
    </row>
    <row r="17" spans="1:77" ht="15.75">
      <c r="A17" s="18">
        <v>6</v>
      </c>
      <c r="B17" s="25" t="s">
        <v>26</v>
      </c>
      <c r="C17" s="7">
        <v>4.42</v>
      </c>
      <c r="D17" s="20">
        <v>608.38</v>
      </c>
      <c r="E17" s="7"/>
      <c r="F17" s="7">
        <v>4.43</v>
      </c>
      <c r="G17" s="20">
        <v>609.12</v>
      </c>
      <c r="H17" s="7"/>
      <c r="I17" s="7">
        <v>4.56</v>
      </c>
      <c r="J17" s="20">
        <v>624.45</v>
      </c>
      <c r="K17" s="7"/>
      <c r="L17" s="7">
        <v>4.65</v>
      </c>
      <c r="M17" s="20">
        <v>636.28</v>
      </c>
      <c r="N17" s="7"/>
      <c r="O17" s="7">
        <v>4.63</v>
      </c>
      <c r="P17" s="20">
        <v>630.5</v>
      </c>
      <c r="Q17" s="7"/>
      <c r="R17" s="7">
        <v>4.58</v>
      </c>
      <c r="S17" s="20">
        <v>622.99</v>
      </c>
      <c r="T17" s="7"/>
      <c r="U17" s="7">
        <v>4.6</v>
      </c>
      <c r="V17" s="20">
        <v>625.38</v>
      </c>
      <c r="W17" s="7"/>
      <c r="X17" s="7">
        <v>4.64</v>
      </c>
      <c r="Y17" s="20">
        <v>629.46</v>
      </c>
      <c r="Z17" s="7"/>
      <c r="AA17" s="7">
        <v>4.75</v>
      </c>
      <c r="AB17" s="20">
        <v>640.13</v>
      </c>
      <c r="AC17" s="7"/>
      <c r="AD17" s="7">
        <v>4.69</v>
      </c>
      <c r="AE17" s="7">
        <v>631.78</v>
      </c>
      <c r="AF17" s="7"/>
      <c r="AG17" s="7">
        <v>4.74</v>
      </c>
      <c r="AH17" s="20">
        <v>635.85</v>
      </c>
      <c r="AI17" s="7"/>
      <c r="AJ17" s="7">
        <v>4.62</v>
      </c>
      <c r="AK17" s="20">
        <v>621.09</v>
      </c>
      <c r="AL17" s="7"/>
      <c r="AM17" s="7">
        <v>4.7</v>
      </c>
      <c r="AN17" s="20">
        <v>631.74</v>
      </c>
      <c r="AO17" s="7"/>
      <c r="AP17" s="7">
        <v>4.66</v>
      </c>
      <c r="AQ17" s="20">
        <v>626.44</v>
      </c>
      <c r="AR17" s="7"/>
      <c r="AS17" s="7">
        <v>4.65</v>
      </c>
      <c r="AT17" s="20">
        <v>618.44</v>
      </c>
      <c r="AU17" s="7"/>
      <c r="AV17" s="7">
        <v>4.64</v>
      </c>
      <c r="AW17" s="20">
        <v>617.63</v>
      </c>
      <c r="AX17" s="7"/>
      <c r="AY17" s="7">
        <v>4.64</v>
      </c>
      <c r="AZ17" s="20">
        <v>619.65</v>
      </c>
      <c r="BA17" s="7"/>
      <c r="BB17" s="7">
        <v>4.68</v>
      </c>
      <c r="BC17" s="20">
        <v>626.56</v>
      </c>
      <c r="BD17" s="7"/>
      <c r="BE17" s="7">
        <v>4.7</v>
      </c>
      <c r="BF17" s="20">
        <v>628.37</v>
      </c>
      <c r="BG17" s="7"/>
      <c r="BH17" s="7">
        <v>4.73</v>
      </c>
      <c r="BI17" s="20">
        <v>632.31</v>
      </c>
      <c r="BJ17" s="7"/>
      <c r="BK17" s="7">
        <v>4.65</v>
      </c>
      <c r="BL17" s="20">
        <v>621.87</v>
      </c>
      <c r="BM17" s="20"/>
      <c r="BN17" s="7">
        <f t="shared" si="0"/>
        <v>4.636190476190476</v>
      </c>
      <c r="BO17" s="7">
        <f t="shared" si="1"/>
        <v>625.6390476190476</v>
      </c>
      <c r="BP17" s="54"/>
      <c r="BQ17" s="50"/>
      <c r="BR17" s="56"/>
      <c r="BS17" s="54"/>
      <c r="BT17" s="54"/>
      <c r="BU17" s="50"/>
      <c r="BV17" s="50"/>
      <c r="BW17" s="50"/>
      <c r="BX17" s="50"/>
      <c r="BY17" s="55"/>
    </row>
    <row r="18" spans="1:77" ht="15.75">
      <c r="A18" s="18">
        <v>7</v>
      </c>
      <c r="B18" s="19" t="s">
        <v>27</v>
      </c>
      <c r="C18" s="7">
        <f>1/0.5616</f>
        <v>1.7806267806267806</v>
      </c>
      <c r="D18" s="20">
        <v>77.3</v>
      </c>
      <c r="E18" s="7"/>
      <c r="F18" s="7">
        <f>1/0.56</f>
        <v>1.7857142857142856</v>
      </c>
      <c r="G18" s="20">
        <v>77</v>
      </c>
      <c r="H18" s="7"/>
      <c r="I18" s="7">
        <f>1/0.561</f>
        <v>1.7825311942959</v>
      </c>
      <c r="J18" s="20">
        <v>76.82</v>
      </c>
      <c r="K18" s="7"/>
      <c r="L18" s="7">
        <f>1/0.5601</f>
        <v>1.7853954650955186</v>
      </c>
      <c r="M18" s="20">
        <v>76.64</v>
      </c>
      <c r="N18" s="7"/>
      <c r="O18" s="7">
        <f>1/0.5626</f>
        <v>1.7774617845716318</v>
      </c>
      <c r="P18" s="20">
        <v>76.61</v>
      </c>
      <c r="Q18" s="7"/>
      <c r="R18" s="7">
        <f>1/0.5633</f>
        <v>1.7752529735487306</v>
      </c>
      <c r="S18" s="20">
        <v>76.62</v>
      </c>
      <c r="T18" s="7"/>
      <c r="U18" s="7">
        <f>1/0.56</f>
        <v>1.7857142857142856</v>
      </c>
      <c r="V18" s="20">
        <v>76.13</v>
      </c>
      <c r="W18" s="7"/>
      <c r="X18" s="7">
        <f>1/0.5637</f>
        <v>1.7739932588256164</v>
      </c>
      <c r="Y18" s="20">
        <v>76.47</v>
      </c>
      <c r="Z18" s="7"/>
      <c r="AA18" s="7">
        <f>1/0.5676</f>
        <v>1.7618040873854828</v>
      </c>
      <c r="AB18" s="20">
        <v>76.49</v>
      </c>
      <c r="AC18" s="7"/>
      <c r="AD18" s="7">
        <f>1/0.5656</f>
        <v>1.768033946251768</v>
      </c>
      <c r="AE18" s="7">
        <v>76.19</v>
      </c>
      <c r="AF18" s="7"/>
      <c r="AG18" s="7">
        <f>1/0.5678</f>
        <v>1.7611835153222968</v>
      </c>
      <c r="AH18" s="20">
        <v>76.17</v>
      </c>
      <c r="AI18" s="7"/>
      <c r="AJ18" s="7">
        <f>1/0.565</f>
        <v>1.7699115044247788</v>
      </c>
      <c r="AK18" s="20">
        <v>75.96</v>
      </c>
      <c r="AL18" s="7"/>
      <c r="AM18" s="7">
        <f>1/0.5649</f>
        <v>1.7702248185519562</v>
      </c>
      <c r="AN18" s="20">
        <v>75.93</v>
      </c>
      <c r="AO18" s="7"/>
      <c r="AP18" s="7">
        <f>1/0.5649</f>
        <v>1.7702248185519562</v>
      </c>
      <c r="AQ18" s="20">
        <v>75.94</v>
      </c>
      <c r="AR18" s="7"/>
      <c r="AS18" s="7">
        <f>1/0.5638</f>
        <v>1.7736786094359702</v>
      </c>
      <c r="AT18" s="20">
        <v>74.98</v>
      </c>
      <c r="AU18" s="7"/>
      <c r="AV18" s="7">
        <f>1/0.563</f>
        <v>1.7761989342806397</v>
      </c>
      <c r="AW18" s="20">
        <v>74.94</v>
      </c>
      <c r="AX18" s="7"/>
      <c r="AY18" s="7">
        <f>1/0.564</f>
        <v>1.773049645390071</v>
      </c>
      <c r="AZ18" s="20">
        <v>75.32</v>
      </c>
      <c r="BA18" s="7"/>
      <c r="BB18" s="7">
        <f>1/0.5621</f>
        <v>1.7790428749332858</v>
      </c>
      <c r="BC18" s="20">
        <v>75.25</v>
      </c>
      <c r="BD18" s="7"/>
      <c r="BE18" s="7">
        <f>1/0.5611</f>
        <v>1.7822135091783995</v>
      </c>
      <c r="BF18" s="20">
        <v>75.02</v>
      </c>
      <c r="BG18" s="7"/>
      <c r="BH18" s="7">
        <f>1/0.563</f>
        <v>1.7761989342806397</v>
      </c>
      <c r="BI18" s="20">
        <v>75.26</v>
      </c>
      <c r="BJ18" s="7"/>
      <c r="BK18" s="7">
        <f>1/0.5652</f>
        <v>1.7692852087756545</v>
      </c>
      <c r="BL18" s="20">
        <v>75.59</v>
      </c>
      <c r="BM18" s="20"/>
      <c r="BN18" s="7">
        <f t="shared" si="0"/>
        <v>1.7751304969121737</v>
      </c>
      <c r="BO18" s="7">
        <f t="shared" si="1"/>
        <v>76.03</v>
      </c>
      <c r="BP18" s="54"/>
      <c r="BQ18" s="50"/>
      <c r="BR18" s="56"/>
      <c r="BS18" s="54"/>
      <c r="BT18" s="54"/>
      <c r="BU18" s="50"/>
      <c r="BV18" s="50"/>
      <c r="BW18" s="50"/>
      <c r="BX18" s="50"/>
      <c r="BY18" s="55"/>
    </row>
    <row r="19" spans="1:77" ht="15.75">
      <c r="A19" s="18">
        <v>8</v>
      </c>
      <c r="B19" s="19" t="s">
        <v>28</v>
      </c>
      <c r="C19" s="7">
        <v>1.5619</v>
      </c>
      <c r="D19" s="20">
        <v>88.13</v>
      </c>
      <c r="E19" s="7"/>
      <c r="F19" s="7">
        <v>1.5579</v>
      </c>
      <c r="G19" s="20">
        <v>88.26</v>
      </c>
      <c r="H19" s="7"/>
      <c r="I19" s="7">
        <v>1.5599</v>
      </c>
      <c r="J19" s="20">
        <v>87.79</v>
      </c>
      <c r="K19" s="7"/>
      <c r="L19" s="7">
        <v>1.5587</v>
      </c>
      <c r="M19" s="20">
        <v>87.79</v>
      </c>
      <c r="N19" s="7"/>
      <c r="O19" s="7">
        <v>1.5615</v>
      </c>
      <c r="P19" s="20">
        <v>87.21</v>
      </c>
      <c r="Q19" s="7"/>
      <c r="R19" s="7">
        <v>1.5606</v>
      </c>
      <c r="S19" s="20">
        <v>87.16</v>
      </c>
      <c r="T19" s="7"/>
      <c r="U19" s="7">
        <v>1.5587</v>
      </c>
      <c r="V19" s="20">
        <v>87.22</v>
      </c>
      <c r="W19" s="7"/>
      <c r="X19" s="7">
        <v>1.555</v>
      </c>
      <c r="Y19" s="20">
        <v>87.24</v>
      </c>
      <c r="Z19" s="7"/>
      <c r="AA19" s="7">
        <v>1.5528</v>
      </c>
      <c r="AB19" s="20">
        <v>86.79</v>
      </c>
      <c r="AC19" s="7"/>
      <c r="AD19" s="7">
        <v>1.5591</v>
      </c>
      <c r="AE19" s="7">
        <v>86.4</v>
      </c>
      <c r="AF19" s="7"/>
      <c r="AG19" s="7">
        <v>1.5571</v>
      </c>
      <c r="AH19" s="20">
        <v>86.15</v>
      </c>
      <c r="AI19" s="7"/>
      <c r="AJ19" s="7">
        <v>1.5508</v>
      </c>
      <c r="AK19" s="20">
        <v>86.69</v>
      </c>
      <c r="AL19" s="7"/>
      <c r="AM19" s="7">
        <v>1.5541</v>
      </c>
      <c r="AN19" s="20">
        <v>86.49</v>
      </c>
      <c r="AO19" s="7"/>
      <c r="AP19" s="7">
        <v>1.549</v>
      </c>
      <c r="AQ19" s="20">
        <v>86.79</v>
      </c>
      <c r="AR19" s="7"/>
      <c r="AS19" s="7">
        <v>1.5511</v>
      </c>
      <c r="AT19" s="20">
        <v>85.74</v>
      </c>
      <c r="AU19" s="7"/>
      <c r="AV19" s="7">
        <v>1.5502</v>
      </c>
      <c r="AW19" s="20">
        <v>85.87</v>
      </c>
      <c r="AX19" s="7"/>
      <c r="AY19" s="7">
        <v>1.5478</v>
      </c>
      <c r="AZ19" s="20">
        <v>86.28</v>
      </c>
      <c r="BA19" s="7"/>
      <c r="BB19" s="7">
        <v>1.5601</v>
      </c>
      <c r="BC19" s="20">
        <v>85.82</v>
      </c>
      <c r="BD19" s="7"/>
      <c r="BE19" s="7">
        <v>1.5679</v>
      </c>
      <c r="BF19" s="20">
        <v>85.27</v>
      </c>
      <c r="BG19" s="7"/>
      <c r="BH19" s="7">
        <v>1.5692</v>
      </c>
      <c r="BI19" s="20">
        <v>85.19</v>
      </c>
      <c r="BJ19" s="7"/>
      <c r="BK19" s="7">
        <v>1.5785</v>
      </c>
      <c r="BL19" s="20">
        <v>84.72</v>
      </c>
      <c r="BM19" s="20"/>
      <c r="BN19" s="7">
        <f t="shared" si="0"/>
        <v>1.5581857142857143</v>
      </c>
      <c r="BO19" s="7">
        <f t="shared" si="1"/>
        <v>86.6190476190476</v>
      </c>
      <c r="BP19" s="54"/>
      <c r="BQ19" s="50"/>
      <c r="BR19" s="56"/>
      <c r="BS19" s="54"/>
      <c r="BT19" s="54"/>
      <c r="BU19" s="50"/>
      <c r="BV19" s="50"/>
      <c r="BW19" s="50"/>
      <c r="BX19" s="50"/>
      <c r="BY19" s="55"/>
    </row>
    <row r="20" spans="1:77" ht="15.75">
      <c r="A20" s="18">
        <v>9</v>
      </c>
      <c r="B20" s="19" t="s">
        <v>31</v>
      </c>
      <c r="C20" s="7">
        <v>9.0769</v>
      </c>
      <c r="D20" s="20">
        <v>15.16</v>
      </c>
      <c r="E20" s="7"/>
      <c r="F20" s="7">
        <v>9.0445</v>
      </c>
      <c r="G20" s="20">
        <v>15.2</v>
      </c>
      <c r="H20" s="7"/>
      <c r="I20" s="7">
        <v>9.0407</v>
      </c>
      <c r="J20" s="20">
        <v>15.15</v>
      </c>
      <c r="K20" s="7"/>
      <c r="L20" s="7">
        <v>9.0439</v>
      </c>
      <c r="M20" s="20">
        <v>15.13</v>
      </c>
      <c r="N20" s="7"/>
      <c r="O20" s="7">
        <v>8.9838</v>
      </c>
      <c r="P20" s="20">
        <v>15.16</v>
      </c>
      <c r="Q20" s="7"/>
      <c r="R20" s="7">
        <v>8.9764</v>
      </c>
      <c r="S20" s="20">
        <v>15.15</v>
      </c>
      <c r="T20" s="7"/>
      <c r="U20" s="7">
        <v>8.9981</v>
      </c>
      <c r="V20" s="20">
        <v>15.11</v>
      </c>
      <c r="W20" s="7"/>
      <c r="X20" s="7">
        <v>8.9658</v>
      </c>
      <c r="Y20" s="20">
        <v>15.13</v>
      </c>
      <c r="Z20" s="7"/>
      <c r="AA20" s="7">
        <v>8.9165</v>
      </c>
      <c r="AB20" s="20">
        <v>15.11</v>
      </c>
      <c r="AC20" s="7"/>
      <c r="AD20" s="7">
        <v>8.9219</v>
      </c>
      <c r="AE20" s="7">
        <v>15.1</v>
      </c>
      <c r="AF20" s="7"/>
      <c r="AG20" s="7">
        <v>8.8127</v>
      </c>
      <c r="AH20" s="20">
        <v>15.22</v>
      </c>
      <c r="AI20" s="7"/>
      <c r="AJ20" s="7">
        <v>8.8471</v>
      </c>
      <c r="AK20" s="20">
        <v>15.2</v>
      </c>
      <c r="AL20" s="7"/>
      <c r="AM20" s="7">
        <v>8.8504</v>
      </c>
      <c r="AN20" s="20">
        <v>15.19</v>
      </c>
      <c r="AO20" s="7"/>
      <c r="AP20" s="7">
        <v>8.8885</v>
      </c>
      <c r="AQ20" s="20">
        <v>15.12</v>
      </c>
      <c r="AR20" s="7"/>
      <c r="AS20" s="7">
        <v>8.8632</v>
      </c>
      <c r="AT20" s="20">
        <v>15.01</v>
      </c>
      <c r="AU20" s="7"/>
      <c r="AV20" s="7">
        <v>8.8681</v>
      </c>
      <c r="AW20" s="20">
        <v>15.01</v>
      </c>
      <c r="AX20" s="7"/>
      <c r="AY20" s="7">
        <v>8.832</v>
      </c>
      <c r="AZ20" s="20">
        <v>15.12</v>
      </c>
      <c r="BA20" s="7"/>
      <c r="BB20" s="7">
        <v>8.8182</v>
      </c>
      <c r="BC20" s="20">
        <v>15.18</v>
      </c>
      <c r="BD20" s="7"/>
      <c r="BE20" s="7">
        <v>8.7855</v>
      </c>
      <c r="BF20" s="20">
        <v>15.22</v>
      </c>
      <c r="BG20" s="7"/>
      <c r="BH20" s="7">
        <v>8.8</v>
      </c>
      <c r="BI20" s="20">
        <v>15.19</v>
      </c>
      <c r="BJ20" s="7"/>
      <c r="BK20" s="7">
        <v>8.7475</v>
      </c>
      <c r="BL20" s="20">
        <v>15.29</v>
      </c>
      <c r="BM20" s="20"/>
      <c r="BN20" s="7">
        <f t="shared" si="0"/>
        <v>8.90865238095238</v>
      </c>
      <c r="BO20" s="7">
        <f t="shared" si="1"/>
        <v>15.150000000000002</v>
      </c>
      <c r="BP20" s="54"/>
      <c r="BQ20" s="50"/>
      <c r="BR20" s="56"/>
      <c r="BS20" s="54"/>
      <c r="BT20" s="54"/>
      <c r="BU20" s="50"/>
      <c r="BV20" s="50"/>
      <c r="BW20" s="50"/>
      <c r="BX20" s="50"/>
      <c r="BY20" s="55"/>
    </row>
    <row r="21" spans="1:77" ht="15.75">
      <c r="A21" s="18">
        <v>10</v>
      </c>
      <c r="B21" s="19" t="s">
        <v>32</v>
      </c>
      <c r="C21" s="7">
        <v>7.3244</v>
      </c>
      <c r="D21" s="20">
        <v>18.79</v>
      </c>
      <c r="E21" s="7"/>
      <c r="F21" s="7">
        <v>7.2926</v>
      </c>
      <c r="G21" s="20">
        <v>18.85</v>
      </c>
      <c r="H21" s="7"/>
      <c r="I21" s="7">
        <v>7.2617</v>
      </c>
      <c r="J21" s="20">
        <v>18.86</v>
      </c>
      <c r="K21" s="7"/>
      <c r="L21" s="7">
        <v>7.257</v>
      </c>
      <c r="M21" s="20">
        <v>18.86</v>
      </c>
      <c r="N21" s="7"/>
      <c r="O21" s="7">
        <v>7.2424</v>
      </c>
      <c r="P21" s="20">
        <v>18.8</v>
      </c>
      <c r="Q21" s="7"/>
      <c r="R21" s="7">
        <v>7.2308</v>
      </c>
      <c r="S21" s="20">
        <v>18.81</v>
      </c>
      <c r="T21" s="7"/>
      <c r="U21" s="7">
        <v>7.2802</v>
      </c>
      <c r="V21" s="20">
        <v>18.67</v>
      </c>
      <c r="W21" s="7"/>
      <c r="X21" s="7">
        <v>7.2599</v>
      </c>
      <c r="Y21" s="20">
        <v>18.69</v>
      </c>
      <c r="Z21" s="7"/>
      <c r="AA21" s="7">
        <v>7.1616</v>
      </c>
      <c r="AB21" s="20">
        <v>18.82</v>
      </c>
      <c r="AC21" s="7"/>
      <c r="AD21" s="7">
        <v>7.1575</v>
      </c>
      <c r="AE21" s="7">
        <v>18.82</v>
      </c>
      <c r="AF21" s="7"/>
      <c r="AG21" s="7">
        <v>7.0667</v>
      </c>
      <c r="AH21" s="20">
        <v>18.98</v>
      </c>
      <c r="AI21" s="7"/>
      <c r="AJ21" s="7">
        <v>7.125</v>
      </c>
      <c r="AK21" s="20">
        <v>18.87</v>
      </c>
      <c r="AL21" s="7"/>
      <c r="AM21" s="7">
        <v>7.1066</v>
      </c>
      <c r="AN21" s="20">
        <v>18.91</v>
      </c>
      <c r="AO21" s="7"/>
      <c r="AP21" s="7">
        <v>7.1045</v>
      </c>
      <c r="AQ21" s="20">
        <v>18.92</v>
      </c>
      <c r="AR21" s="7"/>
      <c r="AS21" s="7">
        <v>7.063</v>
      </c>
      <c r="AT21" s="20">
        <v>18.83</v>
      </c>
      <c r="AU21" s="7"/>
      <c r="AV21" s="7">
        <v>7.0803</v>
      </c>
      <c r="AW21" s="20">
        <v>18.8</v>
      </c>
      <c r="AX21" s="7"/>
      <c r="AY21" s="7">
        <v>7.0118</v>
      </c>
      <c r="AZ21" s="20">
        <v>19.05</v>
      </c>
      <c r="BA21" s="7"/>
      <c r="BB21" s="7">
        <v>7.0262</v>
      </c>
      <c r="BC21" s="20">
        <v>19.05</v>
      </c>
      <c r="BD21" s="7"/>
      <c r="BE21" s="7">
        <v>6.9738</v>
      </c>
      <c r="BF21" s="20">
        <v>19.17</v>
      </c>
      <c r="BG21" s="7"/>
      <c r="BH21" s="7">
        <v>6.986</v>
      </c>
      <c r="BI21" s="20">
        <v>19.14</v>
      </c>
      <c r="BJ21" s="7"/>
      <c r="BK21" s="7">
        <v>6.9446</v>
      </c>
      <c r="BL21" s="20">
        <v>19.26</v>
      </c>
      <c r="BM21" s="20"/>
      <c r="BN21" s="7">
        <f t="shared" si="0"/>
        <v>7.140790476190476</v>
      </c>
      <c r="BO21" s="7">
        <f t="shared" si="1"/>
        <v>18.902380952380952</v>
      </c>
      <c r="BP21" s="54"/>
      <c r="BQ21" s="50"/>
      <c r="BR21" s="56"/>
      <c r="BS21" s="54"/>
      <c r="BT21" s="54"/>
      <c r="BU21" s="50"/>
      <c r="BV21" s="50"/>
      <c r="BW21" s="50"/>
      <c r="BX21" s="50"/>
      <c r="BY21" s="55"/>
    </row>
    <row r="22" spans="1:77" ht="15.75">
      <c r="A22" s="18">
        <v>11</v>
      </c>
      <c r="B22" s="19" t="s">
        <v>33</v>
      </c>
      <c r="C22" s="7">
        <v>7.4813</v>
      </c>
      <c r="D22" s="20">
        <v>18.4</v>
      </c>
      <c r="E22" s="7"/>
      <c r="F22" s="7">
        <v>7.4512</v>
      </c>
      <c r="G22" s="20">
        <v>18.45</v>
      </c>
      <c r="H22" s="7"/>
      <c r="I22" s="7">
        <v>7.4195</v>
      </c>
      <c r="J22" s="20">
        <v>18.46</v>
      </c>
      <c r="K22" s="7"/>
      <c r="L22" s="7">
        <v>7.4184</v>
      </c>
      <c r="M22" s="20">
        <v>18.45</v>
      </c>
      <c r="N22" s="7"/>
      <c r="O22" s="7">
        <v>7.3531</v>
      </c>
      <c r="P22" s="20">
        <v>18.52</v>
      </c>
      <c r="Q22" s="7"/>
      <c r="R22" s="7">
        <v>7.3303</v>
      </c>
      <c r="S22" s="20">
        <v>18.56</v>
      </c>
      <c r="T22" s="7"/>
      <c r="U22" s="7">
        <v>7.3642</v>
      </c>
      <c r="V22" s="20">
        <v>18.46</v>
      </c>
      <c r="W22" s="7"/>
      <c r="X22" s="7">
        <v>7.3259</v>
      </c>
      <c r="Y22" s="20">
        <v>18.52</v>
      </c>
      <c r="Z22" s="7"/>
      <c r="AA22" s="7">
        <v>7.2535</v>
      </c>
      <c r="AB22" s="20">
        <v>18.58</v>
      </c>
      <c r="AC22" s="7"/>
      <c r="AD22" s="7">
        <v>7.263</v>
      </c>
      <c r="AE22" s="7">
        <v>18.55</v>
      </c>
      <c r="AF22" s="7"/>
      <c r="AG22" s="7">
        <v>7.1959</v>
      </c>
      <c r="AH22" s="20">
        <v>18.64</v>
      </c>
      <c r="AI22" s="7"/>
      <c r="AJ22" s="7">
        <v>7.23</v>
      </c>
      <c r="AK22" s="20">
        <v>18.59</v>
      </c>
      <c r="AL22" s="7"/>
      <c r="AM22" s="7">
        <v>7.2258</v>
      </c>
      <c r="AN22" s="20">
        <v>18.6</v>
      </c>
      <c r="AO22" s="7"/>
      <c r="AP22" s="7">
        <v>7.2391</v>
      </c>
      <c r="AQ22" s="20">
        <v>18.57</v>
      </c>
      <c r="AR22" s="7"/>
      <c r="AS22" s="7">
        <v>7.2031</v>
      </c>
      <c r="AT22" s="20">
        <v>18.46</v>
      </c>
      <c r="AU22" s="7"/>
      <c r="AV22" s="7">
        <v>7.2201</v>
      </c>
      <c r="AW22" s="20">
        <v>18.44</v>
      </c>
      <c r="AX22" s="7"/>
      <c r="AY22" s="7">
        <v>7.1721</v>
      </c>
      <c r="AZ22" s="20">
        <v>18.62</v>
      </c>
      <c r="BA22" s="7"/>
      <c r="BB22" s="7">
        <v>7.1561</v>
      </c>
      <c r="BC22" s="20">
        <v>18.71</v>
      </c>
      <c r="BD22" s="7"/>
      <c r="BE22" s="7">
        <v>7.1215</v>
      </c>
      <c r="BF22" s="20">
        <v>18.77</v>
      </c>
      <c r="BG22" s="7"/>
      <c r="BH22" s="7">
        <v>7.1246</v>
      </c>
      <c r="BI22" s="20">
        <v>18.76</v>
      </c>
      <c r="BJ22" s="7"/>
      <c r="BK22" s="7">
        <v>7.0816</v>
      </c>
      <c r="BL22" s="20">
        <v>18.88</v>
      </c>
      <c r="BM22" s="20"/>
      <c r="BN22" s="7">
        <f t="shared" si="0"/>
        <v>7.268109523809523</v>
      </c>
      <c r="BO22" s="7">
        <f t="shared" si="1"/>
        <v>18.570952380952377</v>
      </c>
      <c r="BP22" s="54"/>
      <c r="BQ22" s="50"/>
      <c r="BR22" s="56"/>
      <c r="BS22" s="54"/>
      <c r="BT22" s="54"/>
      <c r="BU22" s="50"/>
      <c r="BV22" s="50"/>
      <c r="BW22" s="50"/>
      <c r="BX22" s="50"/>
      <c r="BY22" s="55"/>
    </row>
    <row r="23" spans="1:77" ht="15.75">
      <c r="A23" s="18">
        <v>12</v>
      </c>
      <c r="B23" s="19" t="s">
        <v>36</v>
      </c>
      <c r="C23" s="7">
        <f>1/1.32481</f>
        <v>0.754825220220258</v>
      </c>
      <c r="D23" s="20">
        <v>182.35</v>
      </c>
      <c r="E23" s="7"/>
      <c r="F23" s="7">
        <f>1/1.319</f>
        <v>0.7581501137225171</v>
      </c>
      <c r="G23" s="20">
        <v>181.36</v>
      </c>
      <c r="H23" s="7"/>
      <c r="I23" s="7">
        <f>1/1.32446</f>
        <v>0.7550246893073403</v>
      </c>
      <c r="J23" s="20">
        <v>181.37</v>
      </c>
      <c r="K23" s="7"/>
      <c r="L23" s="7">
        <f>1/1.32466</f>
        <v>0.7549106940648922</v>
      </c>
      <c r="M23" s="20">
        <v>181.26</v>
      </c>
      <c r="N23" s="7"/>
      <c r="O23" s="7">
        <f>1/1.32611</f>
        <v>0.7540852568791429</v>
      </c>
      <c r="P23" s="20">
        <v>180.58</v>
      </c>
      <c r="Q23" s="7"/>
      <c r="R23" s="7">
        <f>1/1.33372</f>
        <v>0.7497825630567135</v>
      </c>
      <c r="S23" s="20">
        <v>181.42</v>
      </c>
      <c r="T23" s="7"/>
      <c r="U23" s="7">
        <f>1/1.33372</f>
        <v>0.7497825630567135</v>
      </c>
      <c r="V23" s="20">
        <v>181.32</v>
      </c>
      <c r="W23" s="7"/>
      <c r="X23" s="7">
        <f>1/1.33134</f>
        <v>0.7511229287785239</v>
      </c>
      <c r="Y23" s="20">
        <v>180.61</v>
      </c>
      <c r="Z23" s="7"/>
      <c r="AA23" s="7">
        <f>1/1.33501</f>
        <v>0.7490580594901911</v>
      </c>
      <c r="AB23" s="20">
        <v>179.91</v>
      </c>
      <c r="AC23" s="7"/>
      <c r="AD23" s="7">
        <f>1/1.3415</f>
        <v>0.7454342154304883</v>
      </c>
      <c r="AE23" s="7">
        <v>180.71</v>
      </c>
      <c r="AF23" s="7"/>
      <c r="AG23" s="7">
        <f>1/1.34232</f>
        <v>0.7449788426008701</v>
      </c>
      <c r="AH23" s="20">
        <v>180.07</v>
      </c>
      <c r="AI23" s="7"/>
      <c r="AJ23" s="7">
        <f>1/1.3476</f>
        <v>0.7420599584446423</v>
      </c>
      <c r="AK23" s="20">
        <v>181.16</v>
      </c>
      <c r="AL23" s="7"/>
      <c r="AM23" s="7">
        <f>1/1.34421</f>
        <v>0.7439313797695302</v>
      </c>
      <c r="AN23" s="20">
        <v>180.68</v>
      </c>
      <c r="AO23" s="7"/>
      <c r="AP23" s="7">
        <f>1/1.34727</f>
        <v>0.7422417184380266</v>
      </c>
      <c r="AQ23" s="20">
        <v>181.11</v>
      </c>
      <c r="AR23" s="7"/>
      <c r="AS23" s="7">
        <f>1/1.34571</f>
        <v>0.7431021542531452</v>
      </c>
      <c r="AT23" s="20">
        <v>178.98</v>
      </c>
      <c r="AU23" s="7"/>
      <c r="AV23" s="7">
        <f>1/1.35801</f>
        <v>0.7363716025655187</v>
      </c>
      <c r="AW23" s="20">
        <v>180.77</v>
      </c>
      <c r="AX23" s="7"/>
      <c r="AY23" s="7">
        <f>1/1.34663</f>
        <v>0.7425944765822832</v>
      </c>
      <c r="AZ23" s="20">
        <v>179.83</v>
      </c>
      <c r="BA23" s="7"/>
      <c r="BB23" s="7">
        <f>1/1.3504</f>
        <v>0.740521327014218</v>
      </c>
      <c r="BC23" s="20">
        <v>180.79</v>
      </c>
      <c r="BD23" s="7"/>
      <c r="BE23" s="7">
        <f>1/1.35143</f>
        <v>0.7399569345064118</v>
      </c>
      <c r="BF23" s="20">
        <v>180.68</v>
      </c>
      <c r="BG23" s="7"/>
      <c r="BH23" s="7">
        <f>1/1.35143</f>
        <v>0.7399569345064118</v>
      </c>
      <c r="BI23" s="20">
        <v>180.66</v>
      </c>
      <c r="BJ23" s="7"/>
      <c r="BK23" s="7">
        <f>1/1.35458</f>
        <v>0.7382362060564899</v>
      </c>
      <c r="BL23" s="20">
        <v>181.16</v>
      </c>
      <c r="BM23" s="20"/>
      <c r="BN23" s="7">
        <f t="shared" si="0"/>
        <v>0.7464822780354442</v>
      </c>
      <c r="BO23" s="7">
        <f t="shared" si="1"/>
        <v>180.7990476190476</v>
      </c>
      <c r="BP23" s="57"/>
      <c r="BQ23" s="50"/>
      <c r="BR23" s="56"/>
      <c r="BS23" s="54"/>
      <c r="BT23" s="57"/>
      <c r="BU23" s="50"/>
      <c r="BV23" s="50"/>
      <c r="BW23" s="50"/>
      <c r="BX23" s="50"/>
      <c r="BY23" s="55"/>
    </row>
    <row r="24" spans="1:77" ht="16.5" thickBot="1">
      <c r="A24" s="26">
        <v>13</v>
      </c>
      <c r="B24" s="27" t="s">
        <v>38</v>
      </c>
      <c r="C24" s="28">
        <v>1</v>
      </c>
      <c r="D24" s="29">
        <v>137.64</v>
      </c>
      <c r="E24" s="28"/>
      <c r="F24" s="28">
        <v>1</v>
      </c>
      <c r="G24" s="29">
        <v>137.5</v>
      </c>
      <c r="H24" s="28"/>
      <c r="I24" s="28">
        <v>1</v>
      </c>
      <c r="J24" s="29">
        <v>136.94</v>
      </c>
      <c r="K24" s="28"/>
      <c r="L24" s="28">
        <v>1</v>
      </c>
      <c r="M24" s="29">
        <v>136.84</v>
      </c>
      <c r="N24" s="28"/>
      <c r="O24" s="28">
        <v>1</v>
      </c>
      <c r="P24" s="29">
        <v>136.18</v>
      </c>
      <c r="Q24" s="28"/>
      <c r="R24" s="28">
        <v>1</v>
      </c>
      <c r="S24" s="29">
        <v>136.03</v>
      </c>
      <c r="T24" s="28"/>
      <c r="U24" s="28">
        <v>1</v>
      </c>
      <c r="V24" s="29">
        <v>135.95</v>
      </c>
      <c r="W24" s="28"/>
      <c r="X24" s="28">
        <v>1</v>
      </c>
      <c r="Y24" s="29">
        <v>135.66</v>
      </c>
      <c r="Z24" s="28"/>
      <c r="AA24" s="28">
        <v>1</v>
      </c>
      <c r="AB24" s="29">
        <v>134.76</v>
      </c>
      <c r="AC24" s="28"/>
      <c r="AD24" s="28">
        <v>1</v>
      </c>
      <c r="AE24" s="28">
        <v>134.71</v>
      </c>
      <c r="AF24" s="28"/>
      <c r="AG24" s="28">
        <v>1</v>
      </c>
      <c r="AH24" s="29">
        <v>134.15</v>
      </c>
      <c r="AI24" s="28"/>
      <c r="AJ24" s="28">
        <v>1</v>
      </c>
      <c r="AK24" s="29">
        <v>134.44</v>
      </c>
      <c r="AL24" s="28"/>
      <c r="AM24" s="28">
        <v>1</v>
      </c>
      <c r="AN24" s="29">
        <v>134.41</v>
      </c>
      <c r="AO24" s="28"/>
      <c r="AP24" s="28">
        <v>1</v>
      </c>
      <c r="AQ24" s="29">
        <v>134.43</v>
      </c>
      <c r="AR24" s="28"/>
      <c r="AS24" s="28">
        <v>1</v>
      </c>
      <c r="AT24" s="29">
        <v>133</v>
      </c>
      <c r="AU24" s="28"/>
      <c r="AV24" s="28">
        <v>1</v>
      </c>
      <c r="AW24" s="29">
        <v>133.11</v>
      </c>
      <c r="AX24" s="28"/>
      <c r="AY24" s="28">
        <v>1</v>
      </c>
      <c r="AZ24" s="29">
        <v>133.54</v>
      </c>
      <c r="BA24" s="28"/>
      <c r="BB24" s="28">
        <v>1</v>
      </c>
      <c r="BC24" s="29">
        <v>133.88</v>
      </c>
      <c r="BD24" s="28"/>
      <c r="BE24" s="28">
        <v>1</v>
      </c>
      <c r="BF24" s="29">
        <v>133.7</v>
      </c>
      <c r="BG24" s="28"/>
      <c r="BH24" s="28">
        <v>1</v>
      </c>
      <c r="BI24" s="29">
        <v>133.68</v>
      </c>
      <c r="BJ24" s="28"/>
      <c r="BK24" s="28">
        <v>1</v>
      </c>
      <c r="BL24" s="29">
        <v>133.74</v>
      </c>
      <c r="BM24" s="30"/>
      <c r="BN24" s="31">
        <f t="shared" si="0"/>
        <v>1</v>
      </c>
      <c r="BO24" s="31">
        <f t="shared" si="1"/>
        <v>134.96619047619046</v>
      </c>
      <c r="BP24" s="54"/>
      <c r="BQ24" s="50"/>
      <c r="BR24" s="56"/>
      <c r="BS24" s="54"/>
      <c r="BT24" s="54"/>
      <c r="BU24" s="50"/>
      <c r="BV24" s="50"/>
      <c r="BW24" s="50"/>
      <c r="BX24" s="50"/>
      <c r="BY24" s="55"/>
    </row>
    <row r="25" spans="1:77" ht="15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7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10"/>
      <c r="BH25" s="35"/>
      <c r="BI25" s="35"/>
      <c r="BJ25" s="10"/>
      <c r="BK25" s="35"/>
      <c r="BL25" s="35"/>
      <c r="BM25" s="35"/>
      <c r="BN25" s="35"/>
      <c r="BO25" s="35"/>
      <c r="BP25" s="50"/>
      <c r="BQ25" s="50"/>
      <c r="BR25" s="50"/>
      <c r="BS25" s="50"/>
      <c r="BT25" s="50"/>
      <c r="BU25" s="52"/>
      <c r="BV25" s="52"/>
      <c r="BW25" s="52"/>
      <c r="BX25" s="52"/>
      <c r="BY25" s="55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35"/>
  <sheetViews>
    <sheetView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1" sqref="B11"/>
    </sheetView>
  </sheetViews>
  <sheetFormatPr defaultColWidth="11.7109375" defaultRowHeight="15" customHeight="1"/>
  <cols>
    <col min="1" max="1" width="5.8515625" style="10" customWidth="1"/>
    <col min="2" max="2" width="34.00390625" style="10" bestFit="1" customWidth="1"/>
    <col min="3" max="16384" width="11.7109375" style="10" customWidth="1"/>
  </cols>
  <sheetData>
    <row r="1" spans="1:66" ht="15" customHeight="1">
      <c r="A1" s="6" t="s">
        <v>0</v>
      </c>
      <c r="B1" s="4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8" t="s">
        <v>1</v>
      </c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9"/>
      <c r="BI1" s="9"/>
      <c r="BJ1" s="9"/>
      <c r="BK1" s="9"/>
      <c r="BL1" s="9"/>
      <c r="BM1" s="9"/>
      <c r="BN1" s="9"/>
    </row>
    <row r="2" spans="1:66" ht="15" customHeight="1">
      <c r="A2" s="7"/>
      <c r="B2" s="5" t="s">
        <v>64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11"/>
      <c r="BI2" s="11"/>
      <c r="BJ2" s="11"/>
      <c r="BK2" s="11"/>
      <c r="BL2" s="11"/>
      <c r="BM2" s="11"/>
      <c r="BN2" s="11"/>
    </row>
    <row r="3" spans="1:69" ht="15" customHeight="1">
      <c r="A3" s="8" t="s">
        <v>2</v>
      </c>
      <c r="B3" s="7"/>
      <c r="C3" s="6" t="s">
        <v>63</v>
      </c>
      <c r="D3" s="12"/>
      <c r="E3" s="12"/>
      <c r="F3" s="6" t="s">
        <v>79</v>
      </c>
      <c r="G3" s="12"/>
      <c r="H3" s="12"/>
      <c r="I3" s="6" t="s">
        <v>80</v>
      </c>
      <c r="J3" s="12"/>
      <c r="K3" s="12"/>
      <c r="L3" s="6" t="s">
        <v>81</v>
      </c>
      <c r="M3" s="12"/>
      <c r="N3" s="12"/>
      <c r="O3" s="6" t="s">
        <v>82</v>
      </c>
      <c r="P3" s="12"/>
      <c r="Q3" s="12"/>
      <c r="R3" s="6" t="s">
        <v>65</v>
      </c>
      <c r="S3" s="12"/>
      <c r="T3" s="12"/>
      <c r="U3" s="6" t="s">
        <v>66</v>
      </c>
      <c r="V3" s="12"/>
      <c r="W3" s="12"/>
      <c r="X3" s="6" t="s">
        <v>67</v>
      </c>
      <c r="Y3" s="12"/>
      <c r="Z3" s="12"/>
      <c r="AA3" s="6" t="s">
        <v>68</v>
      </c>
      <c r="AB3" s="12"/>
      <c r="AC3" s="12"/>
      <c r="AD3" s="6" t="s">
        <v>39</v>
      </c>
      <c r="AE3" s="12"/>
      <c r="AF3" s="12"/>
      <c r="AG3" s="6" t="s">
        <v>69</v>
      </c>
      <c r="AH3" s="12"/>
      <c r="AI3" s="12"/>
      <c r="AJ3" s="6" t="s">
        <v>70</v>
      </c>
      <c r="AK3" s="12"/>
      <c r="AL3" s="12"/>
      <c r="AM3" s="6" t="s">
        <v>71</v>
      </c>
      <c r="AN3" s="12"/>
      <c r="AO3" s="12"/>
      <c r="AP3" s="6" t="s">
        <v>72</v>
      </c>
      <c r="AQ3" s="12"/>
      <c r="AR3" s="12"/>
      <c r="AS3" s="6" t="s">
        <v>73</v>
      </c>
      <c r="AT3" s="12"/>
      <c r="AU3" s="12"/>
      <c r="AV3" s="6" t="s">
        <v>74</v>
      </c>
      <c r="AW3" s="12"/>
      <c r="AX3" s="12"/>
      <c r="AY3" s="6" t="s">
        <v>75</v>
      </c>
      <c r="AZ3" s="12"/>
      <c r="BA3" s="12"/>
      <c r="BB3" s="6" t="s">
        <v>76</v>
      </c>
      <c r="BC3" s="12"/>
      <c r="BD3" s="12"/>
      <c r="BE3" s="6" t="s">
        <v>77</v>
      </c>
      <c r="BF3" s="12"/>
      <c r="BG3" s="44"/>
      <c r="BH3" s="6" t="s">
        <v>78</v>
      </c>
      <c r="BI3" s="47"/>
      <c r="BJ3" s="47"/>
      <c r="BK3" s="48"/>
      <c r="BL3" s="49"/>
      <c r="BM3" s="47"/>
      <c r="BN3" s="39"/>
      <c r="BO3" s="38"/>
      <c r="BP3" s="37"/>
      <c r="BQ3" s="39"/>
    </row>
    <row r="4" spans="1:69" ht="1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44"/>
      <c r="BI4" s="44"/>
      <c r="BJ4" s="47"/>
      <c r="BK4" s="47"/>
      <c r="BL4" s="47"/>
      <c r="BM4" s="47"/>
      <c r="BN4" s="39"/>
      <c r="BO4" s="39"/>
      <c r="BP4" s="39"/>
      <c r="BQ4" s="39"/>
    </row>
    <row r="5" spans="1:69" ht="15" customHeight="1" thickTop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50"/>
      <c r="BK5" s="50"/>
      <c r="BL5" s="50"/>
      <c r="BM5" s="50"/>
      <c r="BN5" s="11"/>
      <c r="BO5" s="11"/>
      <c r="BP5" s="11"/>
      <c r="BQ5" s="11"/>
    </row>
    <row r="6" spans="1:69" ht="15" customHeight="1">
      <c r="A6" s="12"/>
      <c r="B6" s="7"/>
      <c r="C6" s="14" t="s">
        <v>4</v>
      </c>
      <c r="D6" s="14" t="s">
        <v>4</v>
      </c>
      <c r="E6" s="14" t="s">
        <v>4</v>
      </c>
      <c r="F6" s="14" t="s">
        <v>4</v>
      </c>
      <c r="G6" s="14" t="s">
        <v>4</v>
      </c>
      <c r="H6" s="14" t="s">
        <v>4</v>
      </c>
      <c r="I6" s="14" t="s">
        <v>4</v>
      </c>
      <c r="J6" s="14" t="s">
        <v>4</v>
      </c>
      <c r="K6" s="14" t="s">
        <v>4</v>
      </c>
      <c r="L6" s="14" t="s">
        <v>4</v>
      </c>
      <c r="M6" s="14" t="s">
        <v>4</v>
      </c>
      <c r="N6" s="14" t="s">
        <v>4</v>
      </c>
      <c r="O6" s="14" t="s">
        <v>4</v>
      </c>
      <c r="P6" s="14" t="s">
        <v>4</v>
      </c>
      <c r="Q6" s="14" t="s">
        <v>4</v>
      </c>
      <c r="R6" s="14" t="s">
        <v>4</v>
      </c>
      <c r="S6" s="14" t="s">
        <v>4</v>
      </c>
      <c r="T6" s="14" t="s">
        <v>4</v>
      </c>
      <c r="U6" s="14" t="s">
        <v>4</v>
      </c>
      <c r="V6" s="14" t="s">
        <v>4</v>
      </c>
      <c r="W6" s="14" t="s">
        <v>4</v>
      </c>
      <c r="X6" s="14" t="s">
        <v>4</v>
      </c>
      <c r="Y6" s="14" t="s">
        <v>4</v>
      </c>
      <c r="Z6" s="14" t="s">
        <v>4</v>
      </c>
      <c r="AA6" s="14" t="s">
        <v>4</v>
      </c>
      <c r="AB6" s="14" t="s">
        <v>4</v>
      </c>
      <c r="AC6" s="14" t="s">
        <v>4</v>
      </c>
      <c r="AD6" s="14" t="s">
        <v>4</v>
      </c>
      <c r="AE6" s="14" t="s">
        <v>4</v>
      </c>
      <c r="AF6" s="14" t="s">
        <v>4</v>
      </c>
      <c r="AG6" s="14" t="s">
        <v>4</v>
      </c>
      <c r="AH6" s="14" t="s">
        <v>4</v>
      </c>
      <c r="AI6" s="14" t="s">
        <v>4</v>
      </c>
      <c r="AJ6" s="14" t="s">
        <v>4</v>
      </c>
      <c r="AK6" s="14" t="s">
        <v>4</v>
      </c>
      <c r="AL6" s="14" t="s">
        <v>4</v>
      </c>
      <c r="AM6" s="14" t="s">
        <v>4</v>
      </c>
      <c r="AN6" s="14" t="s">
        <v>4</v>
      </c>
      <c r="AO6" s="14" t="s">
        <v>4</v>
      </c>
      <c r="AP6" s="14" t="s">
        <v>4</v>
      </c>
      <c r="AQ6" s="14" t="s">
        <v>4</v>
      </c>
      <c r="AR6" s="14" t="s">
        <v>4</v>
      </c>
      <c r="AS6" s="14" t="s">
        <v>4</v>
      </c>
      <c r="AT6" s="14" t="s">
        <v>4</v>
      </c>
      <c r="AU6" s="14" t="s">
        <v>4</v>
      </c>
      <c r="AV6" s="14" t="s">
        <v>4</v>
      </c>
      <c r="AW6" s="14" t="s">
        <v>4</v>
      </c>
      <c r="AX6" s="14" t="s">
        <v>4</v>
      </c>
      <c r="AY6" s="14" t="s">
        <v>4</v>
      </c>
      <c r="AZ6" s="14" t="s">
        <v>4</v>
      </c>
      <c r="BA6" s="14" t="s">
        <v>4</v>
      </c>
      <c r="BB6" s="14" t="s">
        <v>4</v>
      </c>
      <c r="BC6" s="14" t="s">
        <v>4</v>
      </c>
      <c r="BD6" s="14" t="s">
        <v>4</v>
      </c>
      <c r="BE6" s="14" t="s">
        <v>4</v>
      </c>
      <c r="BF6" s="14" t="s">
        <v>4</v>
      </c>
      <c r="BG6" s="14" t="s">
        <v>4</v>
      </c>
      <c r="BH6" s="14" t="s">
        <v>5</v>
      </c>
      <c r="BI6" s="14" t="s">
        <v>5</v>
      </c>
      <c r="BJ6" s="51"/>
      <c r="BK6" s="51"/>
      <c r="BL6" s="51"/>
      <c r="BM6" s="51"/>
      <c r="BN6" s="41"/>
      <c r="BO6" s="41"/>
      <c r="BP6" s="41"/>
      <c r="BQ6" s="41"/>
    </row>
    <row r="7" spans="1:69" ht="15" customHeight="1">
      <c r="A7" s="7"/>
      <c r="B7" s="15" t="s">
        <v>6</v>
      </c>
      <c r="C7" s="14" t="s">
        <v>7</v>
      </c>
      <c r="D7" s="14" t="s">
        <v>7</v>
      </c>
      <c r="E7" s="14" t="s">
        <v>8</v>
      </c>
      <c r="F7" s="14" t="s">
        <v>7</v>
      </c>
      <c r="G7" s="14" t="s">
        <v>7</v>
      </c>
      <c r="H7" s="14" t="s">
        <v>8</v>
      </c>
      <c r="I7" s="14" t="s">
        <v>7</v>
      </c>
      <c r="J7" s="14" t="s">
        <v>7</v>
      </c>
      <c r="K7" s="14" t="s">
        <v>8</v>
      </c>
      <c r="L7" s="14" t="s">
        <v>7</v>
      </c>
      <c r="M7" s="14" t="s">
        <v>7</v>
      </c>
      <c r="N7" s="14" t="s">
        <v>8</v>
      </c>
      <c r="O7" s="14" t="s">
        <v>7</v>
      </c>
      <c r="P7" s="14" t="s">
        <v>7</v>
      </c>
      <c r="Q7" s="14" t="s">
        <v>8</v>
      </c>
      <c r="R7" s="14" t="s">
        <v>7</v>
      </c>
      <c r="S7" s="14" t="s">
        <v>7</v>
      </c>
      <c r="T7" s="14" t="s">
        <v>8</v>
      </c>
      <c r="U7" s="14" t="s">
        <v>7</v>
      </c>
      <c r="V7" s="14" t="s">
        <v>7</v>
      </c>
      <c r="W7" s="14" t="s">
        <v>8</v>
      </c>
      <c r="X7" s="14" t="s">
        <v>7</v>
      </c>
      <c r="Y7" s="14" t="s">
        <v>7</v>
      </c>
      <c r="Z7" s="14" t="s">
        <v>8</v>
      </c>
      <c r="AA7" s="14" t="s">
        <v>7</v>
      </c>
      <c r="AB7" s="14" t="s">
        <v>7</v>
      </c>
      <c r="AC7" s="14" t="s">
        <v>8</v>
      </c>
      <c r="AD7" s="14" t="s">
        <v>7</v>
      </c>
      <c r="AE7" s="14" t="s">
        <v>7</v>
      </c>
      <c r="AF7" s="14" t="s">
        <v>8</v>
      </c>
      <c r="AG7" s="14" t="s">
        <v>7</v>
      </c>
      <c r="AH7" s="14" t="s">
        <v>7</v>
      </c>
      <c r="AI7" s="14" t="s">
        <v>8</v>
      </c>
      <c r="AJ7" s="14" t="s">
        <v>7</v>
      </c>
      <c r="AK7" s="14" t="s">
        <v>7</v>
      </c>
      <c r="AL7" s="14" t="s">
        <v>8</v>
      </c>
      <c r="AM7" s="14" t="s">
        <v>7</v>
      </c>
      <c r="AN7" s="14" t="s">
        <v>7</v>
      </c>
      <c r="AO7" s="14" t="s">
        <v>8</v>
      </c>
      <c r="AP7" s="14" t="s">
        <v>7</v>
      </c>
      <c r="AQ7" s="14" t="s">
        <v>7</v>
      </c>
      <c r="AR7" s="14" t="s">
        <v>8</v>
      </c>
      <c r="AS7" s="14" t="s">
        <v>7</v>
      </c>
      <c r="AT7" s="14" t="s">
        <v>7</v>
      </c>
      <c r="AU7" s="14" t="s">
        <v>8</v>
      </c>
      <c r="AV7" s="14" t="s">
        <v>7</v>
      </c>
      <c r="AW7" s="14" t="s">
        <v>7</v>
      </c>
      <c r="AX7" s="14" t="s">
        <v>8</v>
      </c>
      <c r="AY7" s="14" t="s">
        <v>7</v>
      </c>
      <c r="AZ7" s="14" t="s">
        <v>7</v>
      </c>
      <c r="BA7" s="14" t="s">
        <v>8</v>
      </c>
      <c r="BB7" s="14" t="s">
        <v>7</v>
      </c>
      <c r="BC7" s="14" t="s">
        <v>7</v>
      </c>
      <c r="BD7" s="14" t="s">
        <v>8</v>
      </c>
      <c r="BE7" s="14" t="s">
        <v>7</v>
      </c>
      <c r="BF7" s="14" t="s">
        <v>7</v>
      </c>
      <c r="BG7" s="14" t="s">
        <v>8</v>
      </c>
      <c r="BH7" s="14" t="s">
        <v>9</v>
      </c>
      <c r="BI7" s="14" t="s">
        <v>10</v>
      </c>
      <c r="BJ7" s="51"/>
      <c r="BK7" s="51"/>
      <c r="BL7" s="51"/>
      <c r="BM7" s="51"/>
      <c r="BN7" s="41"/>
      <c r="BO7" s="41"/>
      <c r="BP7" s="41"/>
      <c r="BQ7" s="41"/>
    </row>
    <row r="8" spans="1:69" ht="15" customHeight="1">
      <c r="A8" s="7"/>
      <c r="B8" s="7"/>
      <c r="C8" s="14" t="s">
        <v>11</v>
      </c>
      <c r="D8" s="14" t="s">
        <v>10</v>
      </c>
      <c r="E8" s="14" t="s">
        <v>12</v>
      </c>
      <c r="F8" s="14" t="s">
        <v>11</v>
      </c>
      <c r="G8" s="14" t="s">
        <v>10</v>
      </c>
      <c r="H8" s="14" t="s">
        <v>12</v>
      </c>
      <c r="I8" s="14" t="s">
        <v>11</v>
      </c>
      <c r="J8" s="14" t="s">
        <v>10</v>
      </c>
      <c r="K8" s="14" t="s">
        <v>12</v>
      </c>
      <c r="L8" s="14" t="s">
        <v>11</v>
      </c>
      <c r="M8" s="14" t="s">
        <v>10</v>
      </c>
      <c r="N8" s="14" t="s">
        <v>12</v>
      </c>
      <c r="O8" s="14" t="s">
        <v>11</v>
      </c>
      <c r="P8" s="14" t="s">
        <v>10</v>
      </c>
      <c r="Q8" s="14" t="s">
        <v>12</v>
      </c>
      <c r="R8" s="14" t="s">
        <v>11</v>
      </c>
      <c r="S8" s="14" t="s">
        <v>10</v>
      </c>
      <c r="T8" s="14" t="s">
        <v>12</v>
      </c>
      <c r="U8" s="14" t="s">
        <v>11</v>
      </c>
      <c r="V8" s="14" t="s">
        <v>10</v>
      </c>
      <c r="W8" s="14" t="s">
        <v>12</v>
      </c>
      <c r="X8" s="14" t="s">
        <v>11</v>
      </c>
      <c r="Y8" s="14" t="s">
        <v>10</v>
      </c>
      <c r="Z8" s="14" t="s">
        <v>12</v>
      </c>
      <c r="AA8" s="14" t="s">
        <v>11</v>
      </c>
      <c r="AB8" s="14" t="s">
        <v>10</v>
      </c>
      <c r="AC8" s="14" t="s">
        <v>12</v>
      </c>
      <c r="AD8" s="14" t="s">
        <v>11</v>
      </c>
      <c r="AE8" s="14" t="s">
        <v>10</v>
      </c>
      <c r="AF8" s="14" t="s">
        <v>12</v>
      </c>
      <c r="AG8" s="14" t="s">
        <v>11</v>
      </c>
      <c r="AH8" s="14" t="s">
        <v>10</v>
      </c>
      <c r="AI8" s="14" t="s">
        <v>12</v>
      </c>
      <c r="AJ8" s="14" t="s">
        <v>11</v>
      </c>
      <c r="AK8" s="14" t="s">
        <v>10</v>
      </c>
      <c r="AL8" s="14" t="s">
        <v>12</v>
      </c>
      <c r="AM8" s="14" t="s">
        <v>11</v>
      </c>
      <c r="AN8" s="14" t="s">
        <v>10</v>
      </c>
      <c r="AO8" s="14" t="s">
        <v>12</v>
      </c>
      <c r="AP8" s="14" t="s">
        <v>11</v>
      </c>
      <c r="AQ8" s="14" t="s">
        <v>10</v>
      </c>
      <c r="AR8" s="14" t="s">
        <v>12</v>
      </c>
      <c r="AS8" s="14" t="s">
        <v>11</v>
      </c>
      <c r="AT8" s="14" t="s">
        <v>10</v>
      </c>
      <c r="AU8" s="14" t="s">
        <v>12</v>
      </c>
      <c r="AV8" s="14" t="s">
        <v>11</v>
      </c>
      <c r="AW8" s="14" t="s">
        <v>10</v>
      </c>
      <c r="AX8" s="14" t="s">
        <v>12</v>
      </c>
      <c r="AY8" s="14" t="s">
        <v>11</v>
      </c>
      <c r="AZ8" s="14" t="s">
        <v>10</v>
      </c>
      <c r="BA8" s="14" t="s">
        <v>12</v>
      </c>
      <c r="BB8" s="14" t="s">
        <v>11</v>
      </c>
      <c r="BC8" s="14" t="s">
        <v>10</v>
      </c>
      <c r="BD8" s="14" t="s">
        <v>12</v>
      </c>
      <c r="BE8" s="14" t="s">
        <v>11</v>
      </c>
      <c r="BF8" s="14" t="s">
        <v>10</v>
      </c>
      <c r="BG8" s="14" t="s">
        <v>12</v>
      </c>
      <c r="BH8" s="14" t="s">
        <v>7</v>
      </c>
      <c r="BI8" s="14" t="s">
        <v>13</v>
      </c>
      <c r="BJ8" s="51"/>
      <c r="BK8" s="51"/>
      <c r="BL8" s="51"/>
      <c r="BM8" s="51"/>
      <c r="BN8" s="41"/>
      <c r="BO8" s="41"/>
      <c r="BP8" s="41"/>
      <c r="BQ8" s="41"/>
    </row>
    <row r="9" spans="1:69" ht="15" customHeight="1">
      <c r="A9" s="7"/>
      <c r="B9" s="7"/>
      <c r="C9" s="7"/>
      <c r="D9" s="14" t="s">
        <v>14</v>
      </c>
      <c r="E9" s="7"/>
      <c r="F9" s="7"/>
      <c r="G9" s="14" t="s">
        <v>14</v>
      </c>
      <c r="H9" s="7"/>
      <c r="I9" s="7"/>
      <c r="J9" s="14" t="s">
        <v>14</v>
      </c>
      <c r="K9" s="7"/>
      <c r="L9" s="7"/>
      <c r="M9" s="14" t="s">
        <v>14</v>
      </c>
      <c r="N9" s="7"/>
      <c r="O9" s="7"/>
      <c r="P9" s="14" t="s">
        <v>14</v>
      </c>
      <c r="Q9" s="7"/>
      <c r="R9" s="7"/>
      <c r="S9" s="14" t="s">
        <v>14</v>
      </c>
      <c r="T9" s="7"/>
      <c r="U9" s="7"/>
      <c r="V9" s="14" t="s">
        <v>14</v>
      </c>
      <c r="W9" s="8" t="s">
        <v>15</v>
      </c>
      <c r="X9" s="7"/>
      <c r="Y9" s="14" t="s">
        <v>14</v>
      </c>
      <c r="Z9" s="8" t="s">
        <v>15</v>
      </c>
      <c r="AA9" s="7"/>
      <c r="AB9" s="14" t="s">
        <v>14</v>
      </c>
      <c r="AC9" s="7"/>
      <c r="AD9" s="7"/>
      <c r="AE9" s="14" t="s">
        <v>14</v>
      </c>
      <c r="AF9" s="7"/>
      <c r="AG9" s="7"/>
      <c r="AH9" s="14" t="s">
        <v>14</v>
      </c>
      <c r="AI9" s="7"/>
      <c r="AJ9" s="7"/>
      <c r="AK9" s="14" t="s">
        <v>14</v>
      </c>
      <c r="AL9" s="7"/>
      <c r="AM9" s="7"/>
      <c r="AN9" s="14" t="s">
        <v>14</v>
      </c>
      <c r="AO9" s="7"/>
      <c r="AP9" s="7"/>
      <c r="AQ9" s="14" t="s">
        <v>14</v>
      </c>
      <c r="AR9" s="7"/>
      <c r="AS9" s="7"/>
      <c r="AT9" s="14" t="s">
        <v>14</v>
      </c>
      <c r="AU9" s="7"/>
      <c r="AV9" s="7"/>
      <c r="AW9" s="14" t="s">
        <v>14</v>
      </c>
      <c r="AX9" s="7"/>
      <c r="AY9" s="7"/>
      <c r="AZ9" s="14" t="s">
        <v>14</v>
      </c>
      <c r="BA9" s="7"/>
      <c r="BB9" s="7"/>
      <c r="BC9" s="14" t="s">
        <v>14</v>
      </c>
      <c r="BD9" s="7"/>
      <c r="BE9" s="7"/>
      <c r="BF9" s="14" t="s">
        <v>14</v>
      </c>
      <c r="BG9" s="7"/>
      <c r="BH9" s="14" t="s">
        <v>11</v>
      </c>
      <c r="BI9" s="14" t="s">
        <v>9</v>
      </c>
      <c r="BJ9" s="51"/>
      <c r="BK9" s="51"/>
      <c r="BL9" s="51"/>
      <c r="BM9" s="50"/>
      <c r="BN9" s="41"/>
      <c r="BO9" s="41"/>
      <c r="BP9" s="41"/>
      <c r="BQ9" s="11"/>
    </row>
    <row r="10" spans="1:69" ht="15" customHeight="1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50"/>
      <c r="BK10" s="50"/>
      <c r="BL10" s="51"/>
      <c r="BM10" s="50"/>
      <c r="BN10" s="11"/>
      <c r="BO10" s="11"/>
      <c r="BP10" s="41"/>
      <c r="BQ10" s="11"/>
    </row>
    <row r="11" spans="1:69" ht="15" customHeight="1" thickTop="1">
      <c r="A11" s="16" t="s">
        <v>2</v>
      </c>
      <c r="B11" s="13"/>
      <c r="C11" s="17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50"/>
      <c r="BK11" s="50"/>
      <c r="BL11" s="50"/>
      <c r="BM11" s="50"/>
      <c r="BN11" s="11"/>
      <c r="BO11" s="11"/>
      <c r="BP11" s="11"/>
      <c r="BQ11" s="11"/>
    </row>
    <row r="12" spans="1:69" ht="15" customHeight="1">
      <c r="A12" s="18">
        <v>1</v>
      </c>
      <c r="B12" s="19" t="s">
        <v>16</v>
      </c>
      <c r="C12" s="7">
        <v>2.2724</v>
      </c>
      <c r="D12" s="23">
        <v>62.89</v>
      </c>
      <c r="E12" s="7"/>
      <c r="F12" s="7">
        <v>2.2658</v>
      </c>
      <c r="G12" s="7">
        <v>63.02</v>
      </c>
      <c r="H12" s="7"/>
      <c r="I12" s="7">
        <v>2.2476</v>
      </c>
      <c r="J12" s="7">
        <v>63.3</v>
      </c>
      <c r="K12" s="7"/>
      <c r="L12" s="7">
        <v>2.2546</v>
      </c>
      <c r="M12" s="7">
        <v>63.16</v>
      </c>
      <c r="N12" s="7"/>
      <c r="O12" s="7">
        <v>2.2556</v>
      </c>
      <c r="P12" s="7">
        <v>63.1</v>
      </c>
      <c r="Q12" s="7"/>
      <c r="R12" s="21">
        <v>2.2411</v>
      </c>
      <c r="S12" s="7">
        <v>63.38</v>
      </c>
      <c r="T12" s="7"/>
      <c r="U12" s="7">
        <v>2.2309</v>
      </c>
      <c r="V12" s="7">
        <v>63.51</v>
      </c>
      <c r="W12" s="7"/>
      <c r="X12" s="7">
        <v>2.2314</v>
      </c>
      <c r="Y12" s="7">
        <v>63.35</v>
      </c>
      <c r="Z12" s="7"/>
      <c r="AA12" s="7">
        <v>2.234</v>
      </c>
      <c r="AB12" s="7">
        <v>63.22</v>
      </c>
      <c r="AC12" s="7"/>
      <c r="AD12" s="7">
        <v>2.2455</v>
      </c>
      <c r="AE12" s="7">
        <v>62.92</v>
      </c>
      <c r="AF12" s="7"/>
      <c r="AG12" s="7">
        <v>2.2442</v>
      </c>
      <c r="AH12" s="7">
        <v>62.84</v>
      </c>
      <c r="AI12" s="7"/>
      <c r="AJ12" s="7">
        <v>2.2422</v>
      </c>
      <c r="AK12" s="7">
        <v>62.92</v>
      </c>
      <c r="AL12" s="7"/>
      <c r="AM12" s="7">
        <v>2.2527</v>
      </c>
      <c r="AN12" s="7">
        <v>62.78</v>
      </c>
      <c r="AO12" s="7"/>
      <c r="AP12" s="7">
        <v>2.2345</v>
      </c>
      <c r="AQ12" s="7">
        <v>63.2</v>
      </c>
      <c r="AR12" s="7"/>
      <c r="AS12" s="7">
        <v>2.2458</v>
      </c>
      <c r="AT12" s="7">
        <v>62.96</v>
      </c>
      <c r="AU12" s="7"/>
      <c r="AV12" s="7">
        <v>2.2355</v>
      </c>
      <c r="AW12" s="7">
        <v>62.98</v>
      </c>
      <c r="AX12" s="7"/>
      <c r="AY12" s="7">
        <v>2.2496</v>
      </c>
      <c r="AZ12" s="7">
        <v>62.57</v>
      </c>
      <c r="BA12" s="7"/>
      <c r="BB12" s="7">
        <v>2.2619</v>
      </c>
      <c r="BC12" s="7">
        <v>62.37</v>
      </c>
      <c r="BD12" s="7"/>
      <c r="BE12" s="7">
        <v>2.2608</v>
      </c>
      <c r="BF12" s="7">
        <v>62.25</v>
      </c>
      <c r="BG12" s="7"/>
      <c r="BH12" s="7">
        <f aca="true" t="shared" si="0" ref="BH12:BH34">(+C12+F12+I12+L12+O12+R12+U12+X12+AA12+AD12+AG12+AJ12+AM12+AP12+AS12+AV12+AY12+BB12+BE12)/19</f>
        <v>2.2476894736842103</v>
      </c>
      <c r="BI12" s="7">
        <f aca="true" t="shared" si="1" ref="BI12:BI34">(+D12+G12+J12+M12+P12+S12+V12+Y12+AB12+AE12+AH12+AK12+AN12+AQ12+AT12+AW12+AZ12+BC12+BF12)/19</f>
        <v>62.98526315789473</v>
      </c>
      <c r="BJ12" s="50"/>
      <c r="BK12" s="50"/>
      <c r="BL12" s="50"/>
      <c r="BM12" s="50"/>
      <c r="BN12" s="11"/>
      <c r="BO12" s="42"/>
      <c r="BP12" s="42"/>
      <c r="BQ12" s="42"/>
    </row>
    <row r="13" spans="1:69" ht="15" customHeight="1">
      <c r="A13" s="18">
        <v>2</v>
      </c>
      <c r="B13" s="19" t="s">
        <v>17</v>
      </c>
      <c r="C13" s="7">
        <v>133.95</v>
      </c>
      <c r="D13" s="23">
        <v>106.68</v>
      </c>
      <c r="E13" s="7"/>
      <c r="F13" s="7">
        <v>133.16</v>
      </c>
      <c r="G13" s="7">
        <v>107.23</v>
      </c>
      <c r="H13" s="7"/>
      <c r="I13" s="7">
        <v>132.57</v>
      </c>
      <c r="J13" s="7">
        <v>107.32</v>
      </c>
      <c r="K13" s="7"/>
      <c r="L13" s="7">
        <v>133.6</v>
      </c>
      <c r="M13" s="7">
        <v>106.59</v>
      </c>
      <c r="N13" s="7"/>
      <c r="O13" s="7">
        <v>133.7</v>
      </c>
      <c r="P13" s="7">
        <v>106.45</v>
      </c>
      <c r="Q13" s="7"/>
      <c r="R13" s="7">
        <v>133.93</v>
      </c>
      <c r="S13" s="7">
        <v>106.05</v>
      </c>
      <c r="T13" s="7"/>
      <c r="U13" s="7">
        <v>134.23</v>
      </c>
      <c r="V13" s="7">
        <v>105.55</v>
      </c>
      <c r="W13" s="7"/>
      <c r="X13" s="7">
        <v>133.65</v>
      </c>
      <c r="Y13" s="7">
        <v>105.77</v>
      </c>
      <c r="Z13" s="7"/>
      <c r="AA13" s="7">
        <v>132.78</v>
      </c>
      <c r="AB13" s="7">
        <v>106.36</v>
      </c>
      <c r="AC13" s="7"/>
      <c r="AD13" s="7">
        <v>132.41</v>
      </c>
      <c r="AE13" s="7">
        <v>106.7</v>
      </c>
      <c r="AF13" s="7"/>
      <c r="AG13" s="7">
        <v>132.73</v>
      </c>
      <c r="AH13" s="7">
        <v>106.25</v>
      </c>
      <c r="AI13" s="7"/>
      <c r="AJ13" s="7">
        <v>132.64</v>
      </c>
      <c r="AK13" s="7">
        <v>106.35</v>
      </c>
      <c r="AL13" s="7"/>
      <c r="AM13" s="7">
        <v>133.76</v>
      </c>
      <c r="AN13" s="7">
        <v>105.73</v>
      </c>
      <c r="AO13" s="7"/>
      <c r="AP13" s="7">
        <v>133.66</v>
      </c>
      <c r="AQ13" s="7">
        <v>105.66</v>
      </c>
      <c r="AR13" s="7"/>
      <c r="AS13" s="7">
        <v>133.54</v>
      </c>
      <c r="AT13" s="7">
        <v>105.88</v>
      </c>
      <c r="AU13" s="7"/>
      <c r="AV13" s="7">
        <v>133.92</v>
      </c>
      <c r="AW13" s="7">
        <v>105.14</v>
      </c>
      <c r="AX13" s="7"/>
      <c r="AY13" s="7">
        <v>133.81</v>
      </c>
      <c r="AZ13" s="7">
        <v>105.2</v>
      </c>
      <c r="BA13" s="7"/>
      <c r="BB13" s="7">
        <v>134.71</v>
      </c>
      <c r="BC13" s="7">
        <v>104.72</v>
      </c>
      <c r="BD13" s="7"/>
      <c r="BE13" s="7">
        <v>133.78</v>
      </c>
      <c r="BF13" s="7">
        <v>105.21</v>
      </c>
      <c r="BG13" s="7"/>
      <c r="BH13" s="7">
        <f t="shared" si="0"/>
        <v>133.50157894736844</v>
      </c>
      <c r="BI13" s="7">
        <f t="shared" si="1"/>
        <v>106.04421052631581</v>
      </c>
      <c r="BJ13" s="50"/>
      <c r="BK13" s="50"/>
      <c r="BL13" s="50"/>
      <c r="BM13" s="50"/>
      <c r="BN13" s="11"/>
      <c r="BO13" s="42"/>
      <c r="BP13" s="42"/>
      <c r="BQ13" s="11"/>
    </row>
    <row r="14" spans="1:69" ht="15" customHeight="1">
      <c r="A14" s="18">
        <v>3</v>
      </c>
      <c r="B14" s="19" t="s">
        <v>18</v>
      </c>
      <c r="C14" s="7">
        <f>1/1.4103</f>
        <v>0.7090689924129617</v>
      </c>
      <c r="D14" s="23">
        <v>201.53</v>
      </c>
      <c r="E14" s="7"/>
      <c r="F14" s="7">
        <f>1/1.4174</f>
        <v>0.7055171440666008</v>
      </c>
      <c r="G14" s="7">
        <v>202.38</v>
      </c>
      <c r="H14" s="7"/>
      <c r="I14" s="7">
        <f>1/1.4241</f>
        <v>0.7021978793624044</v>
      </c>
      <c r="J14" s="7">
        <v>202.62</v>
      </c>
      <c r="K14" s="7"/>
      <c r="L14" s="7">
        <f>1/1.4142</f>
        <v>0.7071135624381276</v>
      </c>
      <c r="M14" s="7">
        <v>201.39</v>
      </c>
      <c r="N14" s="7"/>
      <c r="O14" s="7">
        <f>1/1.4096</f>
        <v>0.7094211123723042</v>
      </c>
      <c r="P14" s="7">
        <v>200.62</v>
      </c>
      <c r="Q14" s="7"/>
      <c r="R14" s="7">
        <f>1/1.4118</f>
        <v>0.7083156254426973</v>
      </c>
      <c r="S14" s="7">
        <v>200.53</v>
      </c>
      <c r="T14" s="7"/>
      <c r="U14" s="7">
        <f>1/1.4227</f>
        <v>0.7028888732691361</v>
      </c>
      <c r="V14" s="7">
        <v>201.57</v>
      </c>
      <c r="W14" s="7"/>
      <c r="X14" s="7">
        <f>1/1.4281</f>
        <v>0.7002310762551642</v>
      </c>
      <c r="Y14" s="7">
        <v>201.88</v>
      </c>
      <c r="Z14" s="7"/>
      <c r="AA14" s="7">
        <f>1/1.4341</f>
        <v>0.6973014434139879</v>
      </c>
      <c r="AB14" s="7">
        <v>202.53</v>
      </c>
      <c r="AC14" s="7"/>
      <c r="AD14" s="7">
        <f>1/1.4285</f>
        <v>0.7000350017500875</v>
      </c>
      <c r="AE14" s="7">
        <v>201.83</v>
      </c>
      <c r="AF14" s="7"/>
      <c r="AG14" s="7">
        <f>1/1.4293</f>
        <v>0.6996431819771917</v>
      </c>
      <c r="AH14" s="7">
        <v>201.58</v>
      </c>
      <c r="AI14" s="7"/>
      <c r="AJ14" s="7">
        <f>1/1.4312</f>
        <v>0.698714365567356</v>
      </c>
      <c r="AK14" s="7">
        <v>201.9</v>
      </c>
      <c r="AL14" s="7"/>
      <c r="AM14" s="7">
        <f>1/1.4244</f>
        <v>0.7020499859590003</v>
      </c>
      <c r="AN14" s="7">
        <v>201.45</v>
      </c>
      <c r="AO14" s="7"/>
      <c r="AP14" s="7">
        <f>1/1.4306</f>
        <v>0.6990074094785405</v>
      </c>
      <c r="AQ14" s="7">
        <v>202.04</v>
      </c>
      <c r="AR14" s="7"/>
      <c r="AS14" s="7">
        <f>1/1.4255</f>
        <v>0.701508242721852</v>
      </c>
      <c r="AT14" s="7">
        <v>201.55</v>
      </c>
      <c r="AU14" s="7"/>
      <c r="AV14" s="7">
        <f>1/1.4292</f>
        <v>0.6996921354603974</v>
      </c>
      <c r="AW14" s="7">
        <v>201.23</v>
      </c>
      <c r="AX14" s="7"/>
      <c r="AY14" s="7">
        <f>1/1.4254</f>
        <v>0.7015574575557738</v>
      </c>
      <c r="AZ14" s="7">
        <v>200.65</v>
      </c>
      <c r="BA14" s="7"/>
      <c r="BB14" s="7">
        <f>1/1.4163</f>
        <v>0.7060650992021464</v>
      </c>
      <c r="BC14" s="7">
        <v>199.79</v>
      </c>
      <c r="BD14" s="7"/>
      <c r="BE14" s="7">
        <f>1/1.4159</f>
        <v>0.7062645667066884</v>
      </c>
      <c r="BF14" s="7">
        <v>199.28</v>
      </c>
      <c r="BG14" s="7"/>
      <c r="BH14" s="7">
        <f t="shared" si="0"/>
        <v>0.7029785871269694</v>
      </c>
      <c r="BI14" s="7">
        <f t="shared" si="1"/>
        <v>201.38684210526318</v>
      </c>
      <c r="BJ14" s="50"/>
      <c r="BK14" s="50"/>
      <c r="BL14" s="50"/>
      <c r="BM14" s="50"/>
      <c r="BN14" s="11"/>
      <c r="BO14" s="42"/>
      <c r="BP14" s="42"/>
      <c r="BQ14" s="11"/>
    </row>
    <row r="15" spans="1:69" ht="15" customHeight="1">
      <c r="A15" s="18">
        <v>4</v>
      </c>
      <c r="B15" s="19" t="s">
        <v>19</v>
      </c>
      <c r="C15" s="7">
        <v>1.7156</v>
      </c>
      <c r="D15" s="23">
        <v>83.29</v>
      </c>
      <c r="E15" s="7"/>
      <c r="F15" s="7">
        <v>1.7133</v>
      </c>
      <c r="G15" s="7">
        <v>83.34</v>
      </c>
      <c r="H15" s="7"/>
      <c r="I15" s="7">
        <v>1.6953</v>
      </c>
      <c r="J15" s="7">
        <v>83.93</v>
      </c>
      <c r="K15" s="7"/>
      <c r="L15" s="7">
        <v>1.697</v>
      </c>
      <c r="M15" s="7">
        <v>83.92</v>
      </c>
      <c r="N15" s="7"/>
      <c r="O15" s="7">
        <v>1.6983</v>
      </c>
      <c r="P15" s="7">
        <v>83.8</v>
      </c>
      <c r="Q15" s="7"/>
      <c r="R15" s="7">
        <v>1.686</v>
      </c>
      <c r="S15" s="7">
        <v>84.24</v>
      </c>
      <c r="T15" s="7"/>
      <c r="U15" s="7">
        <v>1.6828</v>
      </c>
      <c r="V15" s="7">
        <v>84.2</v>
      </c>
      <c r="W15" s="7"/>
      <c r="X15" s="7">
        <v>1.6838</v>
      </c>
      <c r="Y15" s="7">
        <v>83.96</v>
      </c>
      <c r="Z15" s="7"/>
      <c r="AA15" s="7">
        <v>1.6883</v>
      </c>
      <c r="AB15" s="7">
        <v>83.65</v>
      </c>
      <c r="AC15" s="7"/>
      <c r="AD15" s="7">
        <v>1.7016</v>
      </c>
      <c r="AE15" s="7">
        <v>83.03</v>
      </c>
      <c r="AF15" s="7"/>
      <c r="AG15" s="7">
        <v>1.7011</v>
      </c>
      <c r="AH15" s="7">
        <v>82.91</v>
      </c>
      <c r="AI15" s="7"/>
      <c r="AJ15" s="7">
        <v>1.6982</v>
      </c>
      <c r="AK15" s="7">
        <v>83.07</v>
      </c>
      <c r="AL15" s="7"/>
      <c r="AM15" s="7">
        <v>1.7018</v>
      </c>
      <c r="AN15" s="7">
        <v>83.1</v>
      </c>
      <c r="AO15" s="7"/>
      <c r="AP15" s="7">
        <v>1.6888</v>
      </c>
      <c r="AQ15" s="7">
        <v>83.63</v>
      </c>
      <c r="AR15" s="7"/>
      <c r="AS15" s="7">
        <v>1.6985</v>
      </c>
      <c r="AT15" s="7">
        <v>83.24</v>
      </c>
      <c r="AU15" s="7"/>
      <c r="AV15" s="7">
        <v>1.6882</v>
      </c>
      <c r="AW15" s="7">
        <v>83.4</v>
      </c>
      <c r="AX15" s="7"/>
      <c r="AY15" s="7">
        <v>1.6976</v>
      </c>
      <c r="AZ15" s="7">
        <v>82.92</v>
      </c>
      <c r="BA15" s="7"/>
      <c r="BB15" s="7">
        <v>1.7069</v>
      </c>
      <c r="BC15" s="7">
        <v>82.65</v>
      </c>
      <c r="BD15" s="7"/>
      <c r="BE15" s="7">
        <v>1.7049</v>
      </c>
      <c r="BF15" s="7">
        <v>82.55</v>
      </c>
      <c r="BG15" s="7"/>
      <c r="BH15" s="7">
        <f t="shared" si="0"/>
        <v>1.6972631578947368</v>
      </c>
      <c r="BI15" s="7">
        <f t="shared" si="1"/>
        <v>83.4121052631579</v>
      </c>
      <c r="BJ15" s="50"/>
      <c r="BK15" s="50"/>
      <c r="BL15" s="50"/>
      <c r="BM15" s="50"/>
      <c r="BN15" s="11"/>
      <c r="BO15" s="42"/>
      <c r="BP15" s="42"/>
      <c r="BQ15" s="11"/>
    </row>
    <row r="16" spans="1:69" ht="15" customHeight="1">
      <c r="A16" s="18">
        <v>5</v>
      </c>
      <c r="B16" s="19" t="s">
        <v>20</v>
      </c>
      <c r="C16" s="7">
        <v>7.6212</v>
      </c>
      <c r="D16" s="23">
        <v>18.75</v>
      </c>
      <c r="E16" s="7"/>
      <c r="F16" s="7">
        <v>7.5991</v>
      </c>
      <c r="G16" s="7">
        <v>18.79</v>
      </c>
      <c r="H16" s="7"/>
      <c r="I16" s="7">
        <v>7.538</v>
      </c>
      <c r="J16" s="7">
        <v>18.87</v>
      </c>
      <c r="K16" s="7"/>
      <c r="L16" s="7">
        <v>7.5615</v>
      </c>
      <c r="M16" s="7">
        <v>18.83</v>
      </c>
      <c r="N16" s="7"/>
      <c r="O16" s="7">
        <v>7.565</v>
      </c>
      <c r="P16" s="7">
        <v>18.81</v>
      </c>
      <c r="Q16" s="7"/>
      <c r="R16" s="7">
        <v>7.5164</v>
      </c>
      <c r="S16" s="7">
        <v>18.9</v>
      </c>
      <c r="T16" s="7"/>
      <c r="U16" s="7">
        <v>7.4821</v>
      </c>
      <c r="V16" s="7">
        <v>18.94</v>
      </c>
      <c r="W16" s="7"/>
      <c r="X16" s="7">
        <v>7.4838</v>
      </c>
      <c r="Y16" s="7">
        <v>18.89</v>
      </c>
      <c r="Z16" s="7"/>
      <c r="AA16" s="7">
        <v>7.4924</v>
      </c>
      <c r="AB16" s="7">
        <v>18.85</v>
      </c>
      <c r="AC16" s="7"/>
      <c r="AD16" s="7">
        <v>7.5311</v>
      </c>
      <c r="AE16" s="7">
        <v>18.76</v>
      </c>
      <c r="AF16" s="7"/>
      <c r="AG16" s="7">
        <v>7.5268</v>
      </c>
      <c r="AH16" s="7">
        <v>18.74</v>
      </c>
      <c r="AI16" s="7"/>
      <c r="AJ16" s="7">
        <v>7.5199</v>
      </c>
      <c r="AK16" s="7">
        <v>18.76</v>
      </c>
      <c r="AL16" s="7"/>
      <c r="AM16" s="7">
        <v>7.5554</v>
      </c>
      <c r="AN16" s="7">
        <v>18.72</v>
      </c>
      <c r="AO16" s="7"/>
      <c r="AP16" s="7">
        <v>7.4941</v>
      </c>
      <c r="AQ16" s="7">
        <v>18.85</v>
      </c>
      <c r="AR16" s="7"/>
      <c r="AS16" s="7">
        <v>7.5319</v>
      </c>
      <c r="AT16" s="7">
        <v>18.77</v>
      </c>
      <c r="AU16" s="7"/>
      <c r="AV16" s="7">
        <v>7.4975</v>
      </c>
      <c r="AW16" s="7">
        <v>18.78</v>
      </c>
      <c r="AX16" s="7"/>
      <c r="AY16" s="7">
        <v>7.5449</v>
      </c>
      <c r="AZ16" s="7">
        <v>18.66</v>
      </c>
      <c r="BA16" s="7"/>
      <c r="BB16" s="7">
        <v>7.5859</v>
      </c>
      <c r="BC16" s="7">
        <v>18.6</v>
      </c>
      <c r="BD16" s="7"/>
      <c r="BE16" s="7">
        <v>7.5824</v>
      </c>
      <c r="BF16" s="7">
        <v>18.56</v>
      </c>
      <c r="BG16" s="7"/>
      <c r="BH16" s="7">
        <f t="shared" si="0"/>
        <v>7.538389473684212</v>
      </c>
      <c r="BI16" s="7">
        <f t="shared" si="1"/>
        <v>18.780526315789476</v>
      </c>
      <c r="BJ16" s="50"/>
      <c r="BK16" s="50"/>
      <c r="BL16" s="50"/>
      <c r="BM16" s="50"/>
      <c r="BN16" s="11"/>
      <c r="BO16" s="42"/>
      <c r="BP16" s="42"/>
      <c r="BQ16" s="11"/>
    </row>
    <row r="17" spans="1:69" ht="15" customHeight="1">
      <c r="A17" s="18">
        <v>6</v>
      </c>
      <c r="B17" s="19" t="s">
        <v>21</v>
      </c>
      <c r="C17" s="7">
        <v>2.5604</v>
      </c>
      <c r="D17" s="23">
        <v>55.81</v>
      </c>
      <c r="E17" s="7"/>
      <c r="F17" s="7">
        <v>2.553</v>
      </c>
      <c r="G17" s="7">
        <v>55.93</v>
      </c>
      <c r="H17" s="7"/>
      <c r="I17" s="7">
        <v>2.5324</v>
      </c>
      <c r="J17" s="7">
        <v>56.18</v>
      </c>
      <c r="K17" s="7"/>
      <c r="L17" s="7">
        <v>2.5403</v>
      </c>
      <c r="M17" s="7">
        <v>56.06</v>
      </c>
      <c r="N17" s="7"/>
      <c r="O17" s="7">
        <v>2.5415</v>
      </c>
      <c r="P17" s="7">
        <v>56</v>
      </c>
      <c r="Q17" s="7"/>
      <c r="R17" s="7">
        <v>2.5252</v>
      </c>
      <c r="S17" s="7">
        <v>56.25</v>
      </c>
      <c r="T17" s="7"/>
      <c r="U17" s="7">
        <v>2.5136</v>
      </c>
      <c r="V17" s="7">
        <v>56.37</v>
      </c>
      <c r="W17" s="7"/>
      <c r="X17" s="7">
        <v>2.5142</v>
      </c>
      <c r="Y17" s="7">
        <v>56.23</v>
      </c>
      <c r="Z17" s="7"/>
      <c r="AA17" s="7">
        <v>2.5171</v>
      </c>
      <c r="AB17" s="7">
        <v>56.11</v>
      </c>
      <c r="AC17" s="7"/>
      <c r="AD17" s="7">
        <v>2.5301</v>
      </c>
      <c r="AE17" s="7">
        <v>55.84</v>
      </c>
      <c r="AF17" s="7"/>
      <c r="AG17" s="7">
        <v>2.5286</v>
      </c>
      <c r="AH17" s="7">
        <v>55.77</v>
      </c>
      <c r="AI17" s="7"/>
      <c r="AJ17" s="7">
        <v>2.5263</v>
      </c>
      <c r="AK17" s="7">
        <v>55.84</v>
      </c>
      <c r="AL17" s="7"/>
      <c r="AM17" s="7">
        <v>2.5383</v>
      </c>
      <c r="AN17" s="7">
        <v>55.72</v>
      </c>
      <c r="AO17" s="7"/>
      <c r="AP17" s="7">
        <v>2.5177</v>
      </c>
      <c r="AQ17" s="7">
        <v>56.09</v>
      </c>
      <c r="AR17" s="7"/>
      <c r="AS17" s="7">
        <v>2.5304</v>
      </c>
      <c r="AT17" s="7">
        <v>55.88</v>
      </c>
      <c r="AU17" s="7"/>
      <c r="AV17" s="7">
        <v>2.5188</v>
      </c>
      <c r="AW17" s="7">
        <v>55.9</v>
      </c>
      <c r="AX17" s="7"/>
      <c r="AY17" s="7">
        <v>2.5347</v>
      </c>
      <c r="AZ17" s="7">
        <v>55.53</v>
      </c>
      <c r="BA17" s="7"/>
      <c r="BB17" s="7">
        <v>2.5485</v>
      </c>
      <c r="BC17" s="7">
        <v>55.35</v>
      </c>
      <c r="BD17" s="7"/>
      <c r="BE17" s="7">
        <v>2.5473</v>
      </c>
      <c r="BF17" s="7">
        <v>55.25</v>
      </c>
      <c r="BG17" s="7"/>
      <c r="BH17" s="7">
        <f t="shared" si="0"/>
        <v>2.5325473684210524</v>
      </c>
      <c r="BI17" s="7">
        <f t="shared" si="1"/>
        <v>55.90052631578948</v>
      </c>
      <c r="BJ17" s="50"/>
      <c r="BK17" s="50"/>
      <c r="BL17" s="50"/>
      <c r="BM17" s="50"/>
      <c r="BN17" s="11"/>
      <c r="BO17" s="42"/>
      <c r="BP17" s="42"/>
      <c r="BQ17" s="11"/>
    </row>
    <row r="18" spans="1:69" ht="15" customHeight="1">
      <c r="A18" s="18">
        <v>7</v>
      </c>
      <c r="B18" s="19" t="s">
        <v>22</v>
      </c>
      <c r="C18" s="7">
        <v>2249.6456</v>
      </c>
      <c r="D18" s="23">
        <v>63.52</v>
      </c>
      <c r="E18" s="7"/>
      <c r="F18" s="7">
        <v>2243.1302</v>
      </c>
      <c r="G18" s="7">
        <v>63.65</v>
      </c>
      <c r="H18" s="7"/>
      <c r="I18" s="7">
        <v>2225.0862</v>
      </c>
      <c r="J18" s="7">
        <v>63.94</v>
      </c>
      <c r="K18" s="7"/>
      <c r="L18" s="7">
        <v>2232.0115</v>
      </c>
      <c r="M18" s="7">
        <v>63.8</v>
      </c>
      <c r="N18" s="7"/>
      <c r="O18" s="7">
        <v>2233.0412</v>
      </c>
      <c r="P18" s="7">
        <v>63.74</v>
      </c>
      <c r="Q18" s="7"/>
      <c r="R18" s="7">
        <v>2218.712</v>
      </c>
      <c r="S18" s="7">
        <v>64.02</v>
      </c>
      <c r="T18" s="7"/>
      <c r="U18" s="7">
        <v>2208.589</v>
      </c>
      <c r="V18" s="7">
        <v>64.15</v>
      </c>
      <c r="W18" s="7"/>
      <c r="X18" s="7">
        <v>2209.093</v>
      </c>
      <c r="Y18" s="7">
        <v>63.99</v>
      </c>
      <c r="Z18" s="7"/>
      <c r="AA18" s="7">
        <v>2211.6162</v>
      </c>
      <c r="AB18" s="7">
        <v>63.86</v>
      </c>
      <c r="AC18" s="7"/>
      <c r="AD18" s="7">
        <v>2223.0425</v>
      </c>
      <c r="AE18" s="7">
        <v>63.56</v>
      </c>
      <c r="AF18" s="7"/>
      <c r="AG18" s="7">
        <v>2221.7671</v>
      </c>
      <c r="AH18" s="7">
        <v>63.48</v>
      </c>
      <c r="AI18" s="7"/>
      <c r="AJ18" s="7">
        <v>2219.7295</v>
      </c>
      <c r="AK18" s="7">
        <v>63.55</v>
      </c>
      <c r="AL18" s="7"/>
      <c r="AM18" s="7">
        <v>2230.2119</v>
      </c>
      <c r="AN18" s="7">
        <v>63.41</v>
      </c>
      <c r="AO18" s="7"/>
      <c r="AP18" s="7">
        <v>2212.1216</v>
      </c>
      <c r="AQ18" s="7">
        <v>63.84</v>
      </c>
      <c r="AR18" s="7"/>
      <c r="AS18" s="7">
        <v>2223.2977</v>
      </c>
      <c r="AT18" s="7">
        <v>63.59</v>
      </c>
      <c r="AU18" s="7"/>
      <c r="AV18" s="7">
        <v>2213.1329</v>
      </c>
      <c r="AW18" s="7">
        <v>63.62</v>
      </c>
      <c r="AX18" s="7"/>
      <c r="AY18" s="7">
        <v>2227.1337</v>
      </c>
      <c r="AZ18" s="7">
        <v>63.2</v>
      </c>
      <c r="BA18" s="7"/>
      <c r="BB18" s="7">
        <v>2239.239</v>
      </c>
      <c r="BC18" s="7">
        <v>63</v>
      </c>
      <c r="BD18" s="7"/>
      <c r="BE18" s="7">
        <v>2238.2037</v>
      </c>
      <c r="BF18" s="7">
        <v>62.88</v>
      </c>
      <c r="BG18" s="7"/>
      <c r="BH18" s="7">
        <f t="shared" si="0"/>
        <v>2225.200236842105</v>
      </c>
      <c r="BI18" s="7">
        <f t="shared" si="1"/>
        <v>63.621052631578955</v>
      </c>
      <c r="BJ18" s="50"/>
      <c r="BK18" s="50"/>
      <c r="BL18" s="50"/>
      <c r="BM18" s="50"/>
      <c r="BN18" s="11"/>
      <c r="BO18" s="42"/>
      <c r="BP18" s="42"/>
      <c r="BQ18" s="42"/>
    </row>
    <row r="19" spans="1:69" ht="15" customHeight="1">
      <c r="A19" s="18">
        <v>8</v>
      </c>
      <c r="B19" s="19" t="s">
        <v>23</v>
      </c>
      <c r="C19" s="7">
        <v>46.8687</v>
      </c>
      <c r="D19" s="23">
        <v>3.05</v>
      </c>
      <c r="E19" s="7"/>
      <c r="F19" s="7">
        <v>46.733</v>
      </c>
      <c r="G19" s="7">
        <v>3.06</v>
      </c>
      <c r="H19" s="7"/>
      <c r="I19" s="7">
        <v>46.357</v>
      </c>
      <c r="J19" s="7">
        <v>3.07</v>
      </c>
      <c r="K19" s="7"/>
      <c r="L19" s="7">
        <v>46.5013</v>
      </c>
      <c r="M19" s="7">
        <v>3.06</v>
      </c>
      <c r="N19" s="7"/>
      <c r="O19" s="7">
        <v>46.5228</v>
      </c>
      <c r="P19" s="7">
        <v>3.06</v>
      </c>
      <c r="Q19" s="7"/>
      <c r="R19" s="7">
        <v>46.2242</v>
      </c>
      <c r="S19" s="7">
        <v>3.07</v>
      </c>
      <c r="T19" s="7"/>
      <c r="U19" s="7">
        <v>46.0133</v>
      </c>
      <c r="V19" s="7">
        <v>3.08</v>
      </c>
      <c r="W19" s="7"/>
      <c r="X19" s="7">
        <v>46.0238</v>
      </c>
      <c r="Y19" s="7">
        <v>3.07</v>
      </c>
      <c r="Z19" s="7"/>
      <c r="AA19" s="7">
        <v>46.0764</v>
      </c>
      <c r="AB19" s="7">
        <v>3.07</v>
      </c>
      <c r="AC19" s="7"/>
      <c r="AD19" s="7">
        <v>46.3145</v>
      </c>
      <c r="AE19" s="7">
        <v>3.05</v>
      </c>
      <c r="AF19" s="7"/>
      <c r="AG19" s="7">
        <v>46.2879</v>
      </c>
      <c r="AH19" s="7">
        <v>3.05</v>
      </c>
      <c r="AI19" s="7"/>
      <c r="AJ19" s="7">
        <v>46.2454</v>
      </c>
      <c r="AK19" s="7">
        <v>3.05</v>
      </c>
      <c r="AL19" s="7"/>
      <c r="AM19" s="7">
        <v>46.4638</v>
      </c>
      <c r="AN19" s="7">
        <v>3.04</v>
      </c>
      <c r="AO19" s="7"/>
      <c r="AP19" s="7">
        <v>46.0869</v>
      </c>
      <c r="AQ19" s="7">
        <v>3.06</v>
      </c>
      <c r="AR19" s="7"/>
      <c r="AS19" s="7">
        <v>46.3198</v>
      </c>
      <c r="AT19" s="7">
        <v>3.05</v>
      </c>
      <c r="AU19" s="7"/>
      <c r="AV19" s="7">
        <v>46.108</v>
      </c>
      <c r="AW19" s="7">
        <v>3.05</v>
      </c>
      <c r="AX19" s="7"/>
      <c r="AY19" s="7">
        <v>46.3997</v>
      </c>
      <c r="AZ19" s="7">
        <v>3.03</v>
      </c>
      <c r="BA19" s="7"/>
      <c r="BB19" s="7">
        <v>46.6519</v>
      </c>
      <c r="BC19" s="7">
        <v>3.02</v>
      </c>
      <c r="BD19" s="7"/>
      <c r="BE19" s="7">
        <v>46.6303</v>
      </c>
      <c r="BF19" s="7">
        <v>3.02</v>
      </c>
      <c r="BG19" s="7"/>
      <c r="BH19" s="7">
        <f t="shared" si="0"/>
        <v>46.35940526315789</v>
      </c>
      <c r="BI19" s="7">
        <f t="shared" si="1"/>
        <v>3.0531578947368425</v>
      </c>
      <c r="BJ19" s="50"/>
      <c r="BK19" s="50"/>
      <c r="BL19" s="50"/>
      <c r="BM19" s="50"/>
      <c r="BN19" s="11"/>
      <c r="BO19" s="42"/>
      <c r="BP19" s="42"/>
      <c r="BQ19" s="11"/>
    </row>
    <row r="20" spans="1:69" ht="15" customHeight="1">
      <c r="A20" s="18">
        <v>9</v>
      </c>
      <c r="B20" s="19" t="s">
        <v>24</v>
      </c>
      <c r="C20" s="7">
        <f>1/0.8607</f>
        <v>1.1618450098756825</v>
      </c>
      <c r="D20" s="23">
        <v>122.99</v>
      </c>
      <c r="E20" s="7"/>
      <c r="F20" s="7">
        <f>1/0.8632</f>
        <v>1.1584800741427248</v>
      </c>
      <c r="G20" s="7">
        <v>123.25</v>
      </c>
      <c r="H20" s="7"/>
      <c r="I20" s="7">
        <f>1/0.8702</f>
        <v>1.1491611123879568</v>
      </c>
      <c r="J20" s="7">
        <v>123.81</v>
      </c>
      <c r="K20" s="7"/>
      <c r="L20" s="7">
        <f>1/0.8675</f>
        <v>1.1527377521613833</v>
      </c>
      <c r="M20" s="7">
        <v>123.54</v>
      </c>
      <c r="N20" s="7"/>
      <c r="O20" s="7">
        <f>1/0.8671</f>
        <v>1.1532695190866105</v>
      </c>
      <c r="P20" s="7">
        <v>123.41</v>
      </c>
      <c r="Q20" s="7"/>
      <c r="R20" s="7">
        <f>1/0.8727</f>
        <v>1.1458691417440128</v>
      </c>
      <c r="S20" s="7">
        <v>123.96</v>
      </c>
      <c r="T20" s="7"/>
      <c r="U20" s="7">
        <f>1/0.8767</f>
        <v>1.1406410402646288</v>
      </c>
      <c r="V20" s="7">
        <v>124.21</v>
      </c>
      <c r="W20" s="7"/>
      <c r="X20" s="7">
        <f>1/0.8765</f>
        <v>1.140901312036509</v>
      </c>
      <c r="Y20" s="7">
        <v>123.91</v>
      </c>
      <c r="Z20" s="7"/>
      <c r="AA20" s="7">
        <f>1/0.8755</f>
        <v>1.142204454597373</v>
      </c>
      <c r="AB20" s="7">
        <v>123.64</v>
      </c>
      <c r="AC20" s="7"/>
      <c r="AD20" s="7">
        <f>1/0.871</f>
        <v>1.148105625717566</v>
      </c>
      <c r="AE20" s="7">
        <v>123.06</v>
      </c>
      <c r="AF20" s="7"/>
      <c r="AG20" s="7">
        <f>1/0.8715</f>
        <v>1.1474469305794606</v>
      </c>
      <c r="AH20" s="7">
        <v>122.91</v>
      </c>
      <c r="AI20" s="7"/>
      <c r="AJ20" s="7">
        <f>1/0.8723</f>
        <v>1.14639458901754</v>
      </c>
      <c r="AK20" s="7">
        <v>123.05</v>
      </c>
      <c r="AL20" s="7"/>
      <c r="AM20" s="24">
        <f>1/0.8682</f>
        <v>1.151808339092375</v>
      </c>
      <c r="AN20" s="7">
        <v>122.79</v>
      </c>
      <c r="AO20" s="7"/>
      <c r="AP20" s="24">
        <f>1/0.8753</f>
        <v>1.1424654404204273</v>
      </c>
      <c r="AQ20" s="7">
        <v>123.62</v>
      </c>
      <c r="AR20" s="7"/>
      <c r="AS20" s="7">
        <f>1/0.8709</f>
        <v>1.1482374555057986</v>
      </c>
      <c r="AT20" s="7">
        <v>123.13</v>
      </c>
      <c r="AU20" s="7"/>
      <c r="AV20" s="7">
        <f>1/0.8749</f>
        <v>1.1429877700308606</v>
      </c>
      <c r="AW20" s="7">
        <v>123.18</v>
      </c>
      <c r="AX20" s="7"/>
      <c r="AY20" s="7">
        <f>1/0.8694</f>
        <v>1.1502185415228894</v>
      </c>
      <c r="AZ20" s="7">
        <v>122.38</v>
      </c>
      <c r="BA20" s="7"/>
      <c r="BB20" s="7">
        <f>1/0.8647</f>
        <v>1.1564704521799467</v>
      </c>
      <c r="BC20" s="7">
        <v>121.98</v>
      </c>
      <c r="BD20" s="7"/>
      <c r="BE20" s="7">
        <f>1/0.8651</f>
        <v>1.1559357299734134</v>
      </c>
      <c r="BF20" s="7">
        <v>121.76</v>
      </c>
      <c r="BG20" s="7"/>
      <c r="BH20" s="7">
        <f t="shared" si="0"/>
        <v>1.1492200152809031</v>
      </c>
      <c r="BI20" s="7">
        <f t="shared" si="1"/>
        <v>123.1884210526316</v>
      </c>
      <c r="BJ20" s="50"/>
      <c r="BK20" s="50"/>
      <c r="BL20" s="50"/>
      <c r="BM20" s="50"/>
      <c r="BN20" s="11"/>
      <c r="BO20" s="42"/>
      <c r="BP20" s="42"/>
      <c r="BQ20" s="11"/>
    </row>
    <row r="21" spans="1:69" ht="15" customHeight="1">
      <c r="A21" s="18">
        <v>10</v>
      </c>
      <c r="B21" s="19" t="s">
        <v>25</v>
      </c>
      <c r="C21" s="7">
        <v>281.9</v>
      </c>
      <c r="D21" s="23">
        <v>40283.69</v>
      </c>
      <c r="E21" s="7"/>
      <c r="F21" s="7">
        <v>285.75</v>
      </c>
      <c r="G21" s="7">
        <v>40800.46</v>
      </c>
      <c r="H21" s="7"/>
      <c r="I21" s="7">
        <v>290.05</v>
      </c>
      <c r="J21" s="7">
        <v>41267.77</v>
      </c>
      <c r="K21" s="7"/>
      <c r="L21" s="7">
        <v>297.75</v>
      </c>
      <c r="M21" s="7">
        <v>42401.27</v>
      </c>
      <c r="N21" s="7"/>
      <c r="O21" s="7">
        <v>300</v>
      </c>
      <c r="P21" s="7">
        <v>42697.13</v>
      </c>
      <c r="Q21" s="7"/>
      <c r="R21" s="7">
        <v>304.5</v>
      </c>
      <c r="S21" s="7">
        <v>43250.09</v>
      </c>
      <c r="T21" s="7"/>
      <c r="U21" s="7">
        <v>301.1</v>
      </c>
      <c r="V21" s="7">
        <v>42661.17</v>
      </c>
      <c r="W21" s="7"/>
      <c r="X21" s="7">
        <v>298.4</v>
      </c>
      <c r="Y21" s="7">
        <v>42183.13</v>
      </c>
      <c r="Z21" s="7"/>
      <c r="AA21" s="7">
        <v>298.7</v>
      </c>
      <c r="AB21" s="7">
        <v>42183.91</v>
      </c>
      <c r="AC21" s="7"/>
      <c r="AD21" s="7">
        <v>298.6</v>
      </c>
      <c r="AE21" s="7">
        <v>42188.07</v>
      </c>
      <c r="AF21" s="7"/>
      <c r="AG21" s="7">
        <v>300.4</v>
      </c>
      <c r="AH21" s="7">
        <v>42365.79</v>
      </c>
      <c r="AI21" s="7"/>
      <c r="AJ21" s="7">
        <v>298</v>
      </c>
      <c r="AK21" s="7">
        <v>42038.3</v>
      </c>
      <c r="AL21" s="7"/>
      <c r="AM21" s="7">
        <v>297</v>
      </c>
      <c r="AN21" s="7">
        <v>42003.23</v>
      </c>
      <c r="AO21" s="7"/>
      <c r="AP21" s="7">
        <v>294</v>
      </c>
      <c r="AQ21" s="7">
        <v>41521.07</v>
      </c>
      <c r="AR21" s="7"/>
      <c r="AS21" s="7">
        <v>291.4</v>
      </c>
      <c r="AT21" s="7">
        <v>41200.5</v>
      </c>
      <c r="AU21" s="7"/>
      <c r="AV21" s="7">
        <v>291.75</v>
      </c>
      <c r="AW21" s="7">
        <v>41077.67</v>
      </c>
      <c r="AX21" s="7"/>
      <c r="AY21" s="7">
        <v>292.7</v>
      </c>
      <c r="AZ21" s="7">
        <v>41202.1</v>
      </c>
      <c r="BA21" s="7"/>
      <c r="BB21" s="7">
        <v>298.9</v>
      </c>
      <c r="BC21" s="7">
        <v>42165.26</v>
      </c>
      <c r="BD21" s="7"/>
      <c r="BE21" s="7">
        <v>296.5</v>
      </c>
      <c r="BF21" s="7">
        <v>41730.89</v>
      </c>
      <c r="BG21" s="7"/>
      <c r="BH21" s="7">
        <f t="shared" si="0"/>
        <v>295.6526315789473</v>
      </c>
      <c r="BI21" s="7">
        <f t="shared" si="1"/>
        <v>41853.76315789474</v>
      </c>
      <c r="BJ21" s="50"/>
      <c r="BK21" s="50"/>
      <c r="BL21" s="50"/>
      <c r="BM21" s="50"/>
      <c r="BN21" s="11"/>
      <c r="BO21" s="42"/>
      <c r="BP21" s="42"/>
      <c r="BQ21" s="11"/>
    </row>
    <row r="22" spans="1:69" ht="15" customHeight="1">
      <c r="A22" s="18">
        <v>11</v>
      </c>
      <c r="B22" s="25" t="s">
        <v>26</v>
      </c>
      <c r="C22" s="7">
        <v>4.24</v>
      </c>
      <c r="D22" s="23">
        <v>605.9</v>
      </c>
      <c r="E22" s="7"/>
      <c r="F22" s="7">
        <v>4.3</v>
      </c>
      <c r="G22" s="7">
        <v>613.97</v>
      </c>
      <c r="H22" s="7"/>
      <c r="I22" s="7">
        <v>4.32</v>
      </c>
      <c r="J22" s="7">
        <v>614.64</v>
      </c>
      <c r="K22" s="7"/>
      <c r="L22" s="7">
        <v>4.44</v>
      </c>
      <c r="M22" s="7">
        <v>632.28</v>
      </c>
      <c r="N22" s="7"/>
      <c r="O22" s="7">
        <v>4.39</v>
      </c>
      <c r="P22" s="7">
        <v>624.8</v>
      </c>
      <c r="Q22" s="7"/>
      <c r="R22" s="7">
        <v>4.42</v>
      </c>
      <c r="S22" s="7">
        <v>627.8</v>
      </c>
      <c r="T22" s="7"/>
      <c r="U22" s="7">
        <v>4.41</v>
      </c>
      <c r="V22" s="7">
        <v>624.83</v>
      </c>
      <c r="W22" s="7"/>
      <c r="X22" s="7">
        <v>4.4</v>
      </c>
      <c r="Y22" s="7">
        <v>622</v>
      </c>
      <c r="Z22" s="7"/>
      <c r="AA22" s="7">
        <v>4.44</v>
      </c>
      <c r="AB22" s="7">
        <v>627.04</v>
      </c>
      <c r="AC22" s="7"/>
      <c r="AD22" s="7">
        <v>4.5</v>
      </c>
      <c r="AE22" s="7">
        <v>635.79</v>
      </c>
      <c r="AF22" s="7"/>
      <c r="AG22" s="7">
        <v>4.58</v>
      </c>
      <c r="AH22" s="7">
        <v>645.92</v>
      </c>
      <c r="AI22" s="7"/>
      <c r="AJ22" s="7">
        <v>4.55</v>
      </c>
      <c r="AK22" s="7">
        <v>641.86</v>
      </c>
      <c r="AL22" s="7"/>
      <c r="AM22" s="7">
        <v>4.52</v>
      </c>
      <c r="AN22" s="7">
        <v>639.24</v>
      </c>
      <c r="AO22" s="7"/>
      <c r="AP22" s="7">
        <v>4.5</v>
      </c>
      <c r="AQ22" s="7">
        <v>635.53</v>
      </c>
      <c r="AR22" s="7"/>
      <c r="AS22" s="7">
        <v>4.4</v>
      </c>
      <c r="AT22" s="7">
        <v>622.11</v>
      </c>
      <c r="AU22" s="7"/>
      <c r="AV22" s="7">
        <v>4.39</v>
      </c>
      <c r="AW22" s="7">
        <v>618.1</v>
      </c>
      <c r="AX22" s="7"/>
      <c r="AY22" s="7">
        <v>4.38</v>
      </c>
      <c r="AZ22" s="7">
        <v>616.55</v>
      </c>
      <c r="BA22" s="7"/>
      <c r="BB22" s="7">
        <v>4.47</v>
      </c>
      <c r="BC22" s="7">
        <v>630.57</v>
      </c>
      <c r="BD22" s="7"/>
      <c r="BE22" s="7">
        <v>4.43</v>
      </c>
      <c r="BF22" s="7">
        <v>623.5</v>
      </c>
      <c r="BG22" s="7"/>
      <c r="BH22" s="7">
        <f t="shared" si="0"/>
        <v>4.425263157894736</v>
      </c>
      <c r="BI22" s="7">
        <f t="shared" si="1"/>
        <v>626.4436842105264</v>
      </c>
      <c r="BJ22" s="50"/>
      <c r="BK22" s="50"/>
      <c r="BL22" s="50"/>
      <c r="BM22" s="50"/>
      <c r="BN22" s="11"/>
      <c r="BO22" s="42"/>
      <c r="BP22" s="42"/>
      <c r="BQ22" s="11"/>
    </row>
    <row r="23" spans="1:69" ht="15" customHeight="1">
      <c r="A23" s="18">
        <v>12</v>
      </c>
      <c r="B23" s="19" t="s">
        <v>27</v>
      </c>
      <c r="C23" s="7">
        <f>1/0.5075</f>
        <v>1.9704433497536948</v>
      </c>
      <c r="D23" s="23">
        <v>72.52</v>
      </c>
      <c r="E23" s="7"/>
      <c r="F23" s="7">
        <f>1/0.5105</f>
        <v>1.9588638589618024</v>
      </c>
      <c r="G23" s="7">
        <v>72.89</v>
      </c>
      <c r="H23" s="7"/>
      <c r="I23" s="7">
        <f>1/0.5111</f>
        <v>1.9565642731363726</v>
      </c>
      <c r="J23" s="7">
        <v>72.72</v>
      </c>
      <c r="K23" s="7"/>
      <c r="L23" s="7">
        <f>1/0.5073</f>
        <v>1.9712201852946976</v>
      </c>
      <c r="M23" s="7">
        <v>72.24</v>
      </c>
      <c r="N23" s="7"/>
      <c r="O23" s="7">
        <f>1/0.5074</f>
        <v>1.970831690973591</v>
      </c>
      <c r="P23" s="7">
        <v>72.22</v>
      </c>
      <c r="Q23" s="7"/>
      <c r="R23" s="7">
        <f>1/0.5108</f>
        <v>1.9577133907595927</v>
      </c>
      <c r="S23" s="7">
        <v>72.55</v>
      </c>
      <c r="T23" s="7"/>
      <c r="U23" s="7">
        <f>1/0.5134</f>
        <v>1.9477989871445267</v>
      </c>
      <c r="V23" s="7">
        <v>72.74</v>
      </c>
      <c r="W23" s="7"/>
      <c r="X23" s="7">
        <f>1/0.5097</f>
        <v>1.9619383951343927</v>
      </c>
      <c r="Y23" s="7">
        <v>72.05</v>
      </c>
      <c r="Z23" s="7"/>
      <c r="AA23" s="7">
        <f>1/0.5073</f>
        <v>1.9712201852946976</v>
      </c>
      <c r="AB23" s="7">
        <v>71.64</v>
      </c>
      <c r="AC23" s="7"/>
      <c r="AD23" s="7">
        <f>1/0.5134</f>
        <v>1.9477989871445267</v>
      </c>
      <c r="AE23" s="7">
        <v>72.54</v>
      </c>
      <c r="AF23" s="7"/>
      <c r="AG23" s="7">
        <f>1/0.5182</f>
        <v>1.9297568506368197</v>
      </c>
      <c r="AH23" s="7">
        <v>73.08</v>
      </c>
      <c r="AI23" s="7"/>
      <c r="AJ23" s="7">
        <f>1/0.5177</f>
        <v>1.9316206297083252</v>
      </c>
      <c r="AK23" s="7">
        <v>73.03</v>
      </c>
      <c r="AL23" s="7"/>
      <c r="AM23" s="7">
        <f>1/0.5162</f>
        <v>1.9372336303758233</v>
      </c>
      <c r="AN23" s="7">
        <v>73</v>
      </c>
      <c r="AO23" s="7"/>
      <c r="AP23" s="7">
        <f>1/0.5164</f>
        <v>1.9364833462432225</v>
      </c>
      <c r="AQ23" s="7">
        <v>72.93</v>
      </c>
      <c r="AR23" s="7"/>
      <c r="AS23" s="7">
        <f>1/0.5158</f>
        <v>1.9387359441644048</v>
      </c>
      <c r="AT23" s="7">
        <v>72.93</v>
      </c>
      <c r="AU23" s="7"/>
      <c r="AV23" s="7">
        <f>1/0.5128</f>
        <v>1.9500780031201246</v>
      </c>
      <c r="AW23" s="7">
        <v>72.2</v>
      </c>
      <c r="AX23" s="7"/>
      <c r="AY23" s="7">
        <f>1/0.5142</f>
        <v>1.9447685725398678</v>
      </c>
      <c r="AZ23" s="7">
        <v>72.38</v>
      </c>
      <c r="BA23" s="7"/>
      <c r="BB23" s="7">
        <f>1/0.5128</f>
        <v>1.9500780031201246</v>
      </c>
      <c r="BC23" s="7">
        <v>72.34</v>
      </c>
      <c r="BD23" s="7"/>
      <c r="BE23" s="7">
        <f>1/0.5159</f>
        <v>1.938360147315371</v>
      </c>
      <c r="BF23" s="7">
        <v>72.61</v>
      </c>
      <c r="BG23" s="7"/>
      <c r="BH23" s="7">
        <f t="shared" si="0"/>
        <v>1.9511320226748414</v>
      </c>
      <c r="BI23" s="7">
        <f t="shared" si="1"/>
        <v>72.55842105263159</v>
      </c>
      <c r="BJ23" s="50"/>
      <c r="BK23" s="50"/>
      <c r="BL23" s="50"/>
      <c r="BM23" s="50"/>
      <c r="BN23" s="11"/>
      <c r="BO23" s="42"/>
      <c r="BP23" s="42"/>
      <c r="BQ23" s="11"/>
    </row>
    <row r="24" spans="1:69" ht="15" customHeight="1">
      <c r="A24" s="18">
        <v>13</v>
      </c>
      <c r="B24" s="19" t="s">
        <v>28</v>
      </c>
      <c r="C24" s="7">
        <v>1.5908</v>
      </c>
      <c r="D24" s="23">
        <v>89.83</v>
      </c>
      <c r="E24" s="7"/>
      <c r="F24" s="7">
        <v>1.5904</v>
      </c>
      <c r="G24" s="7">
        <v>89.78</v>
      </c>
      <c r="H24" s="7"/>
      <c r="I24" s="7">
        <v>1.5963</v>
      </c>
      <c r="J24" s="7">
        <v>89.13</v>
      </c>
      <c r="K24" s="7"/>
      <c r="L24" s="7">
        <v>1.6025</v>
      </c>
      <c r="M24" s="7">
        <v>88.86</v>
      </c>
      <c r="N24" s="7"/>
      <c r="O24" s="7">
        <v>1.6059</v>
      </c>
      <c r="P24" s="7">
        <v>88.63</v>
      </c>
      <c r="Q24" s="7"/>
      <c r="R24" s="7">
        <v>1.5997</v>
      </c>
      <c r="S24" s="7">
        <v>88.79</v>
      </c>
      <c r="T24" s="7"/>
      <c r="U24" s="7">
        <v>1.5937</v>
      </c>
      <c r="V24" s="7">
        <v>88.9</v>
      </c>
      <c r="W24" s="7"/>
      <c r="X24" s="7">
        <v>1.5884</v>
      </c>
      <c r="Y24" s="7">
        <v>89</v>
      </c>
      <c r="Z24" s="7"/>
      <c r="AA24" s="7">
        <v>1.5916</v>
      </c>
      <c r="AB24" s="7">
        <v>88.73</v>
      </c>
      <c r="AC24" s="7"/>
      <c r="AD24" s="7">
        <v>1.5886</v>
      </c>
      <c r="AE24" s="7">
        <v>88.94</v>
      </c>
      <c r="AF24" s="7"/>
      <c r="AG24" s="7">
        <v>1.5911</v>
      </c>
      <c r="AH24" s="7">
        <v>88.64</v>
      </c>
      <c r="AI24" s="7"/>
      <c r="AJ24" s="7">
        <v>1.5904</v>
      </c>
      <c r="AK24" s="7">
        <v>88.7</v>
      </c>
      <c r="AL24" s="7"/>
      <c r="AM24" s="7">
        <v>1.5894</v>
      </c>
      <c r="AN24" s="7">
        <v>88.98</v>
      </c>
      <c r="AO24" s="7"/>
      <c r="AP24" s="7">
        <v>1.5897</v>
      </c>
      <c r="AQ24" s="7">
        <v>88.84</v>
      </c>
      <c r="AR24" s="7"/>
      <c r="AS24" s="7">
        <v>1.5891</v>
      </c>
      <c r="AT24" s="7">
        <v>88.97</v>
      </c>
      <c r="AU24" s="7"/>
      <c r="AV24" s="7">
        <v>1.597</v>
      </c>
      <c r="AW24" s="7">
        <v>88.16</v>
      </c>
      <c r="AX24" s="7"/>
      <c r="AY24" s="7">
        <v>1.6054</v>
      </c>
      <c r="AZ24" s="7">
        <v>87.68</v>
      </c>
      <c r="BA24" s="7"/>
      <c r="BB24" s="7">
        <v>1.6074</v>
      </c>
      <c r="BC24" s="7">
        <v>87.76</v>
      </c>
      <c r="BD24" s="7"/>
      <c r="BE24" s="7">
        <v>1.6069</v>
      </c>
      <c r="BF24" s="7">
        <v>87.59</v>
      </c>
      <c r="BG24" s="7"/>
      <c r="BH24" s="7">
        <f t="shared" si="0"/>
        <v>1.5954894736842102</v>
      </c>
      <c r="BI24" s="7">
        <f t="shared" si="1"/>
        <v>88.73210526315789</v>
      </c>
      <c r="BJ24" s="50"/>
      <c r="BK24" s="50"/>
      <c r="BL24" s="50"/>
      <c r="BM24" s="50"/>
      <c r="BN24" s="11"/>
      <c r="BO24" s="42"/>
      <c r="BP24" s="42"/>
      <c r="BQ24" s="11"/>
    </row>
    <row r="25" spans="1:69" ht="15" customHeight="1">
      <c r="A25" s="18">
        <v>14</v>
      </c>
      <c r="B25" s="19" t="s">
        <v>29</v>
      </c>
      <c r="C25" s="7">
        <v>15.9873</v>
      </c>
      <c r="D25" s="23">
        <v>8.94</v>
      </c>
      <c r="E25" s="7"/>
      <c r="F25" s="7">
        <v>15.941</v>
      </c>
      <c r="G25" s="7">
        <v>8.96</v>
      </c>
      <c r="H25" s="7"/>
      <c r="I25" s="7">
        <v>15.8128</v>
      </c>
      <c r="J25" s="7">
        <v>9</v>
      </c>
      <c r="K25" s="7"/>
      <c r="L25" s="7">
        <v>15.862</v>
      </c>
      <c r="M25" s="7">
        <v>8.98</v>
      </c>
      <c r="N25" s="7"/>
      <c r="O25" s="7">
        <v>15.8693</v>
      </c>
      <c r="P25" s="7">
        <v>8.97</v>
      </c>
      <c r="Q25" s="7"/>
      <c r="R25" s="7">
        <v>15.7675</v>
      </c>
      <c r="S25" s="7">
        <v>9.01</v>
      </c>
      <c r="T25" s="7"/>
      <c r="U25" s="7">
        <v>15.6956</v>
      </c>
      <c r="V25" s="7">
        <v>9.03</v>
      </c>
      <c r="W25" s="7"/>
      <c r="X25" s="7">
        <v>15.6991</v>
      </c>
      <c r="Y25" s="7">
        <v>9</v>
      </c>
      <c r="Z25" s="7"/>
      <c r="AA25" s="7">
        <v>15.7171</v>
      </c>
      <c r="AB25" s="7">
        <v>8.99</v>
      </c>
      <c r="AC25" s="7"/>
      <c r="AD25" s="7">
        <v>15.7983</v>
      </c>
      <c r="AE25" s="7">
        <v>8.94</v>
      </c>
      <c r="AF25" s="7"/>
      <c r="AG25" s="7">
        <v>15.7892</v>
      </c>
      <c r="AH25" s="7">
        <v>8.93</v>
      </c>
      <c r="AI25" s="7"/>
      <c r="AJ25" s="7">
        <v>15.7747</v>
      </c>
      <c r="AK25" s="7">
        <v>8.94</v>
      </c>
      <c r="AL25" s="7"/>
      <c r="AM25" s="7">
        <v>15.8492</v>
      </c>
      <c r="AN25" s="7">
        <v>8.92</v>
      </c>
      <c r="AO25" s="7"/>
      <c r="AP25" s="7">
        <v>15.7207</v>
      </c>
      <c r="AQ25" s="7">
        <v>8.98</v>
      </c>
      <c r="AR25" s="7"/>
      <c r="AS25" s="7">
        <v>15.8001</v>
      </c>
      <c r="AT25" s="7">
        <v>8.95</v>
      </c>
      <c r="AU25" s="7"/>
      <c r="AV25" s="7">
        <v>15.7279</v>
      </c>
      <c r="AW25" s="7">
        <v>8.95</v>
      </c>
      <c r="AX25" s="7"/>
      <c r="AY25" s="7">
        <v>15.8274</v>
      </c>
      <c r="AZ25" s="7">
        <v>8.89</v>
      </c>
      <c r="BA25" s="7"/>
      <c r="BB25" s="7">
        <v>15.9134</v>
      </c>
      <c r="BC25" s="7">
        <v>8.86</v>
      </c>
      <c r="BD25" s="7"/>
      <c r="BE25" s="7">
        <v>15.906</v>
      </c>
      <c r="BF25" s="7">
        <v>8.85</v>
      </c>
      <c r="BG25" s="7"/>
      <c r="BH25" s="7">
        <f t="shared" si="0"/>
        <v>15.81361052631579</v>
      </c>
      <c r="BI25" s="7">
        <f t="shared" si="1"/>
        <v>8.952105263157891</v>
      </c>
      <c r="BJ25" s="50"/>
      <c r="BK25" s="50"/>
      <c r="BL25" s="50"/>
      <c r="BM25" s="50"/>
      <c r="BN25" s="11"/>
      <c r="BO25" s="42"/>
      <c r="BP25" s="42"/>
      <c r="BQ25" s="11"/>
    </row>
    <row r="26" spans="1:69" ht="15" customHeight="1">
      <c r="A26" s="18">
        <v>15</v>
      </c>
      <c r="B26" s="19" t="s">
        <v>30</v>
      </c>
      <c r="C26" s="7">
        <v>193.3147</v>
      </c>
      <c r="D26" s="23">
        <v>73.92</v>
      </c>
      <c r="E26" s="7"/>
      <c r="F26" s="7">
        <v>192.7549</v>
      </c>
      <c r="G26" s="7">
        <v>74.08</v>
      </c>
      <c r="H26" s="7"/>
      <c r="I26" s="7">
        <v>191.2043</v>
      </c>
      <c r="J26" s="7">
        <v>74.41</v>
      </c>
      <c r="K26" s="7"/>
      <c r="L26" s="7">
        <v>191.7994</v>
      </c>
      <c r="M26" s="7">
        <v>74.25</v>
      </c>
      <c r="N26" s="7"/>
      <c r="O26" s="7">
        <v>191.8879</v>
      </c>
      <c r="P26" s="7">
        <v>74.17</v>
      </c>
      <c r="Q26" s="7"/>
      <c r="R26" s="7">
        <v>190.6566</v>
      </c>
      <c r="S26" s="7">
        <v>74.5</v>
      </c>
      <c r="T26" s="7"/>
      <c r="U26" s="7">
        <v>189.7867</v>
      </c>
      <c r="V26" s="7">
        <v>74.65</v>
      </c>
      <c r="W26" s="7"/>
      <c r="X26" s="7">
        <v>189.83</v>
      </c>
      <c r="Y26" s="45">
        <v>74.47</v>
      </c>
      <c r="Z26" s="7"/>
      <c r="AA26" s="7">
        <v>190.0468</v>
      </c>
      <c r="AB26" s="7">
        <v>74.31</v>
      </c>
      <c r="AC26" s="7"/>
      <c r="AD26" s="7">
        <v>191.0287</v>
      </c>
      <c r="AE26" s="7">
        <v>73.96</v>
      </c>
      <c r="AF26" s="7"/>
      <c r="AG26" s="7">
        <v>190.9191</v>
      </c>
      <c r="AH26" s="7">
        <v>73.87</v>
      </c>
      <c r="AI26" s="7"/>
      <c r="AJ26" s="7">
        <v>190.744</v>
      </c>
      <c r="AK26" s="7">
        <v>73.96</v>
      </c>
      <c r="AL26" s="7"/>
      <c r="AM26" s="7">
        <v>191.6448</v>
      </c>
      <c r="AN26" s="7">
        <v>73.8</v>
      </c>
      <c r="AO26" s="7"/>
      <c r="AP26" s="7">
        <v>190.0903</v>
      </c>
      <c r="AQ26" s="7">
        <v>74.3</v>
      </c>
      <c r="AR26" s="7"/>
      <c r="AS26" s="7">
        <v>191.0506</v>
      </c>
      <c r="AT26" s="7">
        <v>74.01</v>
      </c>
      <c r="AU26" s="7"/>
      <c r="AV26" s="7">
        <v>190.1772</v>
      </c>
      <c r="AW26" s="7">
        <v>74.03</v>
      </c>
      <c r="AX26" s="7"/>
      <c r="AY26" s="7">
        <v>191.3803</v>
      </c>
      <c r="AZ26" s="7">
        <v>73.55</v>
      </c>
      <c r="BA26" s="7"/>
      <c r="BB26" s="7">
        <v>192.4205</v>
      </c>
      <c r="BC26" s="7">
        <v>73.31</v>
      </c>
      <c r="BD26" s="7"/>
      <c r="BE26" s="7">
        <v>192.3315</v>
      </c>
      <c r="BF26" s="7">
        <v>73.18</v>
      </c>
      <c r="BG26" s="7"/>
      <c r="BH26" s="7">
        <f t="shared" si="0"/>
        <v>191.21412105263158</v>
      </c>
      <c r="BI26" s="7">
        <f t="shared" si="1"/>
        <v>74.03842105263158</v>
      </c>
      <c r="BJ26" s="50"/>
      <c r="BK26" s="50"/>
      <c r="BL26" s="50"/>
      <c r="BM26" s="50"/>
      <c r="BN26" s="11"/>
      <c r="BO26" s="42"/>
      <c r="BP26" s="42"/>
      <c r="BQ26" s="11"/>
    </row>
    <row r="27" spans="1:69" ht="15" customHeight="1">
      <c r="A27" s="18">
        <v>16</v>
      </c>
      <c r="B27" s="19" t="s">
        <v>31</v>
      </c>
      <c r="C27" s="7">
        <v>10.6538</v>
      </c>
      <c r="D27" s="23">
        <v>13.41</v>
      </c>
      <c r="E27" s="7"/>
      <c r="F27" s="7">
        <v>10.6504</v>
      </c>
      <c r="G27" s="7">
        <v>13.41</v>
      </c>
      <c r="H27" s="7"/>
      <c r="I27" s="7">
        <v>10.6192</v>
      </c>
      <c r="J27" s="7">
        <v>13.4</v>
      </c>
      <c r="K27" s="7"/>
      <c r="L27" s="7">
        <v>10.6313</v>
      </c>
      <c r="M27" s="7">
        <v>13.39</v>
      </c>
      <c r="N27" s="7"/>
      <c r="O27" s="7">
        <v>10.6279</v>
      </c>
      <c r="P27" s="7">
        <v>13.39</v>
      </c>
      <c r="Q27" s="7"/>
      <c r="R27" s="7">
        <v>10.607</v>
      </c>
      <c r="S27" s="7">
        <v>13.39</v>
      </c>
      <c r="T27" s="7"/>
      <c r="U27" s="7">
        <v>10.5404</v>
      </c>
      <c r="V27" s="7">
        <v>13.44</v>
      </c>
      <c r="W27" s="7"/>
      <c r="X27" s="7">
        <v>10.542</v>
      </c>
      <c r="Y27" s="7">
        <v>13.41</v>
      </c>
      <c r="Z27" s="7"/>
      <c r="AA27" s="7">
        <v>10.549</v>
      </c>
      <c r="AB27" s="7">
        <v>13.39</v>
      </c>
      <c r="AC27" s="7"/>
      <c r="AD27" s="7">
        <v>10.5688</v>
      </c>
      <c r="AE27" s="7">
        <v>13.37</v>
      </c>
      <c r="AF27" s="7"/>
      <c r="AG27" s="7">
        <v>10.5464</v>
      </c>
      <c r="AH27" s="7">
        <v>13.37</v>
      </c>
      <c r="AI27" s="7"/>
      <c r="AJ27" s="7">
        <v>10.5344</v>
      </c>
      <c r="AK27" s="7">
        <v>13.39</v>
      </c>
      <c r="AL27" s="7"/>
      <c r="AM27" s="7">
        <v>10.579</v>
      </c>
      <c r="AN27" s="7">
        <v>13.37</v>
      </c>
      <c r="AO27" s="7"/>
      <c r="AP27" s="7">
        <v>10.507</v>
      </c>
      <c r="AQ27" s="7">
        <v>13.44</v>
      </c>
      <c r="AR27" s="7"/>
      <c r="AS27" s="7">
        <v>10.484</v>
      </c>
      <c r="AT27" s="7">
        <v>13.49</v>
      </c>
      <c r="AU27" s="7"/>
      <c r="AV27" s="7">
        <v>10.428</v>
      </c>
      <c r="AW27" s="7">
        <v>13.5</v>
      </c>
      <c r="AX27" s="7"/>
      <c r="AY27" s="7">
        <v>10.4237</v>
      </c>
      <c r="AZ27" s="7">
        <v>13.5</v>
      </c>
      <c r="BA27" s="7"/>
      <c r="BB27" s="7">
        <v>10.4995</v>
      </c>
      <c r="BC27" s="7">
        <v>13.44</v>
      </c>
      <c r="BD27" s="7"/>
      <c r="BE27" s="7">
        <v>10.4723</v>
      </c>
      <c r="BF27" s="7">
        <v>13.44</v>
      </c>
      <c r="BG27" s="7"/>
      <c r="BH27" s="7">
        <f t="shared" si="0"/>
        <v>10.550742105263158</v>
      </c>
      <c r="BI27" s="7">
        <f t="shared" si="1"/>
        <v>13.417894736842106</v>
      </c>
      <c r="BJ27" s="50"/>
      <c r="BK27" s="50"/>
      <c r="BL27" s="50"/>
      <c r="BM27" s="50"/>
      <c r="BN27" s="11"/>
      <c r="BO27" s="42"/>
      <c r="BP27" s="42"/>
      <c r="BQ27" s="11"/>
    </row>
    <row r="28" spans="1:69" ht="15" customHeight="1">
      <c r="A28" s="18">
        <v>17</v>
      </c>
      <c r="B28" s="19" t="s">
        <v>32</v>
      </c>
      <c r="C28" s="7">
        <v>9.1025</v>
      </c>
      <c r="D28" s="23">
        <v>15.7</v>
      </c>
      <c r="E28" s="7"/>
      <c r="F28" s="7">
        <v>9.071</v>
      </c>
      <c r="G28" s="7">
        <v>15.74</v>
      </c>
      <c r="H28" s="7"/>
      <c r="I28" s="7">
        <v>9.028</v>
      </c>
      <c r="J28" s="7">
        <v>15.76</v>
      </c>
      <c r="K28" s="7"/>
      <c r="L28" s="7">
        <v>9.0331</v>
      </c>
      <c r="M28" s="7">
        <v>15.76</v>
      </c>
      <c r="N28" s="7"/>
      <c r="O28" s="7">
        <v>9.0054</v>
      </c>
      <c r="P28" s="7">
        <v>15.8</v>
      </c>
      <c r="Q28" s="7"/>
      <c r="R28" s="7">
        <v>8.9739</v>
      </c>
      <c r="S28" s="7">
        <v>15.83</v>
      </c>
      <c r="T28" s="7"/>
      <c r="U28" s="7">
        <v>8.9318</v>
      </c>
      <c r="V28" s="7">
        <v>15.86</v>
      </c>
      <c r="W28" s="7"/>
      <c r="X28" s="7">
        <v>8.9316</v>
      </c>
      <c r="Y28" s="7">
        <v>15.83</v>
      </c>
      <c r="Z28" s="7"/>
      <c r="AA28" s="7">
        <v>8.9374</v>
      </c>
      <c r="AB28" s="7">
        <v>15.8</v>
      </c>
      <c r="AC28" s="7"/>
      <c r="AD28" s="7">
        <v>8.9394</v>
      </c>
      <c r="AE28" s="7">
        <v>15.8</v>
      </c>
      <c r="AF28" s="7"/>
      <c r="AG28" s="7">
        <v>8.9078</v>
      </c>
      <c r="AH28" s="7">
        <v>15.83</v>
      </c>
      <c r="AI28" s="7"/>
      <c r="AJ28" s="7">
        <v>8.8825</v>
      </c>
      <c r="AK28" s="7">
        <v>15.88</v>
      </c>
      <c r="AL28" s="7"/>
      <c r="AM28" s="7">
        <v>8.9177</v>
      </c>
      <c r="AN28" s="7">
        <v>15.86</v>
      </c>
      <c r="AO28" s="7"/>
      <c r="AP28" s="7">
        <v>8.8731</v>
      </c>
      <c r="AQ28" s="7">
        <v>15.92</v>
      </c>
      <c r="AR28" s="7"/>
      <c r="AS28" s="7">
        <v>8.8894</v>
      </c>
      <c r="AT28" s="7">
        <v>15.91</v>
      </c>
      <c r="AU28" s="7"/>
      <c r="AV28" s="7">
        <v>8.8637</v>
      </c>
      <c r="AW28" s="7">
        <v>15.88</v>
      </c>
      <c r="AX28" s="7"/>
      <c r="AY28" s="7">
        <v>8.8967</v>
      </c>
      <c r="AZ28" s="7">
        <v>15.82</v>
      </c>
      <c r="BA28" s="7"/>
      <c r="BB28" s="7">
        <v>8.9201</v>
      </c>
      <c r="BC28" s="7">
        <v>15.81</v>
      </c>
      <c r="BD28" s="7"/>
      <c r="BE28" s="7">
        <v>8.9163</v>
      </c>
      <c r="BF28" s="7">
        <v>15.79</v>
      </c>
      <c r="BG28" s="7"/>
      <c r="BH28" s="7">
        <f t="shared" si="0"/>
        <v>8.948494736842104</v>
      </c>
      <c r="BI28" s="7">
        <f t="shared" si="1"/>
        <v>15.819999999999999</v>
      </c>
      <c r="BJ28" s="50"/>
      <c r="BK28" s="50"/>
      <c r="BL28" s="50"/>
      <c r="BM28" s="50"/>
      <c r="BN28" s="11"/>
      <c r="BO28" s="42"/>
      <c r="BP28" s="42"/>
      <c r="BQ28" s="11"/>
    </row>
    <row r="29" spans="1:69" ht="15" customHeight="1">
      <c r="A29" s="18">
        <v>18</v>
      </c>
      <c r="B29" s="19" t="s">
        <v>33</v>
      </c>
      <c r="C29" s="7">
        <v>8.631</v>
      </c>
      <c r="D29" s="23">
        <v>16.56</v>
      </c>
      <c r="E29" s="7"/>
      <c r="F29" s="7">
        <v>8.6026</v>
      </c>
      <c r="G29" s="7">
        <v>16.6</v>
      </c>
      <c r="H29" s="7"/>
      <c r="I29" s="7">
        <v>8.5358</v>
      </c>
      <c r="J29" s="7">
        <v>16.67</v>
      </c>
      <c r="K29" s="7"/>
      <c r="L29" s="7">
        <v>8.561</v>
      </c>
      <c r="M29" s="7">
        <v>16.63</v>
      </c>
      <c r="N29" s="7"/>
      <c r="O29" s="7">
        <v>8.5655</v>
      </c>
      <c r="P29" s="7">
        <v>16.62</v>
      </c>
      <c r="Q29" s="7"/>
      <c r="R29" s="7">
        <v>8.5094</v>
      </c>
      <c r="S29" s="7">
        <v>16.69</v>
      </c>
      <c r="T29" s="7"/>
      <c r="U29" s="7">
        <v>8.4664</v>
      </c>
      <c r="V29" s="7">
        <v>16.73</v>
      </c>
      <c r="W29" s="7"/>
      <c r="X29" s="7">
        <v>8.475</v>
      </c>
      <c r="Y29" s="7">
        <v>16.68</v>
      </c>
      <c r="Z29" s="7"/>
      <c r="AA29" s="7">
        <v>8.484</v>
      </c>
      <c r="AB29" s="7">
        <v>16.65</v>
      </c>
      <c r="AC29" s="7"/>
      <c r="AD29" s="7">
        <v>8.5285</v>
      </c>
      <c r="AE29" s="7">
        <v>16.57</v>
      </c>
      <c r="AF29" s="7"/>
      <c r="AG29" s="7">
        <v>8.5224</v>
      </c>
      <c r="AH29" s="7">
        <v>16.55</v>
      </c>
      <c r="AI29" s="7"/>
      <c r="AJ29" s="7">
        <v>8.5137</v>
      </c>
      <c r="AK29" s="7">
        <v>16.57</v>
      </c>
      <c r="AL29" s="7"/>
      <c r="AM29" s="7">
        <v>8.5538</v>
      </c>
      <c r="AN29" s="7">
        <v>16.53</v>
      </c>
      <c r="AO29" s="7"/>
      <c r="AP29" s="7">
        <v>8.485</v>
      </c>
      <c r="AQ29" s="7">
        <v>16.64</v>
      </c>
      <c r="AR29" s="7"/>
      <c r="AS29" s="7">
        <v>8.5295</v>
      </c>
      <c r="AT29" s="7">
        <v>16.58</v>
      </c>
      <c r="AU29" s="7"/>
      <c r="AV29" s="7">
        <v>8.4912</v>
      </c>
      <c r="AW29" s="7">
        <v>16.58</v>
      </c>
      <c r="AX29" s="7"/>
      <c r="AY29" s="7">
        <v>8.5485</v>
      </c>
      <c r="AZ29" s="7">
        <v>16.47</v>
      </c>
      <c r="BA29" s="7"/>
      <c r="BB29" s="7">
        <v>8.5909</v>
      </c>
      <c r="BC29" s="7">
        <v>16.42</v>
      </c>
      <c r="BD29" s="7"/>
      <c r="BE29" s="7">
        <v>8.5862</v>
      </c>
      <c r="BF29" s="7">
        <v>16.39</v>
      </c>
      <c r="BG29" s="7"/>
      <c r="BH29" s="7">
        <f t="shared" si="0"/>
        <v>8.535810526315787</v>
      </c>
      <c r="BI29" s="7">
        <f t="shared" si="1"/>
        <v>16.58578947368421</v>
      </c>
      <c r="BJ29" s="50"/>
      <c r="BK29" s="50"/>
      <c r="BL29" s="50"/>
      <c r="BM29" s="50"/>
      <c r="BN29" s="11"/>
      <c r="BO29" s="42"/>
      <c r="BP29" s="42"/>
      <c r="BQ29" s="11"/>
    </row>
    <row r="30" spans="1:69" ht="15" customHeight="1">
      <c r="A30" s="18">
        <v>19</v>
      </c>
      <c r="B30" s="19" t="s">
        <v>34</v>
      </c>
      <c r="C30" s="7">
        <v>6.908</v>
      </c>
      <c r="D30" s="23">
        <v>20.69</v>
      </c>
      <c r="E30" s="7"/>
      <c r="F30" s="7">
        <v>6.888</v>
      </c>
      <c r="G30" s="7">
        <v>20.73</v>
      </c>
      <c r="H30" s="7"/>
      <c r="I30" s="7">
        <v>6.8326</v>
      </c>
      <c r="J30" s="7">
        <v>20.82</v>
      </c>
      <c r="K30" s="7"/>
      <c r="L30" s="7">
        <v>6.8539</v>
      </c>
      <c r="M30" s="7">
        <v>20.78</v>
      </c>
      <c r="N30" s="7"/>
      <c r="O30" s="7">
        <v>6.857</v>
      </c>
      <c r="P30" s="7">
        <v>20.76</v>
      </c>
      <c r="Q30" s="7"/>
      <c r="R30" s="7">
        <v>6.813</v>
      </c>
      <c r="S30" s="7">
        <v>20.85</v>
      </c>
      <c r="T30" s="7"/>
      <c r="U30" s="7">
        <v>6.7819</v>
      </c>
      <c r="V30" s="7">
        <v>20.89</v>
      </c>
      <c r="W30" s="7"/>
      <c r="X30" s="7">
        <v>6.7835</v>
      </c>
      <c r="Y30" s="7">
        <v>20.84</v>
      </c>
      <c r="Z30" s="7"/>
      <c r="AA30" s="7">
        <v>6.7912</v>
      </c>
      <c r="AB30" s="7">
        <v>20.8</v>
      </c>
      <c r="AC30" s="7"/>
      <c r="AD30" s="7">
        <v>6.8263</v>
      </c>
      <c r="AE30" s="7">
        <v>20.7</v>
      </c>
      <c r="AF30" s="7"/>
      <c r="AG30" s="7">
        <v>6.8224</v>
      </c>
      <c r="AH30" s="7">
        <v>20.67</v>
      </c>
      <c r="AI30" s="7"/>
      <c r="AJ30" s="7">
        <v>6.8162</v>
      </c>
      <c r="AK30" s="7">
        <v>20.7</v>
      </c>
      <c r="AL30" s="7"/>
      <c r="AM30" s="7">
        <v>6.8483</v>
      </c>
      <c r="AN30" s="7">
        <v>20.65</v>
      </c>
      <c r="AO30" s="7"/>
      <c r="AP30" s="7">
        <v>6.7928</v>
      </c>
      <c r="AQ30" s="7">
        <v>20.79</v>
      </c>
      <c r="AR30" s="7"/>
      <c r="AS30" s="7">
        <v>6.8271</v>
      </c>
      <c r="AT30" s="7">
        <v>20.71</v>
      </c>
      <c r="AU30" s="7"/>
      <c r="AV30" s="7">
        <v>6.7959</v>
      </c>
      <c r="AW30" s="7">
        <v>20.72</v>
      </c>
      <c r="AX30" s="7"/>
      <c r="AY30" s="7">
        <v>6.8389</v>
      </c>
      <c r="AZ30" s="7">
        <v>20.58</v>
      </c>
      <c r="BA30" s="7"/>
      <c r="BB30" s="7">
        <v>6.8761</v>
      </c>
      <c r="BC30" s="7">
        <v>20.52</v>
      </c>
      <c r="BD30" s="7"/>
      <c r="BE30" s="7">
        <v>6.8729</v>
      </c>
      <c r="BF30" s="7">
        <v>20.48</v>
      </c>
      <c r="BG30" s="7"/>
      <c r="BH30" s="7">
        <f t="shared" si="0"/>
        <v>6.832947368421053</v>
      </c>
      <c r="BI30" s="7">
        <f t="shared" si="1"/>
        <v>20.72</v>
      </c>
      <c r="BJ30" s="50"/>
      <c r="BK30" s="50"/>
      <c r="BL30" s="50"/>
      <c r="BM30" s="50"/>
      <c r="BN30" s="11"/>
      <c r="BO30" s="42"/>
      <c r="BP30" s="42"/>
      <c r="BQ30" s="11"/>
    </row>
    <row r="31" spans="1:69" ht="15" customHeight="1">
      <c r="A31" s="18">
        <v>20</v>
      </c>
      <c r="B31" s="19" t="s">
        <v>35</v>
      </c>
      <c r="C31" s="7">
        <v>232.929</v>
      </c>
      <c r="D31" s="23">
        <v>61.35</v>
      </c>
      <c r="E31" s="7"/>
      <c r="F31" s="7">
        <v>232.2544</v>
      </c>
      <c r="G31" s="7">
        <v>61.48</v>
      </c>
      <c r="H31" s="7"/>
      <c r="I31" s="7">
        <v>230.3861</v>
      </c>
      <c r="J31" s="7">
        <v>61.76</v>
      </c>
      <c r="K31" s="7"/>
      <c r="L31" s="7">
        <v>231.1032</v>
      </c>
      <c r="M31" s="7">
        <v>61.62</v>
      </c>
      <c r="N31" s="7"/>
      <c r="O31" s="7">
        <v>231.2098</v>
      </c>
      <c r="P31" s="7">
        <v>61.56</v>
      </c>
      <c r="Q31" s="7"/>
      <c r="R31" s="7">
        <v>229.7261</v>
      </c>
      <c r="S31" s="7">
        <v>61.83</v>
      </c>
      <c r="T31" s="7"/>
      <c r="U31" s="7">
        <v>228.678</v>
      </c>
      <c r="V31" s="7">
        <v>61.96</v>
      </c>
      <c r="W31" s="7"/>
      <c r="X31" s="7">
        <v>228.7302</v>
      </c>
      <c r="Y31" s="7">
        <v>61.8</v>
      </c>
      <c r="Z31" s="7"/>
      <c r="AA31" s="7">
        <v>228.9914</v>
      </c>
      <c r="AB31" s="7">
        <v>61.67</v>
      </c>
      <c r="AC31" s="7"/>
      <c r="AD31" s="7">
        <v>230.1745</v>
      </c>
      <c r="AE31" s="7">
        <v>61.38</v>
      </c>
      <c r="AF31" s="7"/>
      <c r="AG31" s="7">
        <v>230.0425</v>
      </c>
      <c r="AH31" s="7">
        <v>61.31</v>
      </c>
      <c r="AI31" s="7"/>
      <c r="AJ31" s="7">
        <v>229.8315</v>
      </c>
      <c r="AK31" s="7">
        <v>61.38</v>
      </c>
      <c r="AL31" s="7"/>
      <c r="AM31" s="7">
        <v>230.9168</v>
      </c>
      <c r="AN31" s="7">
        <v>61.24</v>
      </c>
      <c r="AO31" s="7"/>
      <c r="AP31" s="7">
        <v>229.0438</v>
      </c>
      <c r="AQ31" s="7">
        <v>61.66</v>
      </c>
      <c r="AR31" s="7"/>
      <c r="AS31" s="7">
        <v>230.2009</v>
      </c>
      <c r="AT31" s="7">
        <v>61.42</v>
      </c>
      <c r="AU31" s="7"/>
      <c r="AV31" s="7">
        <v>229.1485</v>
      </c>
      <c r="AW31" s="7">
        <v>61.44</v>
      </c>
      <c r="AX31" s="7"/>
      <c r="AY31" s="7">
        <v>230.5981</v>
      </c>
      <c r="AZ31" s="7">
        <v>61.04</v>
      </c>
      <c r="BA31" s="7"/>
      <c r="BB31" s="7">
        <v>231.8515</v>
      </c>
      <c r="BC31" s="7">
        <v>60.84</v>
      </c>
      <c r="BD31" s="7"/>
      <c r="BE31" s="7">
        <v>231.7443</v>
      </c>
      <c r="BF31" s="7">
        <v>60.73</v>
      </c>
      <c r="BG31" s="7"/>
      <c r="BH31" s="7">
        <f t="shared" si="0"/>
        <v>230.39792631578948</v>
      </c>
      <c r="BI31" s="7">
        <f t="shared" si="1"/>
        <v>61.4457894736842</v>
      </c>
      <c r="BJ31" s="50"/>
      <c r="BK31" s="50"/>
      <c r="BL31" s="50"/>
      <c r="BM31" s="50"/>
      <c r="BN31" s="11"/>
      <c r="BO31" s="42"/>
      <c r="BP31" s="42"/>
      <c r="BQ31" s="11"/>
    </row>
    <row r="32" spans="1:69" ht="15" customHeight="1">
      <c r="A32" s="18">
        <v>21</v>
      </c>
      <c r="B32" s="19" t="s">
        <v>36</v>
      </c>
      <c r="C32" s="7">
        <f>1/1.24204</f>
        <v>0.8051270490483398</v>
      </c>
      <c r="D32" s="23">
        <v>177.49</v>
      </c>
      <c r="E32" s="7"/>
      <c r="F32" s="7">
        <f>1/1.23923</f>
        <v>0.8069527045019891</v>
      </c>
      <c r="G32" s="7">
        <v>176.94</v>
      </c>
      <c r="H32" s="7"/>
      <c r="I32" s="7">
        <f>1/1.24171</f>
        <v>0.80534102165562</v>
      </c>
      <c r="J32" s="7">
        <v>176.67</v>
      </c>
      <c r="K32" s="7"/>
      <c r="L32" s="7">
        <f>1/1.24545</f>
        <v>0.8029226384037899</v>
      </c>
      <c r="M32" s="7">
        <v>177.36</v>
      </c>
      <c r="N32" s="7"/>
      <c r="O32" s="7">
        <f>1/1.24315</f>
        <v>0.8044081566987089</v>
      </c>
      <c r="P32" s="7">
        <v>176.93</v>
      </c>
      <c r="Q32" s="7"/>
      <c r="R32" s="7">
        <f>1/1.24179</f>
        <v>0.8052891390653815</v>
      </c>
      <c r="S32" s="7">
        <v>176.38</v>
      </c>
      <c r="T32" s="7"/>
      <c r="U32" s="7">
        <f>1/1.24498</f>
        <v>0.8032257546305965</v>
      </c>
      <c r="V32" s="7">
        <v>176.39</v>
      </c>
      <c r="W32" s="7"/>
      <c r="X32" s="7">
        <f>1/1.24684</f>
        <v>0.802027525584678</v>
      </c>
      <c r="Y32" s="7">
        <v>176.26</v>
      </c>
      <c r="Z32" s="7"/>
      <c r="AA32" s="7">
        <f>1/1.24696</f>
        <v>0.8019503432347469</v>
      </c>
      <c r="AB32" s="7">
        <v>176.1</v>
      </c>
      <c r="AC32" s="7"/>
      <c r="AD32" s="7">
        <f>1/1.24942</f>
        <v>0.800371372316755</v>
      </c>
      <c r="AE32" s="7">
        <v>176.53</v>
      </c>
      <c r="AF32" s="7"/>
      <c r="AG32" s="7">
        <f>1/1.24576</f>
        <v>0.8027228358592345</v>
      </c>
      <c r="AH32" s="7">
        <v>175.69</v>
      </c>
      <c r="AI32" s="7"/>
      <c r="AJ32" s="7">
        <f>1/1.24602</f>
        <v>0.8025553361904304</v>
      </c>
      <c r="AK32" s="7">
        <v>175.77</v>
      </c>
      <c r="AL32" s="7"/>
      <c r="AM32" s="7">
        <f>1/1.24602</f>
        <v>0.8025553361904304</v>
      </c>
      <c r="AN32" s="7">
        <v>176.22</v>
      </c>
      <c r="AO32" s="7"/>
      <c r="AP32" s="7">
        <f>1/1.24395</f>
        <v>0.8038908316250654</v>
      </c>
      <c r="AQ32" s="7">
        <v>175.68</v>
      </c>
      <c r="AR32" s="7"/>
      <c r="AS32" s="7">
        <f>1/1.24768</f>
        <v>0.8014875609130547</v>
      </c>
      <c r="AT32" s="7">
        <v>176.41</v>
      </c>
      <c r="AU32" s="7"/>
      <c r="AV32" s="7">
        <f>1/1.24483</f>
        <v>0.8033225420338519</v>
      </c>
      <c r="AW32" s="7">
        <v>175.27</v>
      </c>
      <c r="AX32" s="7"/>
      <c r="AY32" s="7">
        <f>1/1.24657</f>
        <v>0.8022012402031173</v>
      </c>
      <c r="AZ32" s="7">
        <v>175.47</v>
      </c>
      <c r="BA32" s="7"/>
      <c r="BB32" s="7">
        <f>1/1.24373</f>
        <v>0.8040330296768591</v>
      </c>
      <c r="BC32" s="7">
        <v>175.45</v>
      </c>
      <c r="BD32" s="7"/>
      <c r="BE32" s="7">
        <f>1/1.24084</f>
        <v>0.8059056767995875</v>
      </c>
      <c r="BF32" s="7">
        <v>174.64</v>
      </c>
      <c r="BG32" s="7"/>
      <c r="BH32" s="7">
        <f t="shared" si="0"/>
        <v>0.8034889523490651</v>
      </c>
      <c r="BI32" s="7">
        <f t="shared" si="1"/>
        <v>176.19210526315783</v>
      </c>
      <c r="BJ32" s="50"/>
      <c r="BK32" s="50"/>
      <c r="BL32" s="50"/>
      <c r="BM32" s="50"/>
      <c r="BN32" s="11"/>
      <c r="BO32" s="42"/>
      <c r="BP32" s="42"/>
      <c r="BQ32" s="11"/>
    </row>
    <row r="33" spans="1:69" ht="15" customHeight="1">
      <c r="A33" s="18">
        <v>22</v>
      </c>
      <c r="B33" s="19" t="s">
        <v>37</v>
      </c>
      <c r="C33" s="7">
        <v>395.8987</v>
      </c>
      <c r="D33" s="23">
        <v>36.1</v>
      </c>
      <c r="E33" s="7"/>
      <c r="F33" s="7">
        <v>394.7521</v>
      </c>
      <c r="G33" s="7">
        <v>36.17</v>
      </c>
      <c r="H33" s="7"/>
      <c r="I33" s="7">
        <v>391.5766</v>
      </c>
      <c r="J33" s="7">
        <v>36.33</v>
      </c>
      <c r="K33" s="7"/>
      <c r="L33" s="7">
        <v>392.7954</v>
      </c>
      <c r="M33" s="7">
        <v>36.25</v>
      </c>
      <c r="N33" s="7"/>
      <c r="O33" s="7">
        <v>392.9766</v>
      </c>
      <c r="P33" s="7">
        <v>36.22</v>
      </c>
      <c r="Q33" s="7"/>
      <c r="R33" s="7">
        <v>390.4549</v>
      </c>
      <c r="S33" s="7">
        <v>36.38</v>
      </c>
      <c r="T33" s="7"/>
      <c r="U33" s="7">
        <v>388.6734</v>
      </c>
      <c r="V33" s="7">
        <v>36.45</v>
      </c>
      <c r="W33" s="7"/>
      <c r="X33" s="7">
        <v>388.7621</v>
      </c>
      <c r="Y33" s="7">
        <v>36.36</v>
      </c>
      <c r="Z33" s="7"/>
      <c r="AA33" s="7">
        <v>389.2062</v>
      </c>
      <c r="AB33" s="7">
        <v>36.29</v>
      </c>
      <c r="AC33" s="7"/>
      <c r="AD33" s="7">
        <v>391.217</v>
      </c>
      <c r="AE33" s="7">
        <v>36.11</v>
      </c>
      <c r="AF33" s="7"/>
      <c r="AG33" s="7">
        <v>390.9925</v>
      </c>
      <c r="AH33" s="7">
        <v>36.07</v>
      </c>
      <c r="AI33" s="7"/>
      <c r="AJ33" s="7">
        <v>390.634</v>
      </c>
      <c r="AK33" s="7">
        <v>36.11</v>
      </c>
      <c r="AL33" s="7"/>
      <c r="AM33" s="7">
        <v>392.4787</v>
      </c>
      <c r="AN33" s="7">
        <v>36.03</v>
      </c>
      <c r="AO33" s="7"/>
      <c r="AP33" s="7">
        <v>389.2951</v>
      </c>
      <c r="AQ33" s="7">
        <v>36.28</v>
      </c>
      <c r="AR33" s="7"/>
      <c r="AS33" s="7">
        <v>391.2619</v>
      </c>
      <c r="AT33" s="7">
        <v>36.14</v>
      </c>
      <c r="AU33" s="7"/>
      <c r="AV33" s="7">
        <v>389.4731</v>
      </c>
      <c r="AW33" s="7">
        <v>36.15</v>
      </c>
      <c r="AX33" s="7"/>
      <c r="AY33" s="7">
        <v>391.937</v>
      </c>
      <c r="AZ33" s="7">
        <v>35.92</v>
      </c>
      <c r="BA33" s="7"/>
      <c r="BB33" s="7">
        <v>394.0673</v>
      </c>
      <c r="BC33" s="7">
        <v>35.8</v>
      </c>
      <c r="BD33" s="7"/>
      <c r="BE33" s="7">
        <v>393.8851</v>
      </c>
      <c r="BF33" s="7">
        <v>35.73</v>
      </c>
      <c r="BG33" s="7"/>
      <c r="BH33" s="7">
        <f t="shared" si="0"/>
        <v>391.5967210526316</v>
      </c>
      <c r="BI33" s="7">
        <f t="shared" si="1"/>
        <v>36.15210526315789</v>
      </c>
      <c r="BJ33" s="50"/>
      <c r="BK33" s="50"/>
      <c r="BL33" s="50"/>
      <c r="BM33" s="50"/>
      <c r="BN33" s="11"/>
      <c r="BO33" s="42"/>
      <c r="BP33" s="42"/>
      <c r="BQ33" s="42"/>
    </row>
    <row r="34" spans="1:69" ht="15" customHeight="1" thickBot="1">
      <c r="A34" s="26">
        <v>23</v>
      </c>
      <c r="B34" s="27" t="s">
        <v>38</v>
      </c>
      <c r="C34" s="28">
        <v>1</v>
      </c>
      <c r="D34" s="33">
        <v>142.9</v>
      </c>
      <c r="E34" s="28"/>
      <c r="F34" s="28">
        <v>1</v>
      </c>
      <c r="G34" s="28">
        <v>142.78</v>
      </c>
      <c r="H34" s="28"/>
      <c r="I34" s="28">
        <v>1</v>
      </c>
      <c r="J34" s="28">
        <v>142.28</v>
      </c>
      <c r="K34" s="28"/>
      <c r="L34" s="28">
        <v>1</v>
      </c>
      <c r="M34" s="28">
        <v>142.41</v>
      </c>
      <c r="N34" s="28"/>
      <c r="O34" s="28">
        <v>1</v>
      </c>
      <c r="P34" s="28">
        <v>142.32</v>
      </c>
      <c r="Q34" s="28"/>
      <c r="R34" s="28">
        <v>1</v>
      </c>
      <c r="S34" s="28">
        <v>142.04</v>
      </c>
      <c r="T34" s="28"/>
      <c r="U34" s="28">
        <v>1</v>
      </c>
      <c r="V34" s="28">
        <v>141.68</v>
      </c>
      <c r="W34" s="28"/>
      <c r="X34" s="28">
        <v>1</v>
      </c>
      <c r="Y34" s="28">
        <v>141.36</v>
      </c>
      <c r="Z34" s="28"/>
      <c r="AA34" s="28">
        <v>1</v>
      </c>
      <c r="AB34" s="28">
        <v>141.23</v>
      </c>
      <c r="AC34" s="28"/>
      <c r="AD34" s="28">
        <v>1</v>
      </c>
      <c r="AE34" s="28">
        <v>141.29</v>
      </c>
      <c r="AF34" s="28"/>
      <c r="AG34" s="28">
        <v>1</v>
      </c>
      <c r="AH34" s="28">
        <v>141.03</v>
      </c>
      <c r="AI34" s="28"/>
      <c r="AJ34" s="28">
        <v>1</v>
      </c>
      <c r="AK34" s="28">
        <v>141.07</v>
      </c>
      <c r="AL34" s="28"/>
      <c r="AM34" s="28">
        <v>1</v>
      </c>
      <c r="AN34" s="28">
        <v>141.43</v>
      </c>
      <c r="AO34" s="28"/>
      <c r="AP34" s="28">
        <v>1</v>
      </c>
      <c r="AQ34" s="28">
        <v>141.23</v>
      </c>
      <c r="AR34" s="28"/>
      <c r="AS34" s="28">
        <v>1</v>
      </c>
      <c r="AT34" s="28">
        <v>141.39</v>
      </c>
      <c r="AU34" s="28"/>
      <c r="AV34" s="28">
        <v>1</v>
      </c>
      <c r="AW34" s="28">
        <v>140.8</v>
      </c>
      <c r="AX34" s="28"/>
      <c r="AY34" s="28">
        <v>1</v>
      </c>
      <c r="AZ34" s="28">
        <v>140.77</v>
      </c>
      <c r="BA34" s="28"/>
      <c r="BB34" s="28">
        <v>1</v>
      </c>
      <c r="BC34" s="28">
        <v>141.07</v>
      </c>
      <c r="BD34" s="28"/>
      <c r="BE34" s="28">
        <v>1</v>
      </c>
      <c r="BF34" s="28">
        <v>140.75</v>
      </c>
      <c r="BG34" s="28"/>
      <c r="BH34" s="31">
        <f t="shared" si="0"/>
        <v>1</v>
      </c>
      <c r="BI34" s="31">
        <f t="shared" si="1"/>
        <v>141.57000000000002</v>
      </c>
      <c r="BJ34" s="50"/>
      <c r="BK34" s="50"/>
      <c r="BL34" s="50"/>
      <c r="BM34" s="50"/>
      <c r="BN34" s="11"/>
      <c r="BO34" s="42"/>
      <c r="BP34" s="42"/>
      <c r="BQ34" s="42"/>
    </row>
    <row r="35" spans="1:69" ht="1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7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H35" s="35"/>
      <c r="BI35" s="35"/>
      <c r="BJ35" s="52"/>
      <c r="BK35" s="52"/>
      <c r="BL35" s="52"/>
      <c r="BM35" s="53"/>
      <c r="BN35" s="43"/>
      <c r="BO35" s="43"/>
      <c r="BP35" s="43"/>
      <c r="BQ35" s="40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85" r:id="rId1"/>
  <headerFooter alignWithMargins="0">
    <oddHeader>&amp;L&amp;"Times New Roman,Bold"&amp;12Sektori i Informacionit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32"/>
  <sheetViews>
    <sheetView zoomScale="75" zoomScaleNormal="75" zoomScalePageLayoutView="0" workbookViewId="0" topLeftCell="A1">
      <pane xSplit="2" ySplit="10" topLeftCell="BI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W12" sqref="BW12"/>
    </sheetView>
  </sheetViews>
  <sheetFormatPr defaultColWidth="9.140625" defaultRowHeight="12.75"/>
  <cols>
    <col min="1" max="1" width="4.28125" style="10" customWidth="1"/>
    <col min="2" max="2" width="34.00390625" style="10" bestFit="1" customWidth="1"/>
    <col min="3" max="3" width="10.421875" style="10" customWidth="1"/>
    <col min="4" max="4" width="10.7109375" style="10" customWidth="1"/>
    <col min="5" max="5" width="9.140625" style="10" customWidth="1"/>
    <col min="6" max="6" width="10.421875" style="10" customWidth="1"/>
    <col min="7" max="7" width="10.8515625" style="10" customWidth="1"/>
    <col min="8" max="8" width="9.140625" style="10" customWidth="1"/>
    <col min="9" max="9" width="10.421875" style="10" customWidth="1"/>
    <col min="10" max="10" width="11.00390625" style="10" customWidth="1"/>
    <col min="11" max="11" width="9.140625" style="10" customWidth="1"/>
    <col min="12" max="12" width="10.421875" style="10" customWidth="1"/>
    <col min="13" max="13" width="10.8515625" style="10" customWidth="1"/>
    <col min="14" max="14" width="9.140625" style="10" customWidth="1"/>
    <col min="15" max="15" width="10.421875" style="10" customWidth="1"/>
    <col min="16" max="16" width="10.8515625" style="10" customWidth="1"/>
    <col min="17" max="17" width="9.140625" style="10" customWidth="1"/>
    <col min="18" max="18" width="10.421875" style="10" customWidth="1"/>
    <col min="19" max="19" width="11.140625" style="10" customWidth="1"/>
    <col min="20" max="20" width="9.140625" style="10" customWidth="1"/>
    <col min="21" max="22" width="10.421875" style="10" customWidth="1"/>
    <col min="23" max="23" width="9.140625" style="10" customWidth="1"/>
    <col min="24" max="24" width="10.421875" style="10" customWidth="1"/>
    <col min="25" max="25" width="10.57421875" style="10" customWidth="1"/>
    <col min="26" max="26" width="9.140625" style="10" customWidth="1"/>
    <col min="27" max="27" width="10.421875" style="10" customWidth="1"/>
    <col min="28" max="28" width="10.28125" style="10" customWidth="1"/>
    <col min="29" max="29" width="9.140625" style="10" customWidth="1"/>
    <col min="30" max="30" width="10.421875" style="10" customWidth="1"/>
    <col min="31" max="31" width="11.28125" style="10" customWidth="1"/>
    <col min="32" max="32" width="9.140625" style="10" customWidth="1"/>
    <col min="33" max="33" width="10.421875" style="10" customWidth="1"/>
    <col min="34" max="34" width="10.140625" style="10" customWidth="1"/>
    <col min="35" max="35" width="9.140625" style="10" customWidth="1"/>
    <col min="36" max="36" width="10.421875" style="10" customWidth="1"/>
    <col min="37" max="37" width="10.7109375" style="10" customWidth="1"/>
    <col min="38" max="38" width="9.140625" style="10" customWidth="1"/>
    <col min="39" max="39" width="10.421875" style="10" customWidth="1"/>
    <col min="40" max="40" width="10.28125" style="10" customWidth="1"/>
    <col min="41" max="41" width="9.140625" style="10" customWidth="1"/>
    <col min="42" max="42" width="10.421875" style="10" customWidth="1"/>
    <col min="43" max="43" width="10.7109375" style="10" customWidth="1"/>
    <col min="44" max="44" width="9.140625" style="10" customWidth="1"/>
    <col min="45" max="45" width="10.421875" style="10" customWidth="1"/>
    <col min="46" max="46" width="10.140625" style="10" customWidth="1"/>
    <col min="47" max="47" width="9.140625" style="10" customWidth="1"/>
    <col min="48" max="48" width="10.421875" style="10" customWidth="1"/>
    <col min="49" max="49" width="10.140625" style="10" customWidth="1"/>
    <col min="50" max="50" width="9.140625" style="10" customWidth="1"/>
    <col min="51" max="51" width="10.421875" style="10" customWidth="1"/>
    <col min="52" max="52" width="10.28125" style="10" customWidth="1"/>
    <col min="53" max="53" width="9.140625" style="10" customWidth="1"/>
    <col min="54" max="54" width="10.421875" style="10" customWidth="1"/>
    <col min="55" max="55" width="10.140625" style="10" customWidth="1"/>
    <col min="56" max="56" width="9.140625" style="10" customWidth="1"/>
    <col min="57" max="57" width="10.421875" style="10" customWidth="1"/>
    <col min="58" max="58" width="10.28125" style="10" customWidth="1"/>
    <col min="59" max="59" width="9.140625" style="10" customWidth="1"/>
    <col min="60" max="60" width="9.8515625" style="10" bestFit="1" customWidth="1"/>
    <col min="61" max="61" width="10.421875" style="10" customWidth="1"/>
    <col min="62" max="62" width="9.140625" style="10" customWidth="1"/>
    <col min="63" max="63" width="11.57421875" style="10" customWidth="1"/>
    <col min="64" max="64" width="11.8515625" style="10" customWidth="1"/>
    <col min="65" max="65" width="10.421875" style="10" bestFit="1" customWidth="1"/>
    <col min="66" max="66" width="10.28125" style="10" customWidth="1"/>
    <col min="67" max="67" width="10.421875" style="10" bestFit="1" customWidth="1"/>
    <col min="68" max="16384" width="9.140625" style="10" customWidth="1"/>
  </cols>
  <sheetData>
    <row r="1" spans="1:65" ht="15.75">
      <c r="A1" s="6"/>
      <c r="B1" s="4" t="s">
        <v>84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8" t="s">
        <v>1</v>
      </c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9"/>
      <c r="BI1" s="9"/>
      <c r="BJ1" s="9"/>
      <c r="BK1" s="9"/>
      <c r="BL1" s="9"/>
      <c r="BM1" s="9"/>
    </row>
    <row r="2" spans="1:65" ht="15.75">
      <c r="A2" s="7"/>
      <c r="B2" s="5" t="s">
        <v>83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11"/>
      <c r="BI2" s="11"/>
      <c r="BJ2" s="11"/>
      <c r="BK2" s="11"/>
      <c r="BL2" s="11"/>
      <c r="BM2" s="11"/>
    </row>
    <row r="3" spans="1:73" ht="15.75">
      <c r="A3" s="8" t="s">
        <v>2</v>
      </c>
      <c r="B3" s="7"/>
      <c r="C3" s="6" t="s">
        <v>85</v>
      </c>
      <c r="D3" s="12"/>
      <c r="E3" s="12"/>
      <c r="F3" s="6" t="s">
        <v>86</v>
      </c>
      <c r="G3" s="12"/>
      <c r="H3" s="12"/>
      <c r="I3" s="6" t="s">
        <v>87</v>
      </c>
      <c r="J3" s="12"/>
      <c r="K3" s="12"/>
      <c r="L3" s="6" t="s">
        <v>88</v>
      </c>
      <c r="M3" s="12"/>
      <c r="N3" s="12"/>
      <c r="O3" s="6" t="s">
        <v>89</v>
      </c>
      <c r="P3" s="12"/>
      <c r="Q3" s="12"/>
      <c r="R3" s="6" t="s">
        <v>90</v>
      </c>
      <c r="S3" s="12"/>
      <c r="T3" s="12"/>
      <c r="U3" s="6" t="s">
        <v>91</v>
      </c>
      <c r="V3" s="12"/>
      <c r="W3" s="12"/>
      <c r="X3" s="6" t="s">
        <v>92</v>
      </c>
      <c r="Y3" s="12"/>
      <c r="Z3" s="12"/>
      <c r="AA3" s="6" t="s">
        <v>93</v>
      </c>
      <c r="AB3" s="12"/>
      <c r="AC3" s="12"/>
      <c r="AD3" s="6" t="s">
        <v>94</v>
      </c>
      <c r="AE3" s="12"/>
      <c r="AF3" s="12"/>
      <c r="AG3" s="6" t="s">
        <v>95</v>
      </c>
      <c r="AH3" s="12"/>
      <c r="AI3" s="12"/>
      <c r="AJ3" s="6" t="s">
        <v>96</v>
      </c>
      <c r="AK3" s="12"/>
      <c r="AL3" s="12"/>
      <c r="AM3" s="6" t="s">
        <v>97</v>
      </c>
      <c r="AN3" s="12"/>
      <c r="AO3" s="12"/>
      <c r="AP3" s="6" t="s">
        <v>98</v>
      </c>
      <c r="AQ3" s="12"/>
      <c r="AR3" s="12"/>
      <c r="AS3" s="6" t="s">
        <v>99</v>
      </c>
      <c r="AT3" s="12"/>
      <c r="AU3" s="12"/>
      <c r="AV3" s="6" t="s">
        <v>100</v>
      </c>
      <c r="AW3" s="12"/>
      <c r="AX3" s="12"/>
      <c r="AY3" s="6" t="s">
        <v>101</v>
      </c>
      <c r="AZ3" s="12"/>
      <c r="BA3" s="12"/>
      <c r="BB3" s="6" t="s">
        <v>102</v>
      </c>
      <c r="BC3" s="12"/>
      <c r="BD3" s="12"/>
      <c r="BE3" s="6" t="s">
        <v>103</v>
      </c>
      <c r="BF3" s="12"/>
      <c r="BG3" s="12"/>
      <c r="BH3" s="6" t="s">
        <v>104</v>
      </c>
      <c r="BI3" s="12"/>
      <c r="BJ3" s="12"/>
      <c r="BK3" s="6" t="s">
        <v>40</v>
      </c>
      <c r="BL3" s="37"/>
      <c r="BM3" s="37"/>
      <c r="BN3" s="38"/>
      <c r="BO3" s="37"/>
      <c r="BP3" s="37"/>
      <c r="BQ3" s="39"/>
      <c r="BR3" s="38"/>
      <c r="BS3" s="37"/>
      <c r="BT3" s="39"/>
      <c r="BU3" s="40"/>
    </row>
    <row r="4" spans="1:73" ht="16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11"/>
      <c r="BN4" s="11"/>
      <c r="BO4" s="11"/>
      <c r="BP4" s="11"/>
      <c r="BQ4" s="39"/>
      <c r="BR4" s="39"/>
      <c r="BS4" s="39"/>
      <c r="BT4" s="39"/>
      <c r="BU4" s="40"/>
    </row>
    <row r="5" spans="1:73" ht="16.5" thickTop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1"/>
      <c r="BN5" s="11"/>
      <c r="BO5" s="11"/>
      <c r="BP5" s="11"/>
      <c r="BQ5" s="11"/>
      <c r="BR5" s="11"/>
      <c r="BS5" s="11"/>
      <c r="BT5" s="11"/>
      <c r="BU5" s="40"/>
    </row>
    <row r="6" spans="1:73" ht="15.75">
      <c r="A6" s="12"/>
      <c r="B6" s="7"/>
      <c r="C6" s="14" t="s">
        <v>4</v>
      </c>
      <c r="D6" s="14" t="s">
        <v>4</v>
      </c>
      <c r="E6" s="14"/>
      <c r="F6" s="14" t="s">
        <v>4</v>
      </c>
      <c r="G6" s="14" t="s">
        <v>4</v>
      </c>
      <c r="H6" s="14"/>
      <c r="I6" s="14" t="s">
        <v>4</v>
      </c>
      <c r="J6" s="14" t="s">
        <v>4</v>
      </c>
      <c r="K6" s="14"/>
      <c r="L6" s="14" t="s">
        <v>4</v>
      </c>
      <c r="M6" s="14" t="s">
        <v>4</v>
      </c>
      <c r="N6" s="14"/>
      <c r="O6" s="14" t="s">
        <v>4</v>
      </c>
      <c r="P6" s="14" t="s">
        <v>4</v>
      </c>
      <c r="Q6" s="14"/>
      <c r="R6" s="14" t="s">
        <v>4</v>
      </c>
      <c r="S6" s="14" t="s">
        <v>4</v>
      </c>
      <c r="T6" s="14"/>
      <c r="U6" s="14" t="s">
        <v>4</v>
      </c>
      <c r="V6" s="14" t="s">
        <v>4</v>
      </c>
      <c r="W6" s="14"/>
      <c r="X6" s="14" t="s">
        <v>4</v>
      </c>
      <c r="Y6" s="14" t="s">
        <v>4</v>
      </c>
      <c r="Z6" s="14"/>
      <c r="AA6" s="14" t="s">
        <v>4</v>
      </c>
      <c r="AB6" s="14" t="s">
        <v>4</v>
      </c>
      <c r="AC6" s="14"/>
      <c r="AD6" s="14" t="s">
        <v>4</v>
      </c>
      <c r="AE6" s="14" t="s">
        <v>4</v>
      </c>
      <c r="AF6" s="14"/>
      <c r="AG6" s="14" t="s">
        <v>4</v>
      </c>
      <c r="AH6" s="14" t="s">
        <v>4</v>
      </c>
      <c r="AI6" s="14"/>
      <c r="AJ6" s="14" t="s">
        <v>4</v>
      </c>
      <c r="AK6" s="14" t="s">
        <v>4</v>
      </c>
      <c r="AL6" s="14"/>
      <c r="AM6" s="14" t="s">
        <v>4</v>
      </c>
      <c r="AN6" s="14" t="s">
        <v>4</v>
      </c>
      <c r="AO6" s="14"/>
      <c r="AP6" s="14" t="s">
        <v>4</v>
      </c>
      <c r="AQ6" s="14" t="s">
        <v>4</v>
      </c>
      <c r="AR6" s="14"/>
      <c r="AS6" s="14" t="s">
        <v>4</v>
      </c>
      <c r="AT6" s="14" t="s">
        <v>4</v>
      </c>
      <c r="AU6" s="14"/>
      <c r="AV6" s="14" t="s">
        <v>4</v>
      </c>
      <c r="AW6" s="14" t="s">
        <v>4</v>
      </c>
      <c r="AX6" s="14"/>
      <c r="AY6" s="14" t="s">
        <v>4</v>
      </c>
      <c r="AZ6" s="14" t="s">
        <v>4</v>
      </c>
      <c r="BA6" s="14"/>
      <c r="BB6" s="14" t="s">
        <v>4</v>
      </c>
      <c r="BC6" s="14" t="s">
        <v>4</v>
      </c>
      <c r="BD6" s="14"/>
      <c r="BE6" s="14" t="s">
        <v>4</v>
      </c>
      <c r="BF6" s="14" t="s">
        <v>4</v>
      </c>
      <c r="BG6" s="14"/>
      <c r="BH6" s="14" t="s">
        <v>4</v>
      </c>
      <c r="BI6" s="14" t="s">
        <v>4</v>
      </c>
      <c r="BJ6" s="14"/>
      <c r="BK6" s="14" t="s">
        <v>4</v>
      </c>
      <c r="BL6" s="14" t="s">
        <v>4</v>
      </c>
      <c r="BM6" s="41"/>
      <c r="BN6" s="41"/>
      <c r="BO6" s="41"/>
      <c r="BP6" s="41"/>
      <c r="BQ6" s="41"/>
      <c r="BR6" s="41"/>
      <c r="BS6" s="41"/>
      <c r="BT6" s="41"/>
      <c r="BU6" s="40"/>
    </row>
    <row r="7" spans="1:73" ht="15.75">
      <c r="A7" s="7"/>
      <c r="B7" s="15" t="s">
        <v>6</v>
      </c>
      <c r="C7" s="14" t="s">
        <v>7</v>
      </c>
      <c r="D7" s="14" t="s">
        <v>7</v>
      </c>
      <c r="E7" s="14"/>
      <c r="F7" s="14" t="s">
        <v>7</v>
      </c>
      <c r="G7" s="14" t="s">
        <v>7</v>
      </c>
      <c r="H7" s="14"/>
      <c r="I7" s="14" t="s">
        <v>7</v>
      </c>
      <c r="J7" s="14" t="s">
        <v>7</v>
      </c>
      <c r="K7" s="14"/>
      <c r="L7" s="14" t="s">
        <v>7</v>
      </c>
      <c r="M7" s="14" t="s">
        <v>7</v>
      </c>
      <c r="N7" s="14"/>
      <c r="O7" s="14" t="s">
        <v>7</v>
      </c>
      <c r="P7" s="14" t="s">
        <v>7</v>
      </c>
      <c r="Q7" s="14"/>
      <c r="R7" s="14" t="s">
        <v>7</v>
      </c>
      <c r="S7" s="14" t="s">
        <v>7</v>
      </c>
      <c r="T7" s="14"/>
      <c r="U7" s="14" t="s">
        <v>7</v>
      </c>
      <c r="V7" s="14" t="s">
        <v>7</v>
      </c>
      <c r="W7" s="14"/>
      <c r="X7" s="14" t="s">
        <v>7</v>
      </c>
      <c r="Y7" s="14" t="s">
        <v>7</v>
      </c>
      <c r="Z7" s="14"/>
      <c r="AA7" s="14" t="s">
        <v>7</v>
      </c>
      <c r="AB7" s="14" t="s">
        <v>7</v>
      </c>
      <c r="AC7" s="14"/>
      <c r="AD7" s="14" t="s">
        <v>7</v>
      </c>
      <c r="AE7" s="14" t="s">
        <v>7</v>
      </c>
      <c r="AF7" s="14"/>
      <c r="AG7" s="14" t="s">
        <v>7</v>
      </c>
      <c r="AH7" s="14" t="s">
        <v>7</v>
      </c>
      <c r="AI7" s="14"/>
      <c r="AJ7" s="14" t="s">
        <v>7</v>
      </c>
      <c r="AK7" s="14" t="s">
        <v>7</v>
      </c>
      <c r="AL7" s="14"/>
      <c r="AM7" s="14" t="s">
        <v>7</v>
      </c>
      <c r="AN7" s="14" t="s">
        <v>7</v>
      </c>
      <c r="AO7" s="14"/>
      <c r="AP7" s="14" t="s">
        <v>7</v>
      </c>
      <c r="AQ7" s="14" t="s">
        <v>7</v>
      </c>
      <c r="AR7" s="14"/>
      <c r="AS7" s="14" t="s">
        <v>7</v>
      </c>
      <c r="AT7" s="14" t="s">
        <v>7</v>
      </c>
      <c r="AU7" s="14"/>
      <c r="AV7" s="14" t="s">
        <v>7</v>
      </c>
      <c r="AW7" s="14" t="s">
        <v>7</v>
      </c>
      <c r="AX7" s="14"/>
      <c r="AY7" s="14" t="s">
        <v>7</v>
      </c>
      <c r="AZ7" s="14" t="s">
        <v>7</v>
      </c>
      <c r="BA7" s="14"/>
      <c r="BB7" s="14" t="s">
        <v>7</v>
      </c>
      <c r="BC7" s="14" t="s">
        <v>7</v>
      </c>
      <c r="BD7" s="14"/>
      <c r="BE7" s="14" t="s">
        <v>7</v>
      </c>
      <c r="BF7" s="14" t="s">
        <v>7</v>
      </c>
      <c r="BG7" s="14"/>
      <c r="BH7" s="14" t="s">
        <v>7</v>
      </c>
      <c r="BI7" s="14" t="s">
        <v>7</v>
      </c>
      <c r="BJ7" s="14"/>
      <c r="BK7" s="14" t="s">
        <v>7</v>
      </c>
      <c r="BL7" s="14" t="s">
        <v>7</v>
      </c>
      <c r="BM7" s="41"/>
      <c r="BN7" s="41"/>
      <c r="BO7" s="41"/>
      <c r="BP7" s="41"/>
      <c r="BQ7" s="41"/>
      <c r="BR7" s="41"/>
      <c r="BS7" s="41"/>
      <c r="BT7" s="41"/>
      <c r="BU7" s="40"/>
    </row>
    <row r="8" spans="1:73" ht="15.75">
      <c r="A8" s="7"/>
      <c r="B8" s="7"/>
      <c r="C8" s="14" t="s">
        <v>11</v>
      </c>
      <c r="D8" s="14" t="s">
        <v>10</v>
      </c>
      <c r="E8" s="14"/>
      <c r="F8" s="14" t="s">
        <v>11</v>
      </c>
      <c r="G8" s="14" t="s">
        <v>10</v>
      </c>
      <c r="H8" s="14"/>
      <c r="I8" s="14" t="s">
        <v>11</v>
      </c>
      <c r="J8" s="14" t="s">
        <v>10</v>
      </c>
      <c r="K8" s="14"/>
      <c r="L8" s="14" t="s">
        <v>11</v>
      </c>
      <c r="M8" s="14" t="s">
        <v>10</v>
      </c>
      <c r="N8" s="14"/>
      <c r="O8" s="14" t="s">
        <v>11</v>
      </c>
      <c r="P8" s="14" t="s">
        <v>10</v>
      </c>
      <c r="Q8" s="14"/>
      <c r="R8" s="14" t="s">
        <v>11</v>
      </c>
      <c r="S8" s="14" t="s">
        <v>10</v>
      </c>
      <c r="T8" s="14"/>
      <c r="U8" s="14" t="s">
        <v>11</v>
      </c>
      <c r="V8" s="14" t="s">
        <v>10</v>
      </c>
      <c r="W8" s="14"/>
      <c r="X8" s="14" t="s">
        <v>11</v>
      </c>
      <c r="Y8" s="14" t="s">
        <v>10</v>
      </c>
      <c r="Z8" s="14"/>
      <c r="AA8" s="14" t="s">
        <v>11</v>
      </c>
      <c r="AB8" s="14" t="s">
        <v>10</v>
      </c>
      <c r="AC8" s="14"/>
      <c r="AD8" s="14" t="s">
        <v>11</v>
      </c>
      <c r="AE8" s="14" t="s">
        <v>10</v>
      </c>
      <c r="AF8" s="14"/>
      <c r="AG8" s="14" t="s">
        <v>11</v>
      </c>
      <c r="AH8" s="14" t="s">
        <v>10</v>
      </c>
      <c r="AI8" s="14"/>
      <c r="AJ8" s="14" t="s">
        <v>11</v>
      </c>
      <c r="AK8" s="14" t="s">
        <v>10</v>
      </c>
      <c r="AL8" s="14"/>
      <c r="AM8" s="14" t="s">
        <v>11</v>
      </c>
      <c r="AN8" s="14" t="s">
        <v>10</v>
      </c>
      <c r="AO8" s="14"/>
      <c r="AP8" s="14" t="s">
        <v>11</v>
      </c>
      <c r="AQ8" s="14" t="s">
        <v>10</v>
      </c>
      <c r="AR8" s="14"/>
      <c r="AS8" s="14" t="s">
        <v>11</v>
      </c>
      <c r="AT8" s="14" t="s">
        <v>10</v>
      </c>
      <c r="AU8" s="14"/>
      <c r="AV8" s="14" t="s">
        <v>11</v>
      </c>
      <c r="AW8" s="14" t="s">
        <v>10</v>
      </c>
      <c r="AX8" s="14"/>
      <c r="AY8" s="14" t="s">
        <v>11</v>
      </c>
      <c r="AZ8" s="14" t="s">
        <v>10</v>
      </c>
      <c r="BA8" s="14"/>
      <c r="BB8" s="14" t="s">
        <v>11</v>
      </c>
      <c r="BC8" s="14" t="s">
        <v>10</v>
      </c>
      <c r="BD8" s="14"/>
      <c r="BE8" s="14" t="s">
        <v>11</v>
      </c>
      <c r="BF8" s="14" t="s">
        <v>10</v>
      </c>
      <c r="BG8" s="14"/>
      <c r="BH8" s="14" t="s">
        <v>11</v>
      </c>
      <c r="BI8" s="14" t="s">
        <v>10</v>
      </c>
      <c r="BJ8" s="14"/>
      <c r="BK8" s="14" t="s">
        <v>11</v>
      </c>
      <c r="BL8" s="14" t="s">
        <v>10</v>
      </c>
      <c r="BM8" s="41"/>
      <c r="BN8" s="41"/>
      <c r="BO8" s="41"/>
      <c r="BP8" s="41"/>
      <c r="BQ8" s="41"/>
      <c r="BR8" s="41"/>
      <c r="BS8" s="41"/>
      <c r="BT8" s="41"/>
      <c r="BU8" s="40"/>
    </row>
    <row r="9" spans="1:73" ht="15.75">
      <c r="A9" s="7"/>
      <c r="B9" s="7"/>
      <c r="C9" s="7"/>
      <c r="D9" s="14" t="s">
        <v>14</v>
      </c>
      <c r="E9" s="7"/>
      <c r="F9" s="7"/>
      <c r="G9" s="14" t="s">
        <v>14</v>
      </c>
      <c r="H9" s="7"/>
      <c r="I9" s="7"/>
      <c r="J9" s="14" t="s">
        <v>14</v>
      </c>
      <c r="K9" s="7"/>
      <c r="L9" s="7"/>
      <c r="M9" s="14" t="s">
        <v>14</v>
      </c>
      <c r="N9" s="7"/>
      <c r="O9" s="7"/>
      <c r="P9" s="14" t="s">
        <v>14</v>
      </c>
      <c r="Q9" s="7"/>
      <c r="R9" s="7"/>
      <c r="S9" s="14" t="s">
        <v>14</v>
      </c>
      <c r="T9" s="7"/>
      <c r="U9" s="7"/>
      <c r="V9" s="14" t="s">
        <v>14</v>
      </c>
      <c r="W9" s="8" t="s">
        <v>15</v>
      </c>
      <c r="X9" s="7"/>
      <c r="Y9" s="14" t="s">
        <v>14</v>
      </c>
      <c r="Z9" s="8" t="s">
        <v>15</v>
      </c>
      <c r="AA9" s="7"/>
      <c r="AB9" s="14" t="s">
        <v>14</v>
      </c>
      <c r="AC9" s="7"/>
      <c r="AD9" s="7"/>
      <c r="AE9" s="14" t="s">
        <v>14</v>
      </c>
      <c r="AF9" s="7"/>
      <c r="AG9" s="7"/>
      <c r="AH9" s="14" t="s">
        <v>14</v>
      </c>
      <c r="AI9" s="7"/>
      <c r="AJ9" s="7"/>
      <c r="AK9" s="14" t="s">
        <v>14</v>
      </c>
      <c r="AL9" s="7"/>
      <c r="AM9" s="7"/>
      <c r="AN9" s="14" t="s">
        <v>14</v>
      </c>
      <c r="AO9" s="7"/>
      <c r="AP9" s="7"/>
      <c r="AQ9" s="14" t="s">
        <v>14</v>
      </c>
      <c r="AR9" s="7"/>
      <c r="AS9" s="7"/>
      <c r="AT9" s="14" t="s">
        <v>14</v>
      </c>
      <c r="AU9" s="7"/>
      <c r="AV9" s="7"/>
      <c r="AW9" s="14" t="s">
        <v>14</v>
      </c>
      <c r="AX9" s="7"/>
      <c r="AY9" s="7"/>
      <c r="AZ9" s="14" t="s">
        <v>14</v>
      </c>
      <c r="BA9" s="7"/>
      <c r="BB9" s="7"/>
      <c r="BC9" s="14" t="s">
        <v>14</v>
      </c>
      <c r="BD9" s="7"/>
      <c r="BE9" s="7"/>
      <c r="BF9" s="14" t="s">
        <v>14</v>
      </c>
      <c r="BG9" s="7"/>
      <c r="BH9" s="7"/>
      <c r="BI9" s="14" t="s">
        <v>14</v>
      </c>
      <c r="BJ9" s="7"/>
      <c r="BK9" s="7"/>
      <c r="BL9" s="14" t="s">
        <v>14</v>
      </c>
      <c r="BM9" s="11"/>
      <c r="BN9" s="11"/>
      <c r="BO9" s="41"/>
      <c r="BP9" s="11"/>
      <c r="BQ9" s="41"/>
      <c r="BR9" s="41"/>
      <c r="BS9" s="41"/>
      <c r="BT9" s="11"/>
      <c r="BU9" s="40"/>
    </row>
    <row r="10" spans="1:73" ht="16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11"/>
      <c r="BN10" s="11"/>
      <c r="BO10" s="11"/>
      <c r="BP10" s="11"/>
      <c r="BQ10" s="11"/>
      <c r="BR10" s="11"/>
      <c r="BS10" s="41"/>
      <c r="BT10" s="11"/>
      <c r="BU10" s="40"/>
    </row>
    <row r="11" spans="1:73" ht="16.5" thickTop="1">
      <c r="A11" s="16" t="s">
        <v>2</v>
      </c>
      <c r="B11" s="13"/>
      <c r="C11" s="17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1"/>
      <c r="BN11" s="11"/>
      <c r="BO11" s="11"/>
      <c r="BP11" s="11"/>
      <c r="BQ11" s="11"/>
      <c r="BR11" s="11"/>
      <c r="BS11" s="11"/>
      <c r="BT11" s="11"/>
      <c r="BU11" s="40"/>
    </row>
    <row r="12" spans="1:73" ht="15.75">
      <c r="A12" s="18">
        <v>1</v>
      </c>
      <c r="B12" s="19" t="s">
        <v>17</v>
      </c>
      <c r="C12" s="7">
        <v>133.7</v>
      </c>
      <c r="D12" s="20">
        <v>105.17</v>
      </c>
      <c r="E12" s="7"/>
      <c r="F12" s="7">
        <v>132.23</v>
      </c>
      <c r="G12" s="20">
        <v>106.94</v>
      </c>
      <c r="H12" s="7"/>
      <c r="I12" s="7">
        <v>132.27</v>
      </c>
      <c r="J12" s="20">
        <v>106.86</v>
      </c>
      <c r="K12" s="7"/>
      <c r="L12" s="7">
        <v>131.85</v>
      </c>
      <c r="M12" s="20">
        <v>107.2</v>
      </c>
      <c r="N12" s="7"/>
      <c r="O12" s="7">
        <v>129.06</v>
      </c>
      <c r="P12" s="20">
        <v>109.2</v>
      </c>
      <c r="Q12" s="7"/>
      <c r="R12" s="7">
        <v>128.17</v>
      </c>
      <c r="S12" s="20">
        <v>110.02</v>
      </c>
      <c r="T12" s="7"/>
      <c r="U12" s="7">
        <v>129.04</v>
      </c>
      <c r="V12" s="20">
        <v>109.65</v>
      </c>
      <c r="W12" s="7"/>
      <c r="X12" s="7">
        <v>128.88</v>
      </c>
      <c r="Y12" s="20">
        <v>109.9</v>
      </c>
      <c r="Z12" s="7"/>
      <c r="AA12" s="7">
        <v>129.43</v>
      </c>
      <c r="AB12" s="20">
        <v>109.46</v>
      </c>
      <c r="AC12" s="7"/>
      <c r="AD12" s="7">
        <v>128.77</v>
      </c>
      <c r="AE12" s="7">
        <v>109.81</v>
      </c>
      <c r="AF12" s="7"/>
      <c r="AG12" s="7">
        <v>129.2</v>
      </c>
      <c r="AH12" s="20">
        <v>109.5</v>
      </c>
      <c r="AI12" s="7"/>
      <c r="AJ12" s="7">
        <v>130.88</v>
      </c>
      <c r="AK12" s="20">
        <v>108.28</v>
      </c>
      <c r="AL12" s="7"/>
      <c r="AM12" s="7">
        <v>131.55</v>
      </c>
      <c r="AN12" s="20">
        <v>107.64</v>
      </c>
      <c r="AO12" s="7"/>
      <c r="AP12" s="7">
        <v>131.76</v>
      </c>
      <c r="AQ12" s="20">
        <v>107.5</v>
      </c>
      <c r="AR12" s="7"/>
      <c r="AS12" s="7">
        <v>131.63</v>
      </c>
      <c r="AT12" s="20">
        <v>107.47</v>
      </c>
      <c r="AU12" s="7"/>
      <c r="AV12" s="7">
        <v>132.91</v>
      </c>
      <c r="AW12" s="20">
        <v>107.52</v>
      </c>
      <c r="AX12" s="7"/>
      <c r="AY12" s="7">
        <v>133.15</v>
      </c>
      <c r="AZ12" s="20">
        <v>108.04</v>
      </c>
      <c r="BA12" s="7"/>
      <c r="BB12" s="7">
        <v>132.34</v>
      </c>
      <c r="BC12" s="20">
        <v>108.96</v>
      </c>
      <c r="BD12" s="7"/>
      <c r="BE12" s="7">
        <v>132.7</v>
      </c>
      <c r="BF12" s="20">
        <v>108.33</v>
      </c>
      <c r="BG12" s="7"/>
      <c r="BH12" s="22">
        <v>132.75</v>
      </c>
      <c r="BI12" s="23">
        <v>108.33</v>
      </c>
      <c r="BJ12" s="7"/>
      <c r="BK12" s="7">
        <f aca="true" t="shared" si="0" ref="BK12:BK24">(+C12+F12+I12+L12+O12+R12+U12+X12+AA12+AD12+AG12+AJ12+AM12+AP12+AS12+AV12+AY12+BB12+BE12+BH12)/20</f>
        <v>131.1135</v>
      </c>
      <c r="BL12" s="7">
        <f aca="true" t="shared" si="1" ref="BL12:BL24">(+D12+G12+J12+M12+P12+S12+V12+Y12+AB12+AE12+AH12+AK12+AN12+AQ12+AT12+AW12+AZ12+BC12+BF12+BI12)/20</f>
        <v>108.28900000000002</v>
      </c>
      <c r="BM12" s="11"/>
      <c r="BN12" s="42"/>
      <c r="BO12" s="42"/>
      <c r="BP12" s="11"/>
      <c r="BQ12" s="11"/>
      <c r="BR12" s="11"/>
      <c r="BS12" s="11"/>
      <c r="BT12" s="11"/>
      <c r="BU12" s="40"/>
    </row>
    <row r="13" spans="1:73" ht="15.75">
      <c r="A13" s="18">
        <v>2</v>
      </c>
      <c r="B13" s="19" t="s">
        <v>18</v>
      </c>
      <c r="C13" s="7">
        <f>1/1.4203</f>
        <v>0.7040766035344646</v>
      </c>
      <c r="D13" s="20">
        <v>199.71</v>
      </c>
      <c r="E13" s="7"/>
      <c r="F13" s="7">
        <f>1/1.4174</f>
        <v>0.7055171440666008</v>
      </c>
      <c r="G13" s="20">
        <v>200.44</v>
      </c>
      <c r="H13" s="7"/>
      <c r="I13" s="7">
        <f>1/1.4213</f>
        <v>0.7035812284528249</v>
      </c>
      <c r="J13" s="20">
        <v>200.9</v>
      </c>
      <c r="K13" s="7"/>
      <c r="L13" s="7">
        <f>1/1.4222</f>
        <v>0.7031359864997891</v>
      </c>
      <c r="M13" s="20">
        <v>201.02</v>
      </c>
      <c r="N13" s="7"/>
      <c r="O13" s="7">
        <f>1/1.4272</f>
        <v>0.7006726457399103</v>
      </c>
      <c r="P13" s="20">
        <v>201.13</v>
      </c>
      <c r="Q13" s="7"/>
      <c r="R13" s="7">
        <f>1/1.4235</f>
        <v>0.7024938531787847</v>
      </c>
      <c r="S13" s="20">
        <v>200.73</v>
      </c>
      <c r="T13" s="7"/>
      <c r="U13" s="7">
        <f>1/1.4199</f>
        <v>0.7042749489400663</v>
      </c>
      <c r="V13" s="20">
        <v>200.91</v>
      </c>
      <c r="W13" s="7"/>
      <c r="X13" s="7">
        <f>1/1.4122</f>
        <v>0.708114997875655</v>
      </c>
      <c r="Y13" s="20">
        <v>200.02</v>
      </c>
      <c r="Z13" s="7"/>
      <c r="AA13" s="7">
        <f>1/1.4105</f>
        <v>0.7089684509039347</v>
      </c>
      <c r="AB13" s="20">
        <v>199.82</v>
      </c>
      <c r="AC13" s="7"/>
      <c r="AD13" s="7">
        <f>1/1.4176</f>
        <v>0.7054176072234764</v>
      </c>
      <c r="AE13" s="7">
        <v>200.46</v>
      </c>
      <c r="AF13" s="7"/>
      <c r="AG13" s="7">
        <f>1/1.4218</f>
        <v>0.7033338022225348</v>
      </c>
      <c r="AH13" s="20">
        <v>201.14</v>
      </c>
      <c r="AI13" s="7"/>
      <c r="AJ13" s="7">
        <f>1/1.423</f>
        <v>0.7027406886858749</v>
      </c>
      <c r="AK13" s="20">
        <v>201.67</v>
      </c>
      <c r="AL13" s="7"/>
      <c r="AM13" s="7">
        <f>1/1.4266</f>
        <v>0.7009673349221925</v>
      </c>
      <c r="AN13" s="20">
        <v>202</v>
      </c>
      <c r="AO13" s="7"/>
      <c r="AP13" s="7">
        <f>1/1.421</f>
        <v>0.7037297677691766</v>
      </c>
      <c r="AQ13" s="20">
        <v>201.27</v>
      </c>
      <c r="AR13" s="7"/>
      <c r="AS13" s="7">
        <f>1/1.4305</f>
        <v>0.6990562740300593</v>
      </c>
      <c r="AT13" s="20">
        <v>202.36</v>
      </c>
      <c r="AU13" s="7"/>
      <c r="AV13" s="7">
        <f>1/1.4267</f>
        <v>0.7009182028457278</v>
      </c>
      <c r="AW13" s="20">
        <v>203.88</v>
      </c>
      <c r="AX13" s="7"/>
      <c r="AY13" s="7">
        <f>1/1.4236</f>
        <v>0.7024445068839562</v>
      </c>
      <c r="AZ13" s="20">
        <v>204.8</v>
      </c>
      <c r="BA13" s="7"/>
      <c r="BB13" s="7">
        <f>1/1.4247</f>
        <v>0.7019021548396153</v>
      </c>
      <c r="BC13" s="20">
        <v>205.44</v>
      </c>
      <c r="BD13" s="7"/>
      <c r="BE13" s="7">
        <f>1/1.4241</f>
        <v>0.7021978793624044</v>
      </c>
      <c r="BF13" s="20">
        <v>204.72</v>
      </c>
      <c r="BG13" s="7"/>
      <c r="BH13" s="22">
        <f>1/1.4255</f>
        <v>0.701508242721852</v>
      </c>
      <c r="BI13" s="23">
        <v>205</v>
      </c>
      <c r="BJ13" s="7"/>
      <c r="BK13" s="7">
        <f t="shared" si="0"/>
        <v>0.7032526160349452</v>
      </c>
      <c r="BL13" s="7">
        <f t="shared" si="1"/>
        <v>201.871</v>
      </c>
      <c r="BM13" s="11"/>
      <c r="BN13" s="42"/>
      <c r="BO13" s="42"/>
      <c r="BP13" s="11"/>
      <c r="BQ13" s="11"/>
      <c r="BR13" s="11"/>
      <c r="BS13" s="11"/>
      <c r="BT13" s="11"/>
      <c r="BU13" s="40"/>
    </row>
    <row r="14" spans="1:73" ht="15.75">
      <c r="A14" s="18">
        <v>3</v>
      </c>
      <c r="B14" s="19" t="s">
        <v>19</v>
      </c>
      <c r="C14" s="7">
        <v>1.7015</v>
      </c>
      <c r="D14" s="20">
        <v>82.64</v>
      </c>
      <c r="E14" s="7"/>
      <c r="F14" s="7">
        <v>1.7099</v>
      </c>
      <c r="G14" s="20">
        <v>82.7</v>
      </c>
      <c r="H14" s="7"/>
      <c r="I14" s="7">
        <v>1.6991</v>
      </c>
      <c r="J14" s="20">
        <v>83.19</v>
      </c>
      <c r="K14" s="7"/>
      <c r="L14" s="7">
        <v>1.6945</v>
      </c>
      <c r="M14" s="20">
        <v>83.41</v>
      </c>
      <c r="N14" s="7"/>
      <c r="O14" s="7">
        <v>1.6764</v>
      </c>
      <c r="P14" s="20">
        <v>84.07</v>
      </c>
      <c r="Q14" s="7"/>
      <c r="R14" s="7">
        <v>1.6723</v>
      </c>
      <c r="S14" s="20">
        <v>84.32</v>
      </c>
      <c r="T14" s="7"/>
      <c r="U14" s="7">
        <v>1.6826</v>
      </c>
      <c r="V14" s="20">
        <v>84.09</v>
      </c>
      <c r="W14" s="7"/>
      <c r="X14" s="7">
        <v>1.6819</v>
      </c>
      <c r="Y14" s="20">
        <v>84.21</v>
      </c>
      <c r="Z14" s="7"/>
      <c r="AA14" s="7">
        <v>1.6804</v>
      </c>
      <c r="AB14" s="20">
        <v>84.31</v>
      </c>
      <c r="AC14" s="7"/>
      <c r="AD14" s="7">
        <v>1.6637</v>
      </c>
      <c r="AE14" s="7">
        <v>85</v>
      </c>
      <c r="AF14" s="7"/>
      <c r="AG14" s="7">
        <v>1.6542</v>
      </c>
      <c r="AH14" s="20">
        <v>85.52</v>
      </c>
      <c r="AI14" s="7"/>
      <c r="AJ14" s="7">
        <v>1.6619</v>
      </c>
      <c r="AK14" s="20">
        <v>85.28</v>
      </c>
      <c r="AL14" s="7"/>
      <c r="AM14" s="7">
        <v>1.662</v>
      </c>
      <c r="AN14" s="20">
        <v>85.2</v>
      </c>
      <c r="AO14" s="7"/>
      <c r="AP14" s="7">
        <v>1.665</v>
      </c>
      <c r="AQ14" s="20">
        <v>85.07</v>
      </c>
      <c r="AR14" s="7"/>
      <c r="AS14" s="7">
        <v>1.6555</v>
      </c>
      <c r="AT14" s="20">
        <v>85.45</v>
      </c>
      <c r="AU14" s="7"/>
      <c r="AV14" s="7">
        <v>1.6644</v>
      </c>
      <c r="AW14" s="20">
        <v>85.86</v>
      </c>
      <c r="AX14" s="7"/>
      <c r="AY14" s="7">
        <v>1.6659</v>
      </c>
      <c r="AZ14" s="20">
        <v>86.36</v>
      </c>
      <c r="BA14" s="7"/>
      <c r="BB14" s="7">
        <v>1.6744</v>
      </c>
      <c r="BC14" s="20">
        <v>86.12</v>
      </c>
      <c r="BD14" s="7"/>
      <c r="BE14" s="7">
        <v>1.6814</v>
      </c>
      <c r="BF14" s="20">
        <v>85.5</v>
      </c>
      <c r="BG14" s="7"/>
      <c r="BH14" s="22">
        <v>1.6797</v>
      </c>
      <c r="BI14" s="23">
        <v>85.62</v>
      </c>
      <c r="BJ14" s="7"/>
      <c r="BK14" s="7">
        <f t="shared" si="0"/>
        <v>1.676335</v>
      </c>
      <c r="BL14" s="7">
        <f t="shared" si="1"/>
        <v>84.69599999999998</v>
      </c>
      <c r="BM14" s="11"/>
      <c r="BN14" s="42"/>
      <c r="BO14" s="42"/>
      <c r="BP14" s="11"/>
      <c r="BQ14" s="11"/>
      <c r="BR14" s="11"/>
      <c r="BS14" s="11"/>
      <c r="BT14" s="11"/>
      <c r="BU14" s="40"/>
    </row>
    <row r="15" spans="1:73" ht="15.75">
      <c r="A15" s="18">
        <v>4</v>
      </c>
      <c r="B15" s="19" t="s">
        <v>24</v>
      </c>
      <c r="C15" s="7">
        <f>1/0.8676</f>
        <v>1.152604887044721</v>
      </c>
      <c r="D15" s="20">
        <v>121.99</v>
      </c>
      <c r="E15" s="7"/>
      <c r="F15" s="7">
        <f>1/0.8639</f>
        <v>1.1575413821044103</v>
      </c>
      <c r="G15" s="20">
        <v>122.16</v>
      </c>
      <c r="H15" s="7"/>
      <c r="I15" s="7">
        <f>1/0.8686</f>
        <v>1.1512779184895232</v>
      </c>
      <c r="J15" s="20">
        <v>122.78</v>
      </c>
      <c r="K15" s="7"/>
      <c r="L15" s="7">
        <f>1/0.8714</f>
        <v>1.1475786091347258</v>
      </c>
      <c r="M15" s="20">
        <v>123.17</v>
      </c>
      <c r="N15" s="7"/>
      <c r="O15" s="7">
        <f>1/0.8781</f>
        <v>1.1388224575788635</v>
      </c>
      <c r="P15" s="20">
        <v>123.75</v>
      </c>
      <c r="Q15" s="7"/>
      <c r="R15" s="7">
        <f>1/0.8791</f>
        <v>1.1375270162666364</v>
      </c>
      <c r="S15" s="20">
        <v>123.96</v>
      </c>
      <c r="T15" s="7"/>
      <c r="U15" s="7">
        <f>1/0.8746</f>
        <v>1.143379830779785</v>
      </c>
      <c r="V15" s="20">
        <v>123.75</v>
      </c>
      <c r="W15" s="7"/>
      <c r="X15" s="7">
        <f>1/0.8724</f>
        <v>1.1462631820265934</v>
      </c>
      <c r="Y15" s="20">
        <v>123.56</v>
      </c>
      <c r="Z15" s="7"/>
      <c r="AA15" s="7">
        <f>1/0.874</f>
        <v>1.1441647597254005</v>
      </c>
      <c r="AB15" s="20">
        <v>123.82</v>
      </c>
      <c r="AC15" s="7"/>
      <c r="AD15" s="7">
        <f>1/0.8808</f>
        <v>1.1353315168029063</v>
      </c>
      <c r="AE15" s="7">
        <v>124.55</v>
      </c>
      <c r="AF15" s="7"/>
      <c r="AG15" s="7">
        <f>1/0.8834</f>
        <v>1.1319900384876613</v>
      </c>
      <c r="AH15" s="20">
        <v>124.97</v>
      </c>
      <c r="AI15" s="7"/>
      <c r="AJ15" s="7">
        <f>1/0.8803</f>
        <v>1.1359763716914688</v>
      </c>
      <c r="AK15" s="20">
        <v>124.76</v>
      </c>
      <c r="AL15" s="7"/>
      <c r="AM15" s="24">
        <f>1/0.882</f>
        <v>1.1337868480725624</v>
      </c>
      <c r="AN15" s="20">
        <v>124.89</v>
      </c>
      <c r="AO15" s="7"/>
      <c r="AP15" s="24">
        <f>1/0.8796</f>
        <v>1.1368804001819008</v>
      </c>
      <c r="AQ15" s="20">
        <v>124.59</v>
      </c>
      <c r="AR15" s="7"/>
      <c r="AS15" s="7">
        <f>1/0.884</f>
        <v>1.1312217194570136</v>
      </c>
      <c r="AT15" s="20">
        <v>125.05</v>
      </c>
      <c r="AU15" s="7"/>
      <c r="AV15" s="7">
        <f>1/0.8776</f>
        <v>1.1394712853236098</v>
      </c>
      <c r="AW15" s="20">
        <v>125.41</v>
      </c>
      <c r="AX15" s="7"/>
      <c r="AY15" s="7">
        <f>1/0.8756</f>
        <v>1.1420740063956143</v>
      </c>
      <c r="AZ15" s="20">
        <v>125.97</v>
      </c>
      <c r="BA15" s="7"/>
      <c r="BB15" s="7">
        <f>1/0.8752</f>
        <v>1.1425959780621573</v>
      </c>
      <c r="BC15" s="20">
        <v>126.2</v>
      </c>
      <c r="BD15" s="7"/>
      <c r="BE15" s="7">
        <f>1/0.872</f>
        <v>1.146788990825688</v>
      </c>
      <c r="BF15" s="20">
        <v>125.35</v>
      </c>
      <c r="BG15" s="7"/>
      <c r="BH15" s="22">
        <f>1/0.8723</f>
        <v>1.14639458901754</v>
      </c>
      <c r="BI15" s="23">
        <v>125.45</v>
      </c>
      <c r="BJ15" s="7"/>
      <c r="BK15" s="7">
        <f t="shared" si="0"/>
        <v>1.142083589373439</v>
      </c>
      <c r="BL15" s="7">
        <f t="shared" si="1"/>
        <v>124.30649999999996</v>
      </c>
      <c r="BM15" s="11"/>
      <c r="BN15" s="42"/>
      <c r="BO15" s="42"/>
      <c r="BP15" s="11"/>
      <c r="BQ15" s="11"/>
      <c r="BR15" s="11"/>
      <c r="BS15" s="11"/>
      <c r="BT15" s="11"/>
      <c r="BU15" s="40"/>
    </row>
    <row r="16" spans="1:73" ht="15.75">
      <c r="A16" s="18">
        <v>5</v>
      </c>
      <c r="B16" s="19" t="s">
        <v>25</v>
      </c>
      <c r="C16" s="7">
        <v>295.6</v>
      </c>
      <c r="D16" s="20">
        <v>41563.76</v>
      </c>
      <c r="E16" s="7"/>
      <c r="F16" s="7">
        <v>299.4</v>
      </c>
      <c r="G16" s="20">
        <v>42338.34</v>
      </c>
      <c r="H16" s="7"/>
      <c r="I16" s="7">
        <v>296.5</v>
      </c>
      <c r="J16" s="20">
        <v>41909.9</v>
      </c>
      <c r="K16" s="7"/>
      <c r="L16" s="7">
        <v>294.25</v>
      </c>
      <c r="M16" s="20">
        <v>41590.77</v>
      </c>
      <c r="N16" s="7"/>
      <c r="O16" s="7">
        <v>292</v>
      </c>
      <c r="P16" s="20">
        <v>41150.83</v>
      </c>
      <c r="Q16" s="7"/>
      <c r="R16" s="7">
        <v>289.25</v>
      </c>
      <c r="S16" s="20">
        <v>40786.6</v>
      </c>
      <c r="T16" s="7"/>
      <c r="U16" s="7">
        <v>292.5</v>
      </c>
      <c r="V16" s="20">
        <v>41387.65</v>
      </c>
      <c r="W16" s="7"/>
      <c r="X16" s="7">
        <v>291.8</v>
      </c>
      <c r="Y16" s="20">
        <v>41329.64</v>
      </c>
      <c r="Z16" s="7"/>
      <c r="AA16" s="7">
        <v>293.8</v>
      </c>
      <c r="AB16" s="20">
        <v>41622.1</v>
      </c>
      <c r="AC16" s="7"/>
      <c r="AD16" s="7">
        <v>293.1</v>
      </c>
      <c r="AE16" s="7">
        <v>41446.36</v>
      </c>
      <c r="AF16" s="7"/>
      <c r="AG16" s="7">
        <v>291</v>
      </c>
      <c r="AH16" s="20">
        <v>41167.41</v>
      </c>
      <c r="AI16" s="7"/>
      <c r="AJ16" s="7">
        <v>291</v>
      </c>
      <c r="AK16" s="20">
        <v>41241.43</v>
      </c>
      <c r="AL16" s="7"/>
      <c r="AM16" s="7">
        <v>293</v>
      </c>
      <c r="AN16" s="20">
        <v>41487.88</v>
      </c>
      <c r="AO16" s="7"/>
      <c r="AP16" s="7">
        <v>292.35</v>
      </c>
      <c r="AQ16" s="20">
        <v>41409</v>
      </c>
      <c r="AR16" s="7"/>
      <c r="AS16" s="7">
        <v>292.2</v>
      </c>
      <c r="AT16" s="20">
        <v>41335.34</v>
      </c>
      <c r="AU16" s="7"/>
      <c r="AV16" s="7">
        <v>297.3</v>
      </c>
      <c r="AW16" s="20">
        <v>42486.03</v>
      </c>
      <c r="AX16" s="7"/>
      <c r="AY16" s="7">
        <v>296.8</v>
      </c>
      <c r="AZ16" s="20">
        <v>42698.2</v>
      </c>
      <c r="BA16" s="7"/>
      <c r="BB16" s="7">
        <v>297.5</v>
      </c>
      <c r="BC16" s="20">
        <v>42899.31</v>
      </c>
      <c r="BD16" s="7"/>
      <c r="BE16" s="7">
        <v>303.25</v>
      </c>
      <c r="BF16" s="20">
        <v>43593.05</v>
      </c>
      <c r="BG16" s="7"/>
      <c r="BH16" s="22">
        <v>302.25</v>
      </c>
      <c r="BI16" s="23">
        <v>43466.95</v>
      </c>
      <c r="BJ16" s="7"/>
      <c r="BK16" s="7">
        <f t="shared" si="0"/>
        <v>294.7425</v>
      </c>
      <c r="BL16" s="7">
        <f t="shared" si="1"/>
        <v>41845.52749999999</v>
      </c>
      <c r="BM16" s="11"/>
      <c r="BN16" s="42"/>
      <c r="BO16" s="42"/>
      <c r="BP16" s="11"/>
      <c r="BQ16" s="11"/>
      <c r="BR16" s="11"/>
      <c r="BS16" s="11"/>
      <c r="BT16" s="11"/>
      <c r="BU16" s="40"/>
    </row>
    <row r="17" spans="1:73" ht="15.75">
      <c r="A17" s="18">
        <v>6</v>
      </c>
      <c r="B17" s="25" t="s">
        <v>26</v>
      </c>
      <c r="C17" s="7">
        <v>4.5</v>
      </c>
      <c r="D17" s="20">
        <v>632.74</v>
      </c>
      <c r="E17" s="7"/>
      <c r="F17" s="7">
        <v>4.59</v>
      </c>
      <c r="G17" s="20">
        <v>649.07</v>
      </c>
      <c r="H17" s="7"/>
      <c r="I17" s="7">
        <v>4.55</v>
      </c>
      <c r="J17" s="20">
        <v>643.14</v>
      </c>
      <c r="K17" s="7"/>
      <c r="L17" s="7">
        <v>4.54</v>
      </c>
      <c r="M17" s="20">
        <v>641.71</v>
      </c>
      <c r="N17" s="7"/>
      <c r="O17" s="7">
        <v>4.48</v>
      </c>
      <c r="P17" s="20">
        <v>631.36</v>
      </c>
      <c r="Q17" s="7"/>
      <c r="R17" s="7">
        <v>4.48</v>
      </c>
      <c r="S17" s="20">
        <v>631.72</v>
      </c>
      <c r="T17" s="7"/>
      <c r="U17" s="7">
        <v>4.52</v>
      </c>
      <c r="V17" s="20">
        <v>639.56</v>
      </c>
      <c r="W17" s="7"/>
      <c r="X17" s="7">
        <v>4.48</v>
      </c>
      <c r="Y17" s="20">
        <v>634.53</v>
      </c>
      <c r="Z17" s="7"/>
      <c r="AA17" s="7">
        <v>4.5</v>
      </c>
      <c r="AB17" s="20">
        <v>637.51</v>
      </c>
      <c r="AC17" s="7"/>
      <c r="AD17" s="7">
        <v>4.52</v>
      </c>
      <c r="AE17" s="7">
        <v>639.16</v>
      </c>
      <c r="AF17" s="7"/>
      <c r="AG17" s="7">
        <v>4.49</v>
      </c>
      <c r="AH17" s="20">
        <v>635.19</v>
      </c>
      <c r="AI17" s="7"/>
      <c r="AJ17" s="7">
        <v>4.48</v>
      </c>
      <c r="AK17" s="20">
        <v>634.92</v>
      </c>
      <c r="AL17" s="7"/>
      <c r="AM17" s="7">
        <v>4.5</v>
      </c>
      <c r="AN17" s="20">
        <v>637.19</v>
      </c>
      <c r="AO17" s="7"/>
      <c r="AP17" s="7">
        <v>4.52</v>
      </c>
      <c r="AQ17" s="20">
        <v>640.22</v>
      </c>
      <c r="AR17" s="7"/>
      <c r="AS17" s="7">
        <v>4.5</v>
      </c>
      <c r="AT17" s="20">
        <v>636.58</v>
      </c>
      <c r="AU17" s="7"/>
      <c r="AV17" s="7">
        <v>4.54</v>
      </c>
      <c r="AW17" s="20">
        <v>648.79</v>
      </c>
      <c r="AX17" s="7"/>
      <c r="AY17" s="7">
        <v>4.57</v>
      </c>
      <c r="AZ17" s="20">
        <v>657.45</v>
      </c>
      <c r="BA17" s="7"/>
      <c r="BB17" s="7">
        <v>4.62</v>
      </c>
      <c r="BC17" s="20">
        <v>666.2</v>
      </c>
      <c r="BD17" s="7"/>
      <c r="BE17" s="7">
        <v>4.67</v>
      </c>
      <c r="BF17" s="20">
        <v>671.33</v>
      </c>
      <c r="BG17" s="7"/>
      <c r="BH17" s="22">
        <v>4.63</v>
      </c>
      <c r="BI17" s="23">
        <v>665.85</v>
      </c>
      <c r="BJ17" s="7"/>
      <c r="BK17" s="7">
        <f t="shared" si="0"/>
        <v>4.534</v>
      </c>
      <c r="BL17" s="7">
        <f t="shared" si="1"/>
        <v>643.711</v>
      </c>
      <c r="BM17" s="11"/>
      <c r="BN17" s="42"/>
      <c r="BO17" s="42"/>
      <c r="BP17" s="11"/>
      <c r="BQ17" s="11"/>
      <c r="BR17" s="11"/>
      <c r="BS17" s="11"/>
      <c r="BT17" s="11"/>
      <c r="BU17" s="40"/>
    </row>
    <row r="18" spans="1:73" ht="15.75">
      <c r="A18" s="18">
        <v>7</v>
      </c>
      <c r="B18" s="19" t="s">
        <v>27</v>
      </c>
      <c r="C18" s="7">
        <f>1/0.5168</f>
        <v>1.934984520123839</v>
      </c>
      <c r="D18" s="20">
        <v>72.67</v>
      </c>
      <c r="E18" s="7"/>
      <c r="F18" s="7">
        <f>1/0.5198</f>
        <v>1.923816852635629</v>
      </c>
      <c r="G18" s="20">
        <v>73.51</v>
      </c>
      <c r="H18" s="7"/>
      <c r="I18" s="7">
        <f>1/0.5196</f>
        <v>1.9245573518090842</v>
      </c>
      <c r="J18" s="20">
        <v>73.44</v>
      </c>
      <c r="K18" s="7"/>
      <c r="L18" s="7">
        <f>1/0.519</f>
        <v>1.9267822736030829</v>
      </c>
      <c r="M18" s="20">
        <v>73.36</v>
      </c>
      <c r="N18" s="7"/>
      <c r="O18" s="7">
        <f>1/0.5228</f>
        <v>1.9127773527161436</v>
      </c>
      <c r="P18" s="20">
        <v>73.68</v>
      </c>
      <c r="Q18" s="7"/>
      <c r="R18" s="7">
        <f>1/0.5231</f>
        <v>1.9116803670426303</v>
      </c>
      <c r="S18" s="20">
        <v>73.76</v>
      </c>
      <c r="T18" s="7"/>
      <c r="U18" s="7">
        <f>1/0.5206</f>
        <v>1.920860545524395</v>
      </c>
      <c r="V18" s="20">
        <v>73.66</v>
      </c>
      <c r="W18" s="7"/>
      <c r="X18" s="7">
        <f>1/0.5197</f>
        <v>1.924187030979411</v>
      </c>
      <c r="Y18" s="20">
        <v>73.61</v>
      </c>
      <c r="Z18" s="7"/>
      <c r="AA18" s="7">
        <f>1/0.5205</f>
        <v>1.921229586935639</v>
      </c>
      <c r="AB18" s="20">
        <v>73.74</v>
      </c>
      <c r="AC18" s="7"/>
      <c r="AD18" s="7">
        <f>1/0.5206</f>
        <v>1.920860545524395</v>
      </c>
      <c r="AE18" s="7">
        <v>73.62</v>
      </c>
      <c r="AF18" s="7"/>
      <c r="AG18" s="7">
        <f>1/0.5243</f>
        <v>1.9073049780659928</v>
      </c>
      <c r="AH18" s="20">
        <v>74.17</v>
      </c>
      <c r="AI18" s="7"/>
      <c r="AJ18" s="7">
        <f>1/0.5237</f>
        <v>1.9094901661256443</v>
      </c>
      <c r="AK18" s="20">
        <v>74.22</v>
      </c>
      <c r="AL18" s="7"/>
      <c r="AM18" s="7">
        <f>1/0.523</f>
        <v>1.9120458891013383</v>
      </c>
      <c r="AN18" s="20">
        <v>74.06</v>
      </c>
      <c r="AO18" s="7"/>
      <c r="AP18" s="7">
        <f>1/0.5289</f>
        <v>1.8907165815844205</v>
      </c>
      <c r="AQ18" s="20">
        <v>74.91</v>
      </c>
      <c r="AR18" s="7"/>
      <c r="AS18" s="7">
        <f>1/0.532</f>
        <v>1.8796992481203008</v>
      </c>
      <c r="AT18" s="20">
        <v>75.26</v>
      </c>
      <c r="AU18" s="7"/>
      <c r="AV18" s="7">
        <f>1/0.532</f>
        <v>1.8796992481203008</v>
      </c>
      <c r="AW18" s="20">
        <v>76.03</v>
      </c>
      <c r="AX18" s="7"/>
      <c r="AY18" s="7">
        <f>1/0.5289</f>
        <v>1.8907165815844205</v>
      </c>
      <c r="AZ18" s="20">
        <v>76.09</v>
      </c>
      <c r="BA18" s="7"/>
      <c r="BB18" s="7">
        <f>1/0.5275</f>
        <v>1.8957345971563981</v>
      </c>
      <c r="BC18" s="20">
        <v>76.07</v>
      </c>
      <c r="BD18" s="7"/>
      <c r="BE18" s="7">
        <f>1/0.532</f>
        <v>1.8796992481203008</v>
      </c>
      <c r="BF18" s="20">
        <v>76.48</v>
      </c>
      <c r="BG18" s="7"/>
      <c r="BH18" s="22">
        <f>1/0.5328</f>
        <v>1.8768768768768767</v>
      </c>
      <c r="BI18" s="23">
        <v>76.62</v>
      </c>
      <c r="BJ18" s="7"/>
      <c r="BK18" s="7">
        <f t="shared" si="0"/>
        <v>1.9071859920875123</v>
      </c>
      <c r="BL18" s="7">
        <f t="shared" si="1"/>
        <v>74.44800000000001</v>
      </c>
      <c r="BM18" s="11"/>
      <c r="BN18" s="42"/>
      <c r="BO18" s="42"/>
      <c r="BP18" s="11"/>
      <c r="BQ18" s="11"/>
      <c r="BR18" s="11"/>
      <c r="BS18" s="11"/>
      <c r="BT18" s="11"/>
      <c r="BU18" s="40"/>
    </row>
    <row r="19" spans="1:73" ht="15.75">
      <c r="A19" s="18">
        <v>8</v>
      </c>
      <c r="B19" s="19" t="s">
        <v>28</v>
      </c>
      <c r="C19" s="7">
        <v>1.6008</v>
      </c>
      <c r="D19" s="20">
        <v>87.84</v>
      </c>
      <c r="E19" s="7"/>
      <c r="F19" s="7">
        <v>1.5911</v>
      </c>
      <c r="G19" s="20">
        <v>88.88</v>
      </c>
      <c r="H19" s="7"/>
      <c r="I19" s="7">
        <v>1.5897</v>
      </c>
      <c r="J19" s="20">
        <v>88.92</v>
      </c>
      <c r="K19" s="7"/>
      <c r="L19" s="7">
        <v>1.5866</v>
      </c>
      <c r="M19" s="20">
        <v>89.09</v>
      </c>
      <c r="N19" s="7"/>
      <c r="O19" s="7">
        <v>1.5812</v>
      </c>
      <c r="P19" s="20">
        <v>89.13</v>
      </c>
      <c r="Q19" s="7"/>
      <c r="R19" s="7">
        <v>1.5845</v>
      </c>
      <c r="S19" s="20">
        <v>88.99</v>
      </c>
      <c r="T19" s="7"/>
      <c r="U19" s="7">
        <v>1.5872</v>
      </c>
      <c r="V19" s="20">
        <v>89.15</v>
      </c>
      <c r="W19" s="7"/>
      <c r="X19" s="7">
        <v>1.5836</v>
      </c>
      <c r="Y19" s="20">
        <v>89.44</v>
      </c>
      <c r="Z19" s="7"/>
      <c r="AA19" s="7">
        <v>1.5861</v>
      </c>
      <c r="AB19" s="20">
        <v>89.32</v>
      </c>
      <c r="AC19" s="7"/>
      <c r="AD19" s="7">
        <v>1.5967</v>
      </c>
      <c r="AE19" s="7">
        <v>88.56</v>
      </c>
      <c r="AF19" s="7"/>
      <c r="AG19" s="7">
        <v>1.5915</v>
      </c>
      <c r="AH19" s="20">
        <v>88.89</v>
      </c>
      <c r="AI19" s="7"/>
      <c r="AJ19" s="7">
        <v>1.5858</v>
      </c>
      <c r="AK19" s="20">
        <v>89.37</v>
      </c>
      <c r="AL19" s="7"/>
      <c r="AM19" s="7">
        <v>1.5851</v>
      </c>
      <c r="AN19" s="20">
        <v>89.33</v>
      </c>
      <c r="AO19" s="7"/>
      <c r="AP19" s="7">
        <v>1.581</v>
      </c>
      <c r="AQ19" s="20">
        <v>89.59</v>
      </c>
      <c r="AR19" s="7"/>
      <c r="AS19" s="7">
        <v>1.5789</v>
      </c>
      <c r="AT19" s="20">
        <v>89.6</v>
      </c>
      <c r="AU19" s="7"/>
      <c r="AV19" s="7">
        <v>1.5799</v>
      </c>
      <c r="AW19" s="20">
        <v>90.45</v>
      </c>
      <c r="AX19" s="7"/>
      <c r="AY19" s="7">
        <v>1.5919</v>
      </c>
      <c r="AZ19" s="20">
        <v>90.37</v>
      </c>
      <c r="BA19" s="7"/>
      <c r="BB19" s="7">
        <v>1.5883</v>
      </c>
      <c r="BC19" s="20">
        <v>90.79</v>
      </c>
      <c r="BD19" s="7"/>
      <c r="BE19" s="7">
        <v>1.5925</v>
      </c>
      <c r="BF19" s="20">
        <v>90.27</v>
      </c>
      <c r="BG19" s="7"/>
      <c r="BH19" s="22">
        <v>1.5932</v>
      </c>
      <c r="BI19" s="23">
        <v>90.27</v>
      </c>
      <c r="BJ19" s="7"/>
      <c r="BK19" s="7">
        <f t="shared" si="0"/>
        <v>1.58778</v>
      </c>
      <c r="BL19" s="7">
        <f t="shared" si="1"/>
        <v>89.41249999999998</v>
      </c>
      <c r="BM19" s="11"/>
      <c r="BN19" s="42"/>
      <c r="BO19" s="42"/>
      <c r="BP19" s="11"/>
      <c r="BQ19" s="11"/>
      <c r="BR19" s="11"/>
      <c r="BS19" s="11"/>
      <c r="BT19" s="11"/>
      <c r="BU19" s="40"/>
    </row>
    <row r="20" spans="1:73" ht="15.75">
      <c r="A20" s="18">
        <v>9</v>
      </c>
      <c r="B20" s="19" t="s">
        <v>31</v>
      </c>
      <c r="C20" s="7">
        <v>10.463</v>
      </c>
      <c r="D20" s="20">
        <v>13.44</v>
      </c>
      <c r="E20" s="7"/>
      <c r="F20" s="7">
        <v>10.4876</v>
      </c>
      <c r="G20" s="20">
        <v>13.48</v>
      </c>
      <c r="H20" s="7"/>
      <c r="I20" s="7">
        <v>10.411</v>
      </c>
      <c r="J20" s="20">
        <v>13.58</v>
      </c>
      <c r="K20" s="7"/>
      <c r="L20" s="7">
        <v>10.3545</v>
      </c>
      <c r="M20" s="20">
        <v>13.65</v>
      </c>
      <c r="N20" s="7"/>
      <c r="O20" s="7">
        <v>10.3142</v>
      </c>
      <c r="P20" s="20">
        <v>13.66</v>
      </c>
      <c r="Q20" s="7"/>
      <c r="R20" s="7">
        <v>10.305</v>
      </c>
      <c r="S20" s="20">
        <v>13.68</v>
      </c>
      <c r="T20" s="7"/>
      <c r="U20" s="7">
        <v>10.3555</v>
      </c>
      <c r="V20" s="20">
        <v>13.66</v>
      </c>
      <c r="W20" s="7"/>
      <c r="X20" s="7">
        <v>10.4068</v>
      </c>
      <c r="Y20" s="20">
        <v>13.61</v>
      </c>
      <c r="Z20" s="7"/>
      <c r="AA20" s="7">
        <v>10.4363</v>
      </c>
      <c r="AB20" s="20">
        <v>13.57</v>
      </c>
      <c r="AC20" s="7"/>
      <c r="AD20" s="7">
        <v>10.3751</v>
      </c>
      <c r="AE20" s="7">
        <v>13.63</v>
      </c>
      <c r="AF20" s="7"/>
      <c r="AG20" s="7">
        <v>10.3245</v>
      </c>
      <c r="AH20" s="20">
        <v>13.7</v>
      </c>
      <c r="AI20" s="7"/>
      <c r="AJ20" s="7">
        <v>10.3165</v>
      </c>
      <c r="AK20" s="20">
        <v>13.74</v>
      </c>
      <c r="AL20" s="7"/>
      <c r="AM20" s="7">
        <v>10.2567</v>
      </c>
      <c r="AN20" s="20">
        <v>13.81</v>
      </c>
      <c r="AO20" s="7"/>
      <c r="AP20" s="7">
        <v>10.2607</v>
      </c>
      <c r="AQ20" s="20">
        <v>13.8</v>
      </c>
      <c r="AR20" s="7"/>
      <c r="AS20" s="7">
        <v>10.177</v>
      </c>
      <c r="AT20" s="20">
        <v>13.9</v>
      </c>
      <c r="AU20" s="7"/>
      <c r="AV20" s="7">
        <v>10.268</v>
      </c>
      <c r="AW20" s="20">
        <v>13.92</v>
      </c>
      <c r="AX20" s="7"/>
      <c r="AY20" s="7">
        <v>10.278</v>
      </c>
      <c r="AZ20" s="20">
        <v>14</v>
      </c>
      <c r="BA20" s="7"/>
      <c r="BB20" s="7">
        <v>10.2993</v>
      </c>
      <c r="BC20" s="20">
        <v>14</v>
      </c>
      <c r="BD20" s="7"/>
      <c r="BE20" s="7">
        <v>10.3477</v>
      </c>
      <c r="BF20" s="20">
        <v>13.89</v>
      </c>
      <c r="BG20" s="7"/>
      <c r="BH20" s="22">
        <v>10.3508</v>
      </c>
      <c r="BI20" s="23">
        <v>13.89</v>
      </c>
      <c r="BJ20" s="7"/>
      <c r="BK20" s="7">
        <f t="shared" si="0"/>
        <v>10.339409999999999</v>
      </c>
      <c r="BL20" s="7">
        <f t="shared" si="1"/>
        <v>13.730500000000001</v>
      </c>
      <c r="BM20" s="11"/>
      <c r="BN20" s="42"/>
      <c r="BO20" s="42"/>
      <c r="BP20" s="11"/>
      <c r="BQ20" s="11"/>
      <c r="BR20" s="11"/>
      <c r="BS20" s="11"/>
      <c r="BT20" s="11"/>
      <c r="BU20" s="40"/>
    </row>
    <row r="21" spans="1:73" ht="15.75">
      <c r="A21" s="18">
        <v>10</v>
      </c>
      <c r="B21" s="19" t="s">
        <v>32</v>
      </c>
      <c r="C21" s="7">
        <v>8.8868</v>
      </c>
      <c r="D21" s="20">
        <v>15.82</v>
      </c>
      <c r="E21" s="7"/>
      <c r="F21" s="7">
        <v>8.9005</v>
      </c>
      <c r="G21" s="20">
        <v>15.89</v>
      </c>
      <c r="H21" s="7"/>
      <c r="I21" s="7">
        <v>8.8491</v>
      </c>
      <c r="J21" s="20">
        <v>15.97</v>
      </c>
      <c r="K21" s="7"/>
      <c r="L21" s="7">
        <v>8.8248</v>
      </c>
      <c r="M21" s="20">
        <v>16.02</v>
      </c>
      <c r="N21" s="7"/>
      <c r="O21" s="7">
        <v>8.7967</v>
      </c>
      <c r="P21" s="20">
        <v>16.02</v>
      </c>
      <c r="Q21" s="7"/>
      <c r="R21" s="7">
        <v>8.785</v>
      </c>
      <c r="S21" s="20">
        <v>16.05</v>
      </c>
      <c r="T21" s="7"/>
      <c r="U21" s="7">
        <v>8.82</v>
      </c>
      <c r="V21" s="20">
        <v>16.04</v>
      </c>
      <c r="W21" s="7"/>
      <c r="X21" s="7">
        <v>8.8472</v>
      </c>
      <c r="Y21" s="20">
        <v>16.01</v>
      </c>
      <c r="Z21" s="7"/>
      <c r="AA21" s="7">
        <v>8.842</v>
      </c>
      <c r="AB21" s="20">
        <v>16.02</v>
      </c>
      <c r="AC21" s="7"/>
      <c r="AD21" s="7">
        <v>8.8178</v>
      </c>
      <c r="AE21" s="7">
        <v>16.04</v>
      </c>
      <c r="AF21" s="7"/>
      <c r="AG21" s="7">
        <v>8.7887</v>
      </c>
      <c r="AH21" s="20">
        <v>16.1</v>
      </c>
      <c r="AI21" s="7"/>
      <c r="AJ21" s="7">
        <v>8.8029</v>
      </c>
      <c r="AK21" s="20">
        <v>16.1</v>
      </c>
      <c r="AL21" s="7"/>
      <c r="AM21" s="7">
        <v>8.7627</v>
      </c>
      <c r="AN21" s="20">
        <v>16.16</v>
      </c>
      <c r="AO21" s="7"/>
      <c r="AP21" s="7">
        <v>8.7722</v>
      </c>
      <c r="AQ21" s="20">
        <v>16.15</v>
      </c>
      <c r="AR21" s="7"/>
      <c r="AS21" s="7">
        <v>8.7089</v>
      </c>
      <c r="AT21" s="20">
        <v>16.24</v>
      </c>
      <c r="AU21" s="7"/>
      <c r="AV21" s="7">
        <v>8.77</v>
      </c>
      <c r="AW21" s="20">
        <v>16.29</v>
      </c>
      <c r="AX21" s="7"/>
      <c r="AY21" s="7">
        <v>8.8057</v>
      </c>
      <c r="AZ21" s="20">
        <v>16.34</v>
      </c>
      <c r="BA21" s="7"/>
      <c r="BB21" s="7">
        <v>8.8139</v>
      </c>
      <c r="BC21" s="20">
        <v>16.36</v>
      </c>
      <c r="BD21" s="7"/>
      <c r="BE21" s="7">
        <v>8.8295</v>
      </c>
      <c r="BF21" s="20">
        <v>16.28</v>
      </c>
      <c r="BG21" s="7"/>
      <c r="BH21" s="22">
        <v>8.8371</v>
      </c>
      <c r="BI21" s="23">
        <v>16.27</v>
      </c>
      <c r="BJ21" s="7"/>
      <c r="BK21" s="7">
        <f t="shared" si="0"/>
        <v>8.813075000000001</v>
      </c>
      <c r="BL21" s="7">
        <f t="shared" si="1"/>
        <v>16.1085</v>
      </c>
      <c r="BM21" s="11"/>
      <c r="BN21" s="42"/>
      <c r="BO21" s="42"/>
      <c r="BP21" s="11"/>
      <c r="BQ21" s="11"/>
      <c r="BR21" s="11"/>
      <c r="BS21" s="11"/>
      <c r="BT21" s="11"/>
      <c r="BU21" s="40"/>
    </row>
    <row r="22" spans="1:73" ht="15.75">
      <c r="A22" s="18">
        <v>11</v>
      </c>
      <c r="B22" s="19" t="s">
        <v>33</v>
      </c>
      <c r="C22" s="7">
        <v>8.5631</v>
      </c>
      <c r="D22" s="20">
        <v>16.42</v>
      </c>
      <c r="E22" s="7"/>
      <c r="F22" s="7">
        <v>8.5945</v>
      </c>
      <c r="G22" s="20">
        <v>16.45</v>
      </c>
      <c r="H22" s="7"/>
      <c r="I22" s="7">
        <v>8.5535</v>
      </c>
      <c r="J22" s="20">
        <v>16.53</v>
      </c>
      <c r="K22" s="7"/>
      <c r="L22" s="7">
        <v>8.525</v>
      </c>
      <c r="M22" s="20">
        <v>16.58</v>
      </c>
      <c r="N22" s="7"/>
      <c r="O22" s="7">
        <v>8.46</v>
      </c>
      <c r="P22" s="20">
        <v>16.66</v>
      </c>
      <c r="Q22" s="7"/>
      <c r="R22" s="7">
        <v>8.4485</v>
      </c>
      <c r="S22" s="20">
        <v>16.69</v>
      </c>
      <c r="T22" s="7"/>
      <c r="U22" s="7">
        <v>8.495</v>
      </c>
      <c r="V22" s="20">
        <v>16.66</v>
      </c>
      <c r="W22" s="7"/>
      <c r="X22" s="7">
        <v>8.5187</v>
      </c>
      <c r="Y22" s="20">
        <v>16.63</v>
      </c>
      <c r="Z22" s="7"/>
      <c r="AA22" s="7">
        <v>8.4966</v>
      </c>
      <c r="AB22" s="20">
        <v>16.67</v>
      </c>
      <c r="AC22" s="7"/>
      <c r="AD22" s="7">
        <v>8.4373</v>
      </c>
      <c r="AE22" s="7">
        <v>16.76</v>
      </c>
      <c r="AF22" s="7"/>
      <c r="AG22" s="7">
        <v>8.4128</v>
      </c>
      <c r="AH22" s="20">
        <v>16.82</v>
      </c>
      <c r="AI22" s="7"/>
      <c r="AJ22" s="7">
        <v>8.4365</v>
      </c>
      <c r="AK22" s="20">
        <v>16.8</v>
      </c>
      <c r="AL22" s="7"/>
      <c r="AM22" s="7">
        <v>8.4207</v>
      </c>
      <c r="AN22" s="20">
        <v>16.82</v>
      </c>
      <c r="AO22" s="7"/>
      <c r="AP22" s="7">
        <v>8.447</v>
      </c>
      <c r="AQ22" s="20">
        <v>16.77</v>
      </c>
      <c r="AR22" s="7"/>
      <c r="AS22" s="7">
        <v>8.4063</v>
      </c>
      <c r="AT22" s="20">
        <v>16.83</v>
      </c>
      <c r="AU22" s="7"/>
      <c r="AV22" s="7">
        <v>8.4635</v>
      </c>
      <c r="AW22" s="20">
        <v>16.89</v>
      </c>
      <c r="AX22" s="7"/>
      <c r="AY22" s="7">
        <v>8.4886</v>
      </c>
      <c r="AZ22" s="20">
        <v>16.95</v>
      </c>
      <c r="BA22" s="7"/>
      <c r="BB22" s="7">
        <v>8.492</v>
      </c>
      <c r="BC22" s="20">
        <v>16.98</v>
      </c>
      <c r="BD22" s="7"/>
      <c r="BE22" s="7">
        <v>8.5235</v>
      </c>
      <c r="BF22" s="20">
        <v>16.87</v>
      </c>
      <c r="BG22" s="7"/>
      <c r="BH22" s="22">
        <v>8.523</v>
      </c>
      <c r="BI22" s="23">
        <v>16.87</v>
      </c>
      <c r="BJ22" s="7"/>
      <c r="BK22" s="7">
        <f t="shared" si="0"/>
        <v>8.485305</v>
      </c>
      <c r="BL22" s="7">
        <f t="shared" si="1"/>
        <v>16.7325</v>
      </c>
      <c r="BM22" s="11"/>
      <c r="BN22" s="42"/>
      <c r="BO22" s="42"/>
      <c r="BP22" s="11"/>
      <c r="BQ22" s="11"/>
      <c r="BR22" s="11"/>
      <c r="BS22" s="11"/>
      <c r="BT22" s="11"/>
      <c r="BU22" s="40"/>
    </row>
    <row r="23" spans="1:73" ht="15.75">
      <c r="A23" s="18">
        <v>12</v>
      </c>
      <c r="B23" s="19" t="s">
        <v>36</v>
      </c>
      <c r="C23" s="7">
        <f>1/1.24163</f>
        <v>0.8053929109315979</v>
      </c>
      <c r="D23" s="20">
        <v>174.58</v>
      </c>
      <c r="E23" s="7"/>
      <c r="F23" s="7">
        <f>1/1.24384</f>
        <v>0.8039619243632621</v>
      </c>
      <c r="G23" s="20">
        <v>175.89</v>
      </c>
      <c r="H23" s="7"/>
      <c r="I23" s="7">
        <f>1/1.24317</f>
        <v>0.8043952154572583</v>
      </c>
      <c r="J23" s="20">
        <v>175.72</v>
      </c>
      <c r="K23" s="7"/>
      <c r="L23" s="7">
        <f>1/1.24539</f>
        <v>0.8029613213531505</v>
      </c>
      <c r="M23" s="20">
        <v>176.03</v>
      </c>
      <c r="N23" s="7"/>
      <c r="O23" s="7">
        <f>1/1.24684</f>
        <v>0.802027525584678</v>
      </c>
      <c r="P23" s="20">
        <v>175.71</v>
      </c>
      <c r="Q23" s="7"/>
      <c r="R23" s="7">
        <f>1/1.25331</f>
        <v>0.7978871947084122</v>
      </c>
      <c r="S23" s="20">
        <v>176.73</v>
      </c>
      <c r="T23" s="7"/>
      <c r="U23" s="7">
        <f>1/1.25534</f>
        <v>0.7965969378813709</v>
      </c>
      <c r="V23" s="20">
        <v>177.63</v>
      </c>
      <c r="W23" s="7"/>
      <c r="X23" s="7">
        <f>1/1.25208</f>
        <v>0.7986710114369688</v>
      </c>
      <c r="Y23" s="20">
        <v>177.34</v>
      </c>
      <c r="Z23" s="7"/>
      <c r="AA23" s="7">
        <f>1/1.25126</f>
        <v>0.799194412032671</v>
      </c>
      <c r="AB23" s="20">
        <v>177.26</v>
      </c>
      <c r="AC23" s="7"/>
      <c r="AD23" s="7">
        <f>1/1.25094</f>
        <v>0.7993988520632485</v>
      </c>
      <c r="AE23" s="7">
        <v>176.89</v>
      </c>
      <c r="AF23" s="7"/>
      <c r="AG23" s="7">
        <f>1/1.2552</f>
        <v>0.7966857871255576</v>
      </c>
      <c r="AH23" s="20">
        <v>177.57</v>
      </c>
      <c r="AI23" s="7"/>
      <c r="AJ23" s="7">
        <f>1/1.25616</f>
        <v>0.7960769328747931</v>
      </c>
      <c r="AK23" s="20">
        <v>178.03</v>
      </c>
      <c r="AL23" s="7"/>
      <c r="AM23" s="7">
        <f>1/1.25153</f>
        <v>0.7990219970755794</v>
      </c>
      <c r="AN23" s="20">
        <v>177.21</v>
      </c>
      <c r="AO23" s="7"/>
      <c r="AP23" s="7">
        <f>1/1.25388</f>
        <v>0.7975244840016588</v>
      </c>
      <c r="AQ23" s="20">
        <v>177.6</v>
      </c>
      <c r="AR23" s="7"/>
      <c r="AS23" s="7">
        <f>1/1.25084</f>
        <v>0.7994627610245915</v>
      </c>
      <c r="AT23" s="20">
        <v>176.95</v>
      </c>
      <c r="AU23" s="7"/>
      <c r="AV23" s="7">
        <f>1/1.25069</f>
        <v>0.7995586436287169</v>
      </c>
      <c r="AW23" s="20">
        <v>178.73</v>
      </c>
      <c r="AX23" s="7"/>
      <c r="AY23" s="7">
        <f>1/1.24822</f>
        <v>0.8011408245341365</v>
      </c>
      <c r="AZ23" s="20">
        <v>179.57</v>
      </c>
      <c r="BA23" s="7"/>
      <c r="BB23" s="7">
        <f>1/1.2469</f>
        <v>0.8019889325527308</v>
      </c>
      <c r="BC23" s="20">
        <v>179.8</v>
      </c>
      <c r="BD23" s="7"/>
      <c r="BE23" s="7">
        <f>1/1.24862</f>
        <v>0.8008841761304479</v>
      </c>
      <c r="BF23" s="20">
        <v>179.49</v>
      </c>
      <c r="BG23" s="7"/>
      <c r="BH23" s="22">
        <f>1/1.24682</f>
        <v>0.8020403907540784</v>
      </c>
      <c r="BI23" s="23">
        <v>179.31</v>
      </c>
      <c r="BJ23" s="7"/>
      <c r="BK23" s="7">
        <f t="shared" si="0"/>
        <v>0.8002436117757457</v>
      </c>
      <c r="BL23" s="7">
        <f t="shared" si="1"/>
        <v>177.402</v>
      </c>
      <c r="BM23" s="11"/>
      <c r="BN23" s="42"/>
      <c r="BO23" s="42"/>
      <c r="BP23" s="11"/>
      <c r="BQ23" s="11"/>
      <c r="BR23" s="11"/>
      <c r="BS23" s="11"/>
      <c r="BT23" s="11"/>
      <c r="BU23" s="40"/>
    </row>
    <row r="24" spans="1:73" ht="16.5" thickBot="1">
      <c r="A24" s="26">
        <v>13</v>
      </c>
      <c r="B24" s="27" t="s">
        <v>38</v>
      </c>
      <c r="C24" s="28">
        <v>1</v>
      </c>
      <c r="D24" s="29">
        <v>140.61</v>
      </c>
      <c r="E24" s="28"/>
      <c r="F24" s="28">
        <v>1</v>
      </c>
      <c r="G24" s="29">
        <v>141.41</v>
      </c>
      <c r="H24" s="28"/>
      <c r="I24" s="28">
        <v>1</v>
      </c>
      <c r="J24" s="29">
        <v>141.35</v>
      </c>
      <c r="K24" s="28"/>
      <c r="L24" s="28">
        <v>1</v>
      </c>
      <c r="M24" s="29">
        <v>141.35</v>
      </c>
      <c r="N24" s="28"/>
      <c r="O24" s="28">
        <v>1</v>
      </c>
      <c r="P24" s="29">
        <v>140.93</v>
      </c>
      <c r="Q24" s="28"/>
      <c r="R24" s="28">
        <v>1</v>
      </c>
      <c r="S24" s="29">
        <v>141.01</v>
      </c>
      <c r="T24" s="28"/>
      <c r="U24" s="28">
        <v>1</v>
      </c>
      <c r="V24" s="29">
        <v>141.5</v>
      </c>
      <c r="W24" s="28"/>
      <c r="X24" s="28">
        <v>1</v>
      </c>
      <c r="Y24" s="29">
        <v>141.64</v>
      </c>
      <c r="Z24" s="28"/>
      <c r="AA24" s="28">
        <v>1</v>
      </c>
      <c r="AB24" s="29">
        <v>141.67</v>
      </c>
      <c r="AC24" s="28"/>
      <c r="AD24" s="28">
        <v>1</v>
      </c>
      <c r="AE24" s="28">
        <v>141.41</v>
      </c>
      <c r="AF24" s="28"/>
      <c r="AG24" s="28">
        <v>1</v>
      </c>
      <c r="AH24" s="29">
        <v>141.47</v>
      </c>
      <c r="AI24" s="28"/>
      <c r="AJ24" s="28">
        <v>1</v>
      </c>
      <c r="AK24" s="29">
        <v>141.72</v>
      </c>
      <c r="AL24" s="28"/>
      <c r="AM24" s="28">
        <v>1</v>
      </c>
      <c r="AN24" s="29">
        <v>141.6</v>
      </c>
      <c r="AO24" s="28"/>
      <c r="AP24" s="28">
        <v>1</v>
      </c>
      <c r="AQ24" s="29">
        <v>141.64</v>
      </c>
      <c r="AR24" s="28"/>
      <c r="AS24" s="28">
        <v>1</v>
      </c>
      <c r="AT24" s="29">
        <v>141.46</v>
      </c>
      <c r="AU24" s="28"/>
      <c r="AV24" s="28">
        <v>1</v>
      </c>
      <c r="AW24" s="29">
        <v>142.91</v>
      </c>
      <c r="AX24" s="28"/>
      <c r="AY24" s="28">
        <v>1</v>
      </c>
      <c r="AZ24" s="29">
        <v>143.86</v>
      </c>
      <c r="BA24" s="28"/>
      <c r="BB24" s="28">
        <v>1</v>
      </c>
      <c r="BC24" s="29">
        <v>144.2</v>
      </c>
      <c r="BD24" s="28"/>
      <c r="BE24" s="28">
        <v>1</v>
      </c>
      <c r="BF24" s="29">
        <v>143.75</v>
      </c>
      <c r="BG24" s="28"/>
      <c r="BH24" s="32">
        <v>1</v>
      </c>
      <c r="BI24" s="33">
        <v>143.81</v>
      </c>
      <c r="BJ24" s="28"/>
      <c r="BK24" s="31">
        <f t="shared" si="0"/>
        <v>1</v>
      </c>
      <c r="BL24" s="31">
        <f t="shared" si="1"/>
        <v>141.965</v>
      </c>
      <c r="BM24" s="11"/>
      <c r="BN24" s="42"/>
      <c r="BO24" s="42"/>
      <c r="BP24" s="11"/>
      <c r="BQ24" s="11"/>
      <c r="BR24" s="11"/>
      <c r="BS24" s="11"/>
      <c r="BT24" s="11"/>
      <c r="BU24" s="40"/>
    </row>
    <row r="25" spans="1:73" ht="15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7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H25" s="11"/>
      <c r="BI25" s="11"/>
      <c r="BJ25" s="11"/>
      <c r="BK25" s="35"/>
      <c r="BL25" s="35"/>
      <c r="BM25" s="11"/>
      <c r="BN25" s="11"/>
      <c r="BO25" s="11"/>
      <c r="BP25" s="11"/>
      <c r="BQ25" s="43"/>
      <c r="BR25" s="43"/>
      <c r="BS25" s="43"/>
      <c r="BT25" s="40"/>
      <c r="BU25" s="40"/>
    </row>
    <row r="26" ht="15.75">
      <c r="B26" s="36"/>
    </row>
    <row r="27" ht="15.75">
      <c r="B27" s="36"/>
    </row>
    <row r="28" ht="15.75">
      <c r="B28" s="36"/>
    </row>
    <row r="29" ht="15.75">
      <c r="B29" s="36"/>
    </row>
    <row r="30" ht="15.75">
      <c r="B30" s="36"/>
    </row>
    <row r="31" ht="15.75">
      <c r="B31" s="36"/>
    </row>
    <row r="32" ht="15.75">
      <c r="B32" s="36"/>
    </row>
  </sheetData>
  <sheetProtection/>
  <printOptions/>
  <pageMargins left="0.75" right="0.75" top="1" bottom="1" header="0.5" footer="0.5"/>
  <pageSetup fitToHeight="1" fitToWidth="1" horizontalDpi="300" verticalDpi="300" orientation="landscape" paperSize="9" r:id="rId1"/>
  <headerFooter alignWithMargins="0">
    <oddHeader>&amp;L&amp;"Times New Roman,Bold"&amp;12Sektori i Informacionit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2"/>
  <sheetViews>
    <sheetView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9" sqref="C9"/>
    </sheetView>
  </sheetViews>
  <sheetFormatPr defaultColWidth="9.140625" defaultRowHeight="12.75"/>
  <cols>
    <col min="1" max="1" width="4.28125" style="10" customWidth="1"/>
    <col min="2" max="2" width="34.00390625" style="10" bestFit="1" customWidth="1"/>
    <col min="3" max="3" width="10.421875" style="10" customWidth="1"/>
    <col min="4" max="4" width="10.7109375" style="10" customWidth="1"/>
    <col min="5" max="5" width="9.140625" style="10" customWidth="1"/>
    <col min="6" max="6" width="10.421875" style="10" customWidth="1"/>
    <col min="7" max="7" width="10.8515625" style="10" customWidth="1"/>
    <col min="8" max="8" width="9.140625" style="10" customWidth="1"/>
    <col min="9" max="9" width="10.421875" style="10" customWidth="1"/>
    <col min="10" max="10" width="11.00390625" style="10" customWidth="1"/>
    <col min="11" max="11" width="9.140625" style="10" customWidth="1"/>
    <col min="12" max="12" width="10.421875" style="10" customWidth="1"/>
    <col min="13" max="13" width="10.8515625" style="10" customWidth="1"/>
    <col min="14" max="14" width="9.140625" style="10" customWidth="1"/>
    <col min="15" max="15" width="10.421875" style="10" customWidth="1"/>
    <col min="16" max="16" width="10.8515625" style="10" customWidth="1"/>
    <col min="17" max="17" width="9.140625" style="10" customWidth="1"/>
    <col min="18" max="18" width="10.421875" style="10" customWidth="1"/>
    <col min="19" max="19" width="11.140625" style="10" customWidth="1"/>
    <col min="20" max="20" width="9.140625" style="10" customWidth="1"/>
    <col min="21" max="22" width="10.421875" style="10" customWidth="1"/>
    <col min="23" max="23" width="9.140625" style="10" customWidth="1"/>
    <col min="24" max="24" width="10.421875" style="10" customWidth="1"/>
    <col min="25" max="25" width="10.57421875" style="10" customWidth="1"/>
    <col min="26" max="26" width="9.140625" style="10" customWidth="1"/>
    <col min="27" max="27" width="10.421875" style="10" customWidth="1"/>
    <col min="28" max="28" width="10.28125" style="10" customWidth="1"/>
    <col min="29" max="29" width="9.140625" style="10" customWidth="1"/>
    <col min="30" max="30" width="10.421875" style="10" customWidth="1"/>
    <col min="31" max="31" width="11.28125" style="10" customWidth="1"/>
    <col min="32" max="32" width="9.140625" style="10" customWidth="1"/>
    <col min="33" max="33" width="10.421875" style="10" customWidth="1"/>
    <col min="34" max="34" width="10.140625" style="10" customWidth="1"/>
    <col min="35" max="35" width="9.140625" style="10" customWidth="1"/>
    <col min="36" max="36" width="10.421875" style="10" customWidth="1"/>
    <col min="37" max="37" width="10.7109375" style="10" customWidth="1"/>
    <col min="38" max="38" width="9.140625" style="10" customWidth="1"/>
    <col min="39" max="39" width="10.421875" style="10" customWidth="1"/>
    <col min="40" max="40" width="10.28125" style="10" customWidth="1"/>
    <col min="41" max="41" width="9.140625" style="10" customWidth="1"/>
    <col min="42" max="42" width="10.421875" style="10" customWidth="1"/>
    <col min="43" max="43" width="10.7109375" style="10" customWidth="1"/>
    <col min="44" max="44" width="9.140625" style="10" customWidth="1"/>
    <col min="45" max="45" width="10.421875" style="10" customWidth="1"/>
    <col min="46" max="46" width="10.140625" style="10" customWidth="1"/>
    <col min="47" max="47" width="9.140625" style="10" customWidth="1"/>
    <col min="48" max="48" width="10.421875" style="10" customWidth="1"/>
    <col min="49" max="49" width="10.140625" style="10" customWidth="1"/>
    <col min="50" max="50" width="9.140625" style="10" customWidth="1"/>
    <col min="51" max="51" width="10.421875" style="10" customWidth="1"/>
    <col min="52" max="52" width="10.28125" style="10" customWidth="1"/>
    <col min="53" max="53" width="9.140625" style="10" customWidth="1"/>
    <col min="54" max="54" width="10.421875" style="10" customWidth="1"/>
    <col min="55" max="55" width="10.140625" style="10" customWidth="1"/>
    <col min="56" max="56" width="9.140625" style="10" customWidth="1"/>
    <col min="57" max="57" width="10.421875" style="10" customWidth="1"/>
    <col min="58" max="58" width="10.28125" style="10" customWidth="1"/>
    <col min="59" max="59" width="9.140625" style="10" customWidth="1"/>
    <col min="60" max="60" width="9.8515625" style="10" customWidth="1"/>
    <col min="61" max="61" width="10.421875" style="10" customWidth="1"/>
    <col min="62" max="62" width="9.140625" style="10" customWidth="1"/>
    <col min="63" max="63" width="11.57421875" style="10" customWidth="1"/>
    <col min="64" max="64" width="11.8515625" style="10" customWidth="1"/>
    <col min="65" max="65" width="9.140625" style="10" customWidth="1"/>
    <col min="66" max="66" width="10.421875" style="10" bestFit="1" customWidth="1"/>
    <col min="67" max="67" width="13.00390625" style="10" customWidth="1"/>
    <col min="68" max="16384" width="9.140625" style="10" customWidth="1"/>
  </cols>
  <sheetData>
    <row r="1" spans="1:66" ht="15.75">
      <c r="A1" s="6"/>
      <c r="B1" s="4" t="s">
        <v>84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8" t="s">
        <v>1</v>
      </c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9"/>
      <c r="BI1" s="9"/>
      <c r="BJ1" s="9"/>
      <c r="BK1" s="9"/>
      <c r="BL1" s="9"/>
      <c r="BM1" s="9"/>
      <c r="BN1" s="9"/>
    </row>
    <row r="2" spans="1:66" ht="15.75">
      <c r="A2" s="7"/>
      <c r="B2" s="5" t="s">
        <v>105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11"/>
      <c r="BI2" s="11"/>
      <c r="BJ2" s="11"/>
      <c r="BK2" s="11"/>
      <c r="BL2" s="11"/>
      <c r="BM2" s="11"/>
      <c r="BN2" s="11"/>
    </row>
    <row r="3" spans="1:72" ht="15.75">
      <c r="A3" s="8" t="s">
        <v>2</v>
      </c>
      <c r="B3" s="7"/>
      <c r="C3" s="6" t="s">
        <v>106</v>
      </c>
      <c r="D3" s="12"/>
      <c r="E3" s="12"/>
      <c r="F3" s="6" t="s">
        <v>107</v>
      </c>
      <c r="G3" s="12"/>
      <c r="H3" s="12"/>
      <c r="I3" s="6" t="s">
        <v>86</v>
      </c>
      <c r="J3" s="12"/>
      <c r="K3" s="12"/>
      <c r="L3" s="6" t="s">
        <v>108</v>
      </c>
      <c r="M3" s="12"/>
      <c r="N3" s="12"/>
      <c r="O3" s="6" t="s">
        <v>109</v>
      </c>
      <c r="P3" s="12"/>
      <c r="Q3" s="12"/>
      <c r="R3" s="6" t="s">
        <v>110</v>
      </c>
      <c r="S3" s="12"/>
      <c r="T3" s="12"/>
      <c r="U3" s="6" t="s">
        <v>111</v>
      </c>
      <c r="V3" s="12"/>
      <c r="W3" s="12"/>
      <c r="X3" s="6" t="s">
        <v>112</v>
      </c>
      <c r="Y3" s="12"/>
      <c r="Z3" s="12"/>
      <c r="AA3" s="6" t="s">
        <v>113</v>
      </c>
      <c r="AB3" s="12"/>
      <c r="AC3" s="12"/>
      <c r="AD3" s="6" t="s">
        <v>114</v>
      </c>
      <c r="AE3" s="12"/>
      <c r="AF3" s="12"/>
      <c r="AG3" s="6" t="s">
        <v>115</v>
      </c>
      <c r="AH3" s="12"/>
      <c r="AI3" s="12"/>
      <c r="AJ3" s="6" t="s">
        <v>116</v>
      </c>
      <c r="AK3" s="12"/>
      <c r="AL3" s="12"/>
      <c r="AM3" s="6" t="s">
        <v>117</v>
      </c>
      <c r="AN3" s="12"/>
      <c r="AO3" s="12"/>
      <c r="AP3" s="6" t="s">
        <v>118</v>
      </c>
      <c r="AQ3" s="12"/>
      <c r="AR3" s="12"/>
      <c r="AS3" s="6" t="s">
        <v>119</v>
      </c>
      <c r="AT3" s="12"/>
      <c r="AU3" s="12"/>
      <c r="AV3" s="6" t="s">
        <v>120</v>
      </c>
      <c r="AW3" s="12"/>
      <c r="AX3" s="12"/>
      <c r="AY3" s="6" t="s">
        <v>121</v>
      </c>
      <c r="AZ3" s="12"/>
      <c r="BA3" s="12"/>
      <c r="BB3" s="6" t="s">
        <v>122</v>
      </c>
      <c r="BC3" s="12"/>
      <c r="BD3" s="12"/>
      <c r="BE3" s="6" t="s">
        <v>123</v>
      </c>
      <c r="BF3" s="12"/>
      <c r="BG3" s="12"/>
      <c r="BH3" s="6" t="s">
        <v>124</v>
      </c>
      <c r="BI3" s="12"/>
      <c r="BJ3" s="12"/>
      <c r="BK3" s="6" t="s">
        <v>125</v>
      </c>
      <c r="BL3" s="12"/>
      <c r="BM3" s="12"/>
      <c r="BN3" s="6" t="s">
        <v>40</v>
      </c>
      <c r="BO3" s="39"/>
      <c r="BP3" s="39"/>
      <c r="BQ3" s="38"/>
      <c r="BR3" s="37"/>
      <c r="BS3" s="39"/>
      <c r="BT3" s="40"/>
    </row>
    <row r="4" spans="1:72" ht="16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39"/>
      <c r="BQ4" s="39"/>
      <c r="BR4" s="39"/>
      <c r="BS4" s="39"/>
      <c r="BT4" s="40"/>
    </row>
    <row r="5" spans="1:72" ht="16.5" thickTop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1"/>
      <c r="BQ5" s="11"/>
      <c r="BR5" s="11"/>
      <c r="BS5" s="11"/>
      <c r="BT5" s="40"/>
    </row>
    <row r="6" spans="1:72" ht="15.75">
      <c r="A6" s="12"/>
      <c r="B6" s="7"/>
      <c r="C6" s="14" t="s">
        <v>4</v>
      </c>
      <c r="D6" s="14" t="s">
        <v>4</v>
      </c>
      <c r="E6" s="14"/>
      <c r="F6" s="14" t="s">
        <v>4</v>
      </c>
      <c r="G6" s="14" t="s">
        <v>4</v>
      </c>
      <c r="H6" s="14"/>
      <c r="I6" s="14" t="s">
        <v>4</v>
      </c>
      <c r="J6" s="14" t="s">
        <v>4</v>
      </c>
      <c r="K6" s="14"/>
      <c r="L6" s="14" t="s">
        <v>4</v>
      </c>
      <c r="M6" s="14" t="s">
        <v>4</v>
      </c>
      <c r="N6" s="14"/>
      <c r="O6" s="14" t="s">
        <v>4</v>
      </c>
      <c r="P6" s="14" t="s">
        <v>4</v>
      </c>
      <c r="Q6" s="14"/>
      <c r="R6" s="14" t="s">
        <v>4</v>
      </c>
      <c r="S6" s="14" t="s">
        <v>4</v>
      </c>
      <c r="T6" s="14"/>
      <c r="U6" s="14" t="s">
        <v>4</v>
      </c>
      <c r="V6" s="14" t="s">
        <v>4</v>
      </c>
      <c r="W6" s="14"/>
      <c r="X6" s="14" t="s">
        <v>4</v>
      </c>
      <c r="Y6" s="14" t="s">
        <v>4</v>
      </c>
      <c r="Z6" s="14"/>
      <c r="AA6" s="14" t="s">
        <v>4</v>
      </c>
      <c r="AB6" s="14" t="s">
        <v>4</v>
      </c>
      <c r="AC6" s="14"/>
      <c r="AD6" s="14" t="s">
        <v>4</v>
      </c>
      <c r="AE6" s="14" t="s">
        <v>4</v>
      </c>
      <c r="AF6" s="14"/>
      <c r="AG6" s="14" t="s">
        <v>4</v>
      </c>
      <c r="AH6" s="14" t="s">
        <v>4</v>
      </c>
      <c r="AI6" s="14"/>
      <c r="AJ6" s="14" t="s">
        <v>4</v>
      </c>
      <c r="AK6" s="14" t="s">
        <v>4</v>
      </c>
      <c r="AL6" s="14"/>
      <c r="AM6" s="14" t="s">
        <v>4</v>
      </c>
      <c r="AN6" s="14" t="s">
        <v>4</v>
      </c>
      <c r="AO6" s="14"/>
      <c r="AP6" s="14" t="s">
        <v>4</v>
      </c>
      <c r="AQ6" s="14" t="s">
        <v>4</v>
      </c>
      <c r="AR6" s="14"/>
      <c r="AS6" s="14" t="s">
        <v>4</v>
      </c>
      <c r="AT6" s="14" t="s">
        <v>4</v>
      </c>
      <c r="AU6" s="14"/>
      <c r="AV6" s="14" t="s">
        <v>4</v>
      </c>
      <c r="AW6" s="14" t="s">
        <v>4</v>
      </c>
      <c r="AX6" s="14"/>
      <c r="AY6" s="14" t="s">
        <v>4</v>
      </c>
      <c r="AZ6" s="14" t="s">
        <v>4</v>
      </c>
      <c r="BA6" s="14"/>
      <c r="BB6" s="14" t="s">
        <v>4</v>
      </c>
      <c r="BC6" s="14" t="s">
        <v>4</v>
      </c>
      <c r="BD6" s="14"/>
      <c r="BE6" s="14" t="s">
        <v>4</v>
      </c>
      <c r="BF6" s="14" t="s">
        <v>4</v>
      </c>
      <c r="BG6" s="14"/>
      <c r="BH6" s="14" t="s">
        <v>4</v>
      </c>
      <c r="BI6" s="14" t="s">
        <v>4</v>
      </c>
      <c r="BJ6" s="14"/>
      <c r="BK6" s="14" t="s">
        <v>4</v>
      </c>
      <c r="BL6" s="14" t="s">
        <v>4</v>
      </c>
      <c r="BM6" s="14"/>
      <c r="BN6" s="14" t="s">
        <v>4</v>
      </c>
      <c r="BO6" s="14" t="s">
        <v>4</v>
      </c>
      <c r="BP6" s="41"/>
      <c r="BQ6" s="41"/>
      <c r="BR6" s="41"/>
      <c r="BS6" s="41"/>
      <c r="BT6" s="40"/>
    </row>
    <row r="7" spans="1:72" ht="15.75">
      <c r="A7" s="7"/>
      <c r="B7" s="15" t="s">
        <v>6</v>
      </c>
      <c r="C7" s="14" t="s">
        <v>7</v>
      </c>
      <c r="D7" s="14" t="s">
        <v>7</v>
      </c>
      <c r="E7" s="14"/>
      <c r="F7" s="14" t="s">
        <v>7</v>
      </c>
      <c r="G7" s="14" t="s">
        <v>7</v>
      </c>
      <c r="H7" s="14"/>
      <c r="I7" s="14" t="s">
        <v>7</v>
      </c>
      <c r="J7" s="14" t="s">
        <v>7</v>
      </c>
      <c r="K7" s="14"/>
      <c r="L7" s="14" t="s">
        <v>7</v>
      </c>
      <c r="M7" s="14" t="s">
        <v>7</v>
      </c>
      <c r="N7" s="14"/>
      <c r="O7" s="14" t="s">
        <v>7</v>
      </c>
      <c r="P7" s="14" t="s">
        <v>7</v>
      </c>
      <c r="Q7" s="14"/>
      <c r="R7" s="14" t="s">
        <v>7</v>
      </c>
      <c r="S7" s="14" t="s">
        <v>7</v>
      </c>
      <c r="T7" s="14"/>
      <c r="U7" s="14" t="s">
        <v>7</v>
      </c>
      <c r="V7" s="14" t="s">
        <v>7</v>
      </c>
      <c r="W7" s="14"/>
      <c r="X7" s="14" t="s">
        <v>7</v>
      </c>
      <c r="Y7" s="14" t="s">
        <v>7</v>
      </c>
      <c r="Z7" s="14"/>
      <c r="AA7" s="14" t="s">
        <v>7</v>
      </c>
      <c r="AB7" s="14" t="s">
        <v>7</v>
      </c>
      <c r="AC7" s="14"/>
      <c r="AD7" s="14" t="s">
        <v>7</v>
      </c>
      <c r="AE7" s="14" t="s">
        <v>7</v>
      </c>
      <c r="AF7" s="14"/>
      <c r="AG7" s="14" t="s">
        <v>7</v>
      </c>
      <c r="AH7" s="14" t="s">
        <v>7</v>
      </c>
      <c r="AI7" s="14"/>
      <c r="AJ7" s="14" t="s">
        <v>7</v>
      </c>
      <c r="AK7" s="14" t="s">
        <v>7</v>
      </c>
      <c r="AL7" s="14"/>
      <c r="AM7" s="14" t="s">
        <v>7</v>
      </c>
      <c r="AN7" s="14" t="s">
        <v>7</v>
      </c>
      <c r="AO7" s="14"/>
      <c r="AP7" s="14" t="s">
        <v>7</v>
      </c>
      <c r="AQ7" s="14" t="s">
        <v>7</v>
      </c>
      <c r="AR7" s="14"/>
      <c r="AS7" s="14" t="s">
        <v>7</v>
      </c>
      <c r="AT7" s="14" t="s">
        <v>7</v>
      </c>
      <c r="AU7" s="14"/>
      <c r="AV7" s="14" t="s">
        <v>7</v>
      </c>
      <c r="AW7" s="14" t="s">
        <v>7</v>
      </c>
      <c r="AX7" s="14"/>
      <c r="AY7" s="14" t="s">
        <v>7</v>
      </c>
      <c r="AZ7" s="14" t="s">
        <v>7</v>
      </c>
      <c r="BA7" s="14"/>
      <c r="BB7" s="14" t="s">
        <v>7</v>
      </c>
      <c r="BC7" s="14" t="s">
        <v>7</v>
      </c>
      <c r="BD7" s="14"/>
      <c r="BE7" s="14" t="s">
        <v>7</v>
      </c>
      <c r="BF7" s="14" t="s">
        <v>7</v>
      </c>
      <c r="BG7" s="14"/>
      <c r="BH7" s="14" t="s">
        <v>7</v>
      </c>
      <c r="BI7" s="14" t="s">
        <v>7</v>
      </c>
      <c r="BJ7" s="14"/>
      <c r="BK7" s="14" t="s">
        <v>7</v>
      </c>
      <c r="BL7" s="14" t="s">
        <v>7</v>
      </c>
      <c r="BM7" s="14"/>
      <c r="BN7" s="14" t="s">
        <v>7</v>
      </c>
      <c r="BO7" s="14" t="s">
        <v>7</v>
      </c>
      <c r="BP7" s="41"/>
      <c r="BQ7" s="41"/>
      <c r="BR7" s="41"/>
      <c r="BS7" s="41"/>
      <c r="BT7" s="40"/>
    </row>
    <row r="8" spans="1:72" ht="15.75">
      <c r="A8" s="7"/>
      <c r="B8" s="7"/>
      <c r="C8" s="14" t="s">
        <v>11</v>
      </c>
      <c r="D8" s="14" t="s">
        <v>10</v>
      </c>
      <c r="E8" s="14"/>
      <c r="F8" s="14" t="s">
        <v>11</v>
      </c>
      <c r="G8" s="14" t="s">
        <v>10</v>
      </c>
      <c r="H8" s="14"/>
      <c r="I8" s="14" t="s">
        <v>11</v>
      </c>
      <c r="J8" s="14" t="s">
        <v>10</v>
      </c>
      <c r="K8" s="14"/>
      <c r="L8" s="14" t="s">
        <v>11</v>
      </c>
      <c r="M8" s="14" t="s">
        <v>10</v>
      </c>
      <c r="N8" s="14"/>
      <c r="O8" s="14" t="s">
        <v>11</v>
      </c>
      <c r="P8" s="14" t="s">
        <v>10</v>
      </c>
      <c r="Q8" s="14"/>
      <c r="R8" s="14" t="s">
        <v>11</v>
      </c>
      <c r="S8" s="14" t="s">
        <v>10</v>
      </c>
      <c r="T8" s="14"/>
      <c r="U8" s="14" t="s">
        <v>11</v>
      </c>
      <c r="V8" s="14" t="s">
        <v>10</v>
      </c>
      <c r="W8" s="14"/>
      <c r="X8" s="14" t="s">
        <v>11</v>
      </c>
      <c r="Y8" s="14" t="s">
        <v>10</v>
      </c>
      <c r="Z8" s="14"/>
      <c r="AA8" s="14" t="s">
        <v>11</v>
      </c>
      <c r="AB8" s="14" t="s">
        <v>10</v>
      </c>
      <c r="AC8" s="14"/>
      <c r="AD8" s="14" t="s">
        <v>11</v>
      </c>
      <c r="AE8" s="14" t="s">
        <v>10</v>
      </c>
      <c r="AF8" s="14"/>
      <c r="AG8" s="14" t="s">
        <v>11</v>
      </c>
      <c r="AH8" s="14" t="s">
        <v>10</v>
      </c>
      <c r="AI8" s="14"/>
      <c r="AJ8" s="14" t="s">
        <v>11</v>
      </c>
      <c r="AK8" s="14" t="s">
        <v>10</v>
      </c>
      <c r="AL8" s="14"/>
      <c r="AM8" s="14" t="s">
        <v>11</v>
      </c>
      <c r="AN8" s="14" t="s">
        <v>10</v>
      </c>
      <c r="AO8" s="14"/>
      <c r="AP8" s="14" t="s">
        <v>11</v>
      </c>
      <c r="AQ8" s="14" t="s">
        <v>10</v>
      </c>
      <c r="AR8" s="14"/>
      <c r="AS8" s="14" t="s">
        <v>11</v>
      </c>
      <c r="AT8" s="14" t="s">
        <v>10</v>
      </c>
      <c r="AU8" s="14"/>
      <c r="AV8" s="14" t="s">
        <v>11</v>
      </c>
      <c r="AW8" s="14" t="s">
        <v>10</v>
      </c>
      <c r="AX8" s="14"/>
      <c r="AY8" s="14" t="s">
        <v>11</v>
      </c>
      <c r="AZ8" s="14" t="s">
        <v>10</v>
      </c>
      <c r="BA8" s="14"/>
      <c r="BB8" s="14" t="s">
        <v>11</v>
      </c>
      <c r="BC8" s="14" t="s">
        <v>10</v>
      </c>
      <c r="BD8" s="14"/>
      <c r="BE8" s="14" t="s">
        <v>11</v>
      </c>
      <c r="BF8" s="14" t="s">
        <v>10</v>
      </c>
      <c r="BG8" s="14"/>
      <c r="BH8" s="14" t="s">
        <v>11</v>
      </c>
      <c r="BI8" s="14" t="s">
        <v>10</v>
      </c>
      <c r="BJ8" s="14"/>
      <c r="BK8" s="14" t="s">
        <v>11</v>
      </c>
      <c r="BL8" s="14" t="s">
        <v>10</v>
      </c>
      <c r="BM8" s="14"/>
      <c r="BN8" s="14" t="s">
        <v>11</v>
      </c>
      <c r="BO8" s="14" t="s">
        <v>10</v>
      </c>
      <c r="BP8" s="41"/>
      <c r="BQ8" s="41"/>
      <c r="BR8" s="41"/>
      <c r="BS8" s="41"/>
      <c r="BT8" s="40"/>
    </row>
    <row r="9" spans="1:72" ht="15.75">
      <c r="A9" s="7"/>
      <c r="B9" s="7"/>
      <c r="C9" s="7"/>
      <c r="D9" s="14" t="s">
        <v>14</v>
      </c>
      <c r="E9" s="7"/>
      <c r="F9" s="7"/>
      <c r="G9" s="14" t="s">
        <v>14</v>
      </c>
      <c r="H9" s="7"/>
      <c r="I9" s="7"/>
      <c r="J9" s="14" t="s">
        <v>14</v>
      </c>
      <c r="K9" s="7"/>
      <c r="L9" s="7"/>
      <c r="M9" s="14" t="s">
        <v>14</v>
      </c>
      <c r="N9" s="7"/>
      <c r="O9" s="7"/>
      <c r="P9" s="14" t="s">
        <v>14</v>
      </c>
      <c r="Q9" s="7"/>
      <c r="R9" s="7"/>
      <c r="S9" s="14" t="s">
        <v>14</v>
      </c>
      <c r="T9" s="7"/>
      <c r="U9" s="7"/>
      <c r="V9" s="14" t="s">
        <v>14</v>
      </c>
      <c r="W9" s="8" t="s">
        <v>15</v>
      </c>
      <c r="X9" s="7"/>
      <c r="Y9" s="14" t="s">
        <v>14</v>
      </c>
      <c r="Z9" s="8" t="s">
        <v>15</v>
      </c>
      <c r="AA9" s="7"/>
      <c r="AB9" s="14" t="s">
        <v>14</v>
      </c>
      <c r="AC9" s="7"/>
      <c r="AD9" s="7"/>
      <c r="AE9" s="14" t="s">
        <v>14</v>
      </c>
      <c r="AF9" s="7"/>
      <c r="AG9" s="7"/>
      <c r="AH9" s="14" t="s">
        <v>14</v>
      </c>
      <c r="AI9" s="7"/>
      <c r="AJ9" s="7"/>
      <c r="AK9" s="14" t="s">
        <v>14</v>
      </c>
      <c r="AL9" s="7"/>
      <c r="AM9" s="7"/>
      <c r="AN9" s="14" t="s">
        <v>14</v>
      </c>
      <c r="AO9" s="7"/>
      <c r="AP9" s="7"/>
      <c r="AQ9" s="14" t="s">
        <v>14</v>
      </c>
      <c r="AR9" s="7"/>
      <c r="AS9" s="7"/>
      <c r="AT9" s="14" t="s">
        <v>14</v>
      </c>
      <c r="AU9" s="7"/>
      <c r="AV9" s="7"/>
      <c r="AW9" s="14" t="s">
        <v>14</v>
      </c>
      <c r="AX9" s="7"/>
      <c r="AY9" s="7"/>
      <c r="AZ9" s="14" t="s">
        <v>14</v>
      </c>
      <c r="BA9" s="7"/>
      <c r="BB9" s="7"/>
      <c r="BC9" s="14" t="s">
        <v>14</v>
      </c>
      <c r="BD9" s="7"/>
      <c r="BE9" s="7"/>
      <c r="BF9" s="14" t="s">
        <v>14</v>
      </c>
      <c r="BG9" s="7"/>
      <c r="BH9" s="7"/>
      <c r="BI9" s="14" t="s">
        <v>14</v>
      </c>
      <c r="BJ9" s="7"/>
      <c r="BK9" s="7"/>
      <c r="BL9" s="14" t="s">
        <v>14</v>
      </c>
      <c r="BM9" s="7"/>
      <c r="BN9" s="7"/>
      <c r="BO9" s="14" t="s">
        <v>14</v>
      </c>
      <c r="BP9" s="41"/>
      <c r="BQ9" s="41"/>
      <c r="BR9" s="41"/>
      <c r="BS9" s="11"/>
      <c r="BT9" s="40"/>
    </row>
    <row r="10" spans="1:72" ht="16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11"/>
      <c r="BQ10" s="11"/>
      <c r="BR10" s="41"/>
      <c r="BS10" s="11"/>
      <c r="BT10" s="40"/>
    </row>
    <row r="11" spans="1:72" ht="16.5" thickTop="1">
      <c r="A11" s="16" t="s">
        <v>2</v>
      </c>
      <c r="B11" s="13"/>
      <c r="C11" s="17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1"/>
      <c r="BQ11" s="11"/>
      <c r="BR11" s="11"/>
      <c r="BS11" s="11"/>
      <c r="BT11" s="40"/>
    </row>
    <row r="12" spans="1:72" ht="15.75">
      <c r="A12" s="18">
        <v>1</v>
      </c>
      <c r="B12" s="19" t="s">
        <v>17</v>
      </c>
      <c r="C12" s="7">
        <v>133.52</v>
      </c>
      <c r="D12" s="20">
        <v>106.82</v>
      </c>
      <c r="E12" s="7"/>
      <c r="F12" s="7">
        <v>132.99</v>
      </c>
      <c r="G12" s="20">
        <v>107.24</v>
      </c>
      <c r="H12" s="7"/>
      <c r="I12" s="7">
        <v>132.19</v>
      </c>
      <c r="J12" s="20">
        <v>108.36</v>
      </c>
      <c r="K12" s="7"/>
      <c r="L12" s="7">
        <v>132.05</v>
      </c>
      <c r="M12" s="20">
        <v>108.4</v>
      </c>
      <c r="N12" s="7"/>
      <c r="O12" s="7">
        <v>131.28</v>
      </c>
      <c r="P12" s="20">
        <v>109.23</v>
      </c>
      <c r="Q12" s="7"/>
      <c r="R12" s="7">
        <v>131.56</v>
      </c>
      <c r="S12" s="20">
        <v>109.37</v>
      </c>
      <c r="T12" s="7"/>
      <c r="U12" s="7">
        <v>130.53</v>
      </c>
      <c r="V12" s="20">
        <v>109.79</v>
      </c>
      <c r="W12" s="7"/>
      <c r="X12" s="7">
        <v>131.66</v>
      </c>
      <c r="Y12" s="20">
        <v>108.94</v>
      </c>
      <c r="Z12" s="7"/>
      <c r="AA12" s="7">
        <v>132.08</v>
      </c>
      <c r="AB12" s="20">
        <v>108.67</v>
      </c>
      <c r="AC12" s="7"/>
      <c r="AD12" s="7">
        <v>131.46</v>
      </c>
      <c r="AE12" s="7">
        <v>109.46</v>
      </c>
      <c r="AF12" s="7"/>
      <c r="AG12" s="7">
        <v>131.45</v>
      </c>
      <c r="AH12" s="20">
        <v>109.73</v>
      </c>
      <c r="AI12" s="7"/>
      <c r="AJ12" s="7">
        <v>130.74</v>
      </c>
      <c r="AK12" s="20">
        <v>110.62</v>
      </c>
      <c r="AL12" s="7"/>
      <c r="AM12" s="7">
        <v>130.56</v>
      </c>
      <c r="AN12" s="20">
        <v>110.29</v>
      </c>
      <c r="AO12" s="7"/>
      <c r="AP12" s="7">
        <v>130.31</v>
      </c>
      <c r="AQ12" s="20">
        <v>110.5</v>
      </c>
      <c r="AR12" s="7"/>
      <c r="AS12" s="7">
        <v>130.07</v>
      </c>
      <c r="AT12" s="20">
        <v>111.32</v>
      </c>
      <c r="AU12" s="7"/>
      <c r="AV12" s="7">
        <v>129.97</v>
      </c>
      <c r="AW12" s="20">
        <v>111.8</v>
      </c>
      <c r="AX12" s="7"/>
      <c r="AY12" s="7">
        <v>129.73</v>
      </c>
      <c r="AZ12" s="20">
        <v>112.01</v>
      </c>
      <c r="BA12" s="7"/>
      <c r="BB12" s="7">
        <v>128.6</v>
      </c>
      <c r="BC12" s="20">
        <v>112.64</v>
      </c>
      <c r="BD12" s="7"/>
      <c r="BE12" s="7">
        <v>128.46</v>
      </c>
      <c r="BF12" s="20">
        <v>113.05</v>
      </c>
      <c r="BG12" s="7"/>
      <c r="BH12" s="22">
        <v>127.76</v>
      </c>
      <c r="BI12" s="23">
        <v>113.47</v>
      </c>
      <c r="BJ12" s="7"/>
      <c r="BK12" s="22">
        <v>128.28</v>
      </c>
      <c r="BL12" s="23">
        <v>112.94</v>
      </c>
      <c r="BM12" s="7"/>
      <c r="BN12" s="7">
        <f aca="true" t="shared" si="0" ref="BN12:BN24">(+C12+F12+I12+L12+O12+R12+U12+X12+AA12+AD12+AG12+AJ12+AM12+AP12+AS12+AV12+AY12+BB12+BE12+BH12+BK12)/21</f>
        <v>130.72619047619048</v>
      </c>
      <c r="BO12" s="7">
        <f aca="true" t="shared" si="1" ref="BO12:BO24">(+D12+G12+J12+M12+P12+S12+V12+Y12+AB12+AE12+AH12+AK12+AN12+AQ12+AT12+AW12+AZ12+BC12+BF12+BI12+BL12)/21</f>
        <v>110.22142857142858</v>
      </c>
      <c r="BP12" s="11"/>
      <c r="BQ12" s="11"/>
      <c r="BR12" s="11"/>
      <c r="BS12" s="11"/>
      <c r="BT12" s="40"/>
    </row>
    <row r="13" spans="1:72" ht="15.75">
      <c r="A13" s="18">
        <v>2</v>
      </c>
      <c r="B13" s="19" t="s">
        <v>18</v>
      </c>
      <c r="C13" s="7">
        <f>1/1.4385</f>
        <v>0.6951685783802573</v>
      </c>
      <c r="D13" s="20">
        <v>205.17</v>
      </c>
      <c r="E13" s="7"/>
      <c r="F13" s="7">
        <f>1/1.4365</f>
        <v>0.6961364427427775</v>
      </c>
      <c r="G13" s="20">
        <v>204.88</v>
      </c>
      <c r="H13" s="7"/>
      <c r="I13" s="7">
        <f>1/1.4364</f>
        <v>0.6961849067112226</v>
      </c>
      <c r="J13" s="20">
        <v>205.74</v>
      </c>
      <c r="K13" s="7"/>
      <c r="L13" s="7">
        <f>1/1.431</f>
        <v>0.6988120195667366</v>
      </c>
      <c r="M13" s="20">
        <v>204.84</v>
      </c>
      <c r="N13" s="7"/>
      <c r="O13" s="7">
        <f>1/1.4329</f>
        <v>0.6978854072161351</v>
      </c>
      <c r="P13" s="20">
        <v>205.48</v>
      </c>
      <c r="Q13" s="7"/>
      <c r="R13" s="7">
        <f>1/1.4316</f>
        <v>0.6985191394244202</v>
      </c>
      <c r="S13" s="20">
        <v>205.98</v>
      </c>
      <c r="T13" s="7"/>
      <c r="U13" s="7">
        <f>1/1.4363</f>
        <v>0.696233377428114</v>
      </c>
      <c r="V13" s="20">
        <v>205.83</v>
      </c>
      <c r="W13" s="7"/>
      <c r="X13" s="7">
        <f>1/1.4351</f>
        <v>0.6968155529231412</v>
      </c>
      <c r="Y13" s="20">
        <v>205.84</v>
      </c>
      <c r="Z13" s="7"/>
      <c r="AA13" s="7">
        <f>1/1.437</f>
        <v>0.6958942240779401</v>
      </c>
      <c r="AB13" s="20">
        <v>206.26</v>
      </c>
      <c r="AC13" s="7"/>
      <c r="AD13" s="7">
        <f>1/1.4367</f>
        <v>0.6960395350455906</v>
      </c>
      <c r="AE13" s="7">
        <v>206.73</v>
      </c>
      <c r="AF13" s="7"/>
      <c r="AG13" s="7">
        <f>1/1.4364</f>
        <v>0.6961849067112226</v>
      </c>
      <c r="AH13" s="20">
        <v>207.18</v>
      </c>
      <c r="AI13" s="7"/>
      <c r="AJ13" s="7">
        <f>1/1.444</f>
        <v>0.6925207756232687</v>
      </c>
      <c r="AK13" s="20">
        <v>208.83</v>
      </c>
      <c r="AL13" s="7"/>
      <c r="AM13" s="7">
        <f>1/1.4448</f>
        <v>0.6921373200442967</v>
      </c>
      <c r="AN13" s="20">
        <v>208.03</v>
      </c>
      <c r="AO13" s="7"/>
      <c r="AP13" s="7">
        <f>1/1.4475</f>
        <v>0.690846286701209</v>
      </c>
      <c r="AQ13" s="20">
        <v>208.42</v>
      </c>
      <c r="AR13" s="7"/>
      <c r="AS13" s="7">
        <f>1/1.4466</f>
        <v>0.6912760956726116</v>
      </c>
      <c r="AT13" s="20">
        <v>209.45</v>
      </c>
      <c r="AU13" s="7"/>
      <c r="AV13" s="7">
        <f>1/1.4485</f>
        <v>0.6903693476009666</v>
      </c>
      <c r="AW13" s="20">
        <v>210.47</v>
      </c>
      <c r="AX13" s="7"/>
      <c r="AY13" s="7">
        <f>1/1.4472</f>
        <v>0.6909894969596462</v>
      </c>
      <c r="AZ13" s="20">
        <v>210.28</v>
      </c>
      <c r="BA13" s="7"/>
      <c r="BB13" s="7">
        <f>1/1.4527</f>
        <v>0.6883733737179045</v>
      </c>
      <c r="BC13" s="20">
        <v>210.43</v>
      </c>
      <c r="BD13" s="7"/>
      <c r="BE13" s="7">
        <f>1/1.452</f>
        <v>0.6887052341597797</v>
      </c>
      <c r="BF13" s="20">
        <v>210.86</v>
      </c>
      <c r="BG13" s="7"/>
      <c r="BH13" s="22">
        <f>1/1.4625</f>
        <v>0.6837606837606838</v>
      </c>
      <c r="BI13" s="23">
        <v>212.03</v>
      </c>
      <c r="BJ13" s="7"/>
      <c r="BK13" s="22">
        <f>1/1.4572</f>
        <v>0.6862475981334065</v>
      </c>
      <c r="BL13" s="23">
        <v>211.11</v>
      </c>
      <c r="BM13" s="7"/>
      <c r="BN13" s="7">
        <f t="shared" si="0"/>
        <v>0.6932904906000635</v>
      </c>
      <c r="BO13" s="7">
        <f t="shared" si="1"/>
        <v>207.80190476190472</v>
      </c>
      <c r="BP13" s="11"/>
      <c r="BQ13" s="11"/>
      <c r="BR13" s="11"/>
      <c r="BS13" s="11"/>
      <c r="BT13" s="40"/>
    </row>
    <row r="14" spans="1:72" ht="15.75">
      <c r="A14" s="18">
        <v>3</v>
      </c>
      <c r="B14" s="19" t="s">
        <v>19</v>
      </c>
      <c r="C14" s="7">
        <v>1.6645</v>
      </c>
      <c r="D14" s="20">
        <v>85.69</v>
      </c>
      <c r="E14" s="7"/>
      <c r="F14" s="7">
        <v>1.6629</v>
      </c>
      <c r="G14" s="20">
        <v>85.77</v>
      </c>
      <c r="H14" s="7"/>
      <c r="I14" s="7">
        <v>1.6585</v>
      </c>
      <c r="J14" s="20">
        <v>86.36</v>
      </c>
      <c r="K14" s="7"/>
      <c r="L14" s="7">
        <v>1.6675</v>
      </c>
      <c r="M14" s="20">
        <v>85.85</v>
      </c>
      <c r="N14" s="7"/>
      <c r="O14" s="7">
        <v>1.6689</v>
      </c>
      <c r="P14" s="20">
        <v>85.93</v>
      </c>
      <c r="Q14" s="7"/>
      <c r="R14" s="7">
        <v>1.6745</v>
      </c>
      <c r="S14" s="20">
        <v>85.92</v>
      </c>
      <c r="T14" s="7"/>
      <c r="U14" s="7">
        <v>1.6658</v>
      </c>
      <c r="V14" s="20">
        <v>86.03</v>
      </c>
      <c r="W14" s="7"/>
      <c r="X14" s="7">
        <v>1.6673</v>
      </c>
      <c r="Y14" s="20">
        <v>86.03</v>
      </c>
      <c r="Z14" s="7"/>
      <c r="AA14" s="7">
        <v>1.6642</v>
      </c>
      <c r="AB14" s="20">
        <v>86.25</v>
      </c>
      <c r="AC14" s="7"/>
      <c r="AD14" s="7">
        <v>1.6657</v>
      </c>
      <c r="AE14" s="7">
        <v>86.39</v>
      </c>
      <c r="AF14" s="7"/>
      <c r="AG14" s="7">
        <v>1.6688</v>
      </c>
      <c r="AH14" s="20">
        <v>86.43</v>
      </c>
      <c r="AI14" s="7"/>
      <c r="AJ14" s="7">
        <v>1.6576</v>
      </c>
      <c r="AK14" s="20">
        <v>87.25</v>
      </c>
      <c r="AL14" s="7"/>
      <c r="AM14" s="7">
        <v>1.6511</v>
      </c>
      <c r="AN14" s="20">
        <v>87.21</v>
      </c>
      <c r="AO14" s="7"/>
      <c r="AP14" s="7">
        <v>1.647</v>
      </c>
      <c r="AQ14" s="20">
        <v>87.42</v>
      </c>
      <c r="AR14" s="7"/>
      <c r="AS14" s="7">
        <v>1.6501</v>
      </c>
      <c r="AT14" s="20">
        <v>87.74</v>
      </c>
      <c r="AU14" s="7"/>
      <c r="AV14" s="7">
        <v>1.6547</v>
      </c>
      <c r="AW14" s="20">
        <v>87.81</v>
      </c>
      <c r="AX14" s="7"/>
      <c r="AY14" s="7">
        <v>1.6482</v>
      </c>
      <c r="AZ14" s="20">
        <v>88.16</v>
      </c>
      <c r="BA14" s="7"/>
      <c r="BB14" s="7">
        <v>1.632</v>
      </c>
      <c r="BC14" s="20">
        <v>88.76</v>
      </c>
      <c r="BD14" s="7"/>
      <c r="BE14" s="7">
        <v>1.6326</v>
      </c>
      <c r="BF14" s="20">
        <v>88.95</v>
      </c>
      <c r="BG14" s="7"/>
      <c r="BH14" s="22">
        <v>1.6193</v>
      </c>
      <c r="BI14" s="23">
        <v>89.53</v>
      </c>
      <c r="BJ14" s="7"/>
      <c r="BK14" s="22">
        <v>1.6232</v>
      </c>
      <c r="BL14" s="23">
        <v>89.25</v>
      </c>
      <c r="BM14" s="7"/>
      <c r="BN14" s="7">
        <f t="shared" si="0"/>
        <v>1.6544952380952378</v>
      </c>
      <c r="BO14" s="7">
        <f t="shared" si="1"/>
        <v>87.08238095238096</v>
      </c>
      <c r="BP14" s="11"/>
      <c r="BQ14" s="11"/>
      <c r="BR14" s="11"/>
      <c r="BS14" s="11"/>
      <c r="BT14" s="40"/>
    </row>
    <row r="15" spans="1:72" ht="15.75">
      <c r="A15" s="18">
        <v>4</v>
      </c>
      <c r="B15" s="19" t="s">
        <v>24</v>
      </c>
      <c r="C15" s="7">
        <f>1/0.8782</f>
        <v>1.1386927806877705</v>
      </c>
      <c r="D15" s="20">
        <v>125.25</v>
      </c>
      <c r="E15" s="7"/>
      <c r="F15" s="7">
        <f>1/0.8787</f>
        <v>1.1380448389666553</v>
      </c>
      <c r="G15" s="20">
        <v>125.32</v>
      </c>
      <c r="H15" s="7"/>
      <c r="I15" s="7">
        <f>1/0.8819</f>
        <v>1.1339154099104207</v>
      </c>
      <c r="J15" s="20">
        <v>126.32</v>
      </c>
      <c r="K15" s="7"/>
      <c r="L15" s="7">
        <f>1/0.8789</f>
        <v>1.1377858686995108</v>
      </c>
      <c r="M15" s="20">
        <v>125.81</v>
      </c>
      <c r="N15" s="7"/>
      <c r="O15" s="7">
        <f>1/0.8775</f>
        <v>1.1396011396011396</v>
      </c>
      <c r="P15" s="20">
        <v>125.84</v>
      </c>
      <c r="Q15" s="7"/>
      <c r="R15" s="7">
        <f>1/0.8757</f>
        <v>1.1419435879867534</v>
      </c>
      <c r="S15" s="20">
        <v>126</v>
      </c>
      <c r="T15" s="7"/>
      <c r="U15" s="7">
        <f>1/0.8805</f>
        <v>1.135718341851221</v>
      </c>
      <c r="V15" s="20">
        <v>126.18</v>
      </c>
      <c r="W15" s="7"/>
      <c r="X15" s="7">
        <f>1/0.8802</f>
        <v>1.1361054305839582</v>
      </c>
      <c r="Y15" s="20">
        <v>126.25</v>
      </c>
      <c r="Z15" s="7"/>
      <c r="AA15" s="7">
        <f>1/0.88</f>
        <v>1.1363636363636365</v>
      </c>
      <c r="AB15" s="20">
        <v>126.31</v>
      </c>
      <c r="AC15" s="7"/>
      <c r="AD15" s="7">
        <f>1/0.8808</f>
        <v>1.1353315168029063</v>
      </c>
      <c r="AE15" s="7">
        <v>126.74</v>
      </c>
      <c r="AF15" s="7"/>
      <c r="AG15" s="7">
        <f>1/0.8801</f>
        <v>1.1362345188046814</v>
      </c>
      <c r="AH15" s="20">
        <v>126.94</v>
      </c>
      <c r="AI15" s="7"/>
      <c r="AJ15" s="7">
        <f>1/0.887</f>
        <v>1.1273957158962795</v>
      </c>
      <c r="AK15" s="20">
        <v>128.28</v>
      </c>
      <c r="AL15" s="7"/>
      <c r="AM15" s="24">
        <f>1/0.8892</f>
        <v>1.1246063877642825</v>
      </c>
      <c r="AN15" s="20">
        <v>128.03</v>
      </c>
      <c r="AO15" s="7"/>
      <c r="AP15" s="24">
        <f>1/0.8912</f>
        <v>1.1220825852782765</v>
      </c>
      <c r="AQ15" s="20">
        <v>128.32</v>
      </c>
      <c r="AR15" s="7"/>
      <c r="AS15" s="7">
        <f>1/0.8893</f>
        <v>1.1244799280332847</v>
      </c>
      <c r="AT15" s="20">
        <v>128.76</v>
      </c>
      <c r="AU15" s="7"/>
      <c r="AV15" s="7">
        <f>1/0.8871</f>
        <v>1.1272686281140796</v>
      </c>
      <c r="AW15" s="20">
        <v>128.9</v>
      </c>
      <c r="AX15" s="7"/>
      <c r="AY15" s="7">
        <f>1/0.8894</f>
        <v>1.124353496739375</v>
      </c>
      <c r="AZ15" s="20">
        <v>129.23</v>
      </c>
      <c r="BA15" s="7"/>
      <c r="BB15" s="7">
        <f>1/0.8979</f>
        <v>1.1137097672346585</v>
      </c>
      <c r="BC15" s="20">
        <v>130.07</v>
      </c>
      <c r="BD15" s="7"/>
      <c r="BE15" s="7">
        <f>1/0.8973</f>
        <v>1.1144544745347154</v>
      </c>
      <c r="BF15" s="20">
        <v>130.31</v>
      </c>
      <c r="BG15" s="7"/>
      <c r="BH15" s="22">
        <f>1/0.9035</f>
        <v>1.1068068622025458</v>
      </c>
      <c r="BI15" s="23">
        <v>130.99</v>
      </c>
      <c r="BJ15" s="7"/>
      <c r="BK15" s="22">
        <f>1/0.9013</f>
        <v>1.1095084877399313</v>
      </c>
      <c r="BL15" s="23">
        <v>130.57</v>
      </c>
      <c r="BM15" s="7"/>
      <c r="BN15" s="7">
        <f t="shared" si="0"/>
        <v>1.12878111446648</v>
      </c>
      <c r="BO15" s="7">
        <f t="shared" si="1"/>
        <v>127.63904761904764</v>
      </c>
      <c r="BP15" s="11"/>
      <c r="BQ15" s="11"/>
      <c r="BR15" s="11"/>
      <c r="BS15" s="11"/>
      <c r="BT15" s="40"/>
    </row>
    <row r="16" spans="1:72" ht="15.75">
      <c r="A16" s="18">
        <v>5</v>
      </c>
      <c r="B16" s="19" t="s">
        <v>25</v>
      </c>
      <c r="C16" s="7">
        <v>302.75</v>
      </c>
      <c r="D16" s="20">
        <v>43180.1</v>
      </c>
      <c r="E16" s="7"/>
      <c r="F16" s="7">
        <v>304.8</v>
      </c>
      <c r="G16" s="20">
        <v>43470.96</v>
      </c>
      <c r="H16" s="7"/>
      <c r="I16" s="7">
        <v>301.4</v>
      </c>
      <c r="J16" s="20">
        <v>43171.22</v>
      </c>
      <c r="K16" s="7"/>
      <c r="L16" s="7">
        <v>300.75</v>
      </c>
      <c r="M16" s="20">
        <v>43051.8</v>
      </c>
      <c r="N16" s="7"/>
      <c r="O16" s="7">
        <v>298.5</v>
      </c>
      <c r="P16" s="20">
        <v>42805.83</v>
      </c>
      <c r="Q16" s="7"/>
      <c r="R16" s="7">
        <v>299.35</v>
      </c>
      <c r="S16" s="20">
        <v>43070.67</v>
      </c>
      <c r="T16" s="7"/>
      <c r="U16" s="7">
        <v>297.65</v>
      </c>
      <c r="V16" s="20">
        <v>42655.16</v>
      </c>
      <c r="W16" s="7"/>
      <c r="X16" s="7">
        <v>301.75</v>
      </c>
      <c r="Y16" s="20">
        <v>43281.51</v>
      </c>
      <c r="Z16" s="7"/>
      <c r="AA16" s="7">
        <v>301.5</v>
      </c>
      <c r="AB16" s="20">
        <v>43275.43</v>
      </c>
      <c r="AC16" s="7"/>
      <c r="AD16" s="7">
        <v>301.7</v>
      </c>
      <c r="AE16" s="7">
        <v>43413.31</v>
      </c>
      <c r="AF16" s="7"/>
      <c r="AG16" s="7">
        <v>299.3</v>
      </c>
      <c r="AH16" s="20">
        <v>43170.1</v>
      </c>
      <c r="AI16" s="7"/>
      <c r="AJ16" s="7">
        <v>300</v>
      </c>
      <c r="AK16" s="20">
        <v>43386.38</v>
      </c>
      <c r="AL16" s="7"/>
      <c r="AM16" s="7">
        <v>302.25</v>
      </c>
      <c r="AN16" s="20">
        <v>43520.41</v>
      </c>
      <c r="AO16" s="7"/>
      <c r="AP16" s="7">
        <v>303.4</v>
      </c>
      <c r="AQ16" s="20">
        <v>43686</v>
      </c>
      <c r="AR16" s="7"/>
      <c r="AS16" s="7">
        <v>303.5</v>
      </c>
      <c r="AT16" s="20">
        <v>43943.01</v>
      </c>
      <c r="AU16" s="7"/>
      <c r="AV16" s="7">
        <v>303</v>
      </c>
      <c r="AW16" s="20">
        <v>44027.42</v>
      </c>
      <c r="AX16" s="7"/>
      <c r="AY16" s="7">
        <v>304.4</v>
      </c>
      <c r="AZ16" s="20">
        <v>44230.65</v>
      </c>
      <c r="BA16" s="7"/>
      <c r="BB16" s="7">
        <v>305</v>
      </c>
      <c r="BC16" s="20">
        <v>44181.35</v>
      </c>
      <c r="BD16" s="7"/>
      <c r="BE16" s="7">
        <v>307.2</v>
      </c>
      <c r="BF16" s="20">
        <v>44611.39</v>
      </c>
      <c r="BG16" s="7"/>
      <c r="BH16" s="22">
        <v>310.5</v>
      </c>
      <c r="BI16" s="23">
        <v>45014.93</v>
      </c>
      <c r="BJ16" s="7"/>
      <c r="BK16" s="22">
        <v>309.15</v>
      </c>
      <c r="BL16" s="23">
        <v>44787.72</v>
      </c>
      <c r="BM16" s="7"/>
      <c r="BN16" s="7">
        <f t="shared" si="0"/>
        <v>302.75476190476184</v>
      </c>
      <c r="BO16" s="7">
        <f t="shared" si="1"/>
        <v>43615.96904761905</v>
      </c>
      <c r="BP16" s="11"/>
      <c r="BQ16" s="11"/>
      <c r="BR16" s="11"/>
      <c r="BS16" s="11"/>
      <c r="BT16" s="40"/>
    </row>
    <row r="17" spans="1:72" ht="15.75">
      <c r="A17" s="18">
        <v>6</v>
      </c>
      <c r="B17" s="25" t="s">
        <v>26</v>
      </c>
      <c r="C17" s="7">
        <v>4.68</v>
      </c>
      <c r="D17" s="20">
        <v>667.49</v>
      </c>
      <c r="E17" s="7"/>
      <c r="F17" s="7">
        <v>4.71</v>
      </c>
      <c r="G17" s="20">
        <v>671.75</v>
      </c>
      <c r="H17" s="7"/>
      <c r="I17" s="7">
        <v>4.64</v>
      </c>
      <c r="J17" s="20">
        <v>664.61</v>
      </c>
      <c r="K17" s="7"/>
      <c r="L17" s="7">
        <v>4.62</v>
      </c>
      <c r="M17" s="20">
        <v>661.34</v>
      </c>
      <c r="N17" s="7"/>
      <c r="O17" s="7">
        <v>4.55</v>
      </c>
      <c r="P17" s="20">
        <v>652.48</v>
      </c>
      <c r="Q17" s="7"/>
      <c r="R17" s="7">
        <v>4.57</v>
      </c>
      <c r="S17" s="20">
        <v>657.53</v>
      </c>
      <c r="T17" s="7"/>
      <c r="U17" s="7">
        <v>4.53</v>
      </c>
      <c r="V17" s="20">
        <v>649.18</v>
      </c>
      <c r="W17" s="7"/>
      <c r="X17" s="7">
        <v>4.61</v>
      </c>
      <c r="Y17" s="20">
        <v>661.24</v>
      </c>
      <c r="Z17" s="7"/>
      <c r="AA17" s="7">
        <v>4.56</v>
      </c>
      <c r="AB17" s="20">
        <v>654.51</v>
      </c>
      <c r="AC17" s="7"/>
      <c r="AD17" s="7">
        <v>4.58</v>
      </c>
      <c r="AE17" s="7">
        <v>659.04</v>
      </c>
      <c r="AF17" s="7"/>
      <c r="AG17" s="7">
        <v>4.47</v>
      </c>
      <c r="AH17" s="20">
        <v>644.74</v>
      </c>
      <c r="AI17" s="7"/>
      <c r="AJ17" s="7">
        <v>4.44</v>
      </c>
      <c r="AK17" s="20">
        <v>642.12</v>
      </c>
      <c r="AL17" s="7"/>
      <c r="AM17" s="7">
        <v>4.45</v>
      </c>
      <c r="AN17" s="20">
        <v>640.75</v>
      </c>
      <c r="AO17" s="7"/>
      <c r="AP17" s="7">
        <v>4.5</v>
      </c>
      <c r="AQ17" s="20">
        <v>647.95</v>
      </c>
      <c r="AR17" s="7"/>
      <c r="AS17" s="7">
        <v>4.52</v>
      </c>
      <c r="AT17" s="20">
        <v>654.44</v>
      </c>
      <c r="AU17" s="7"/>
      <c r="AV17" s="7">
        <v>4.52</v>
      </c>
      <c r="AW17" s="20">
        <v>656.78</v>
      </c>
      <c r="AX17" s="7"/>
      <c r="AY17" s="7">
        <v>4.58</v>
      </c>
      <c r="AZ17" s="20">
        <v>665.49</v>
      </c>
      <c r="BA17" s="7"/>
      <c r="BB17" s="7">
        <v>4.57</v>
      </c>
      <c r="BC17" s="20">
        <v>662</v>
      </c>
      <c r="BD17" s="7"/>
      <c r="BE17" s="7">
        <v>4.6</v>
      </c>
      <c r="BF17" s="20">
        <v>668.01</v>
      </c>
      <c r="BG17" s="7"/>
      <c r="BH17" s="22">
        <v>4.63</v>
      </c>
      <c r="BI17" s="23">
        <v>671.24</v>
      </c>
      <c r="BJ17" s="7"/>
      <c r="BK17" s="22">
        <v>4.6</v>
      </c>
      <c r="BL17" s="23">
        <v>666.42</v>
      </c>
      <c r="BM17" s="7"/>
      <c r="BN17" s="7">
        <f t="shared" si="0"/>
        <v>4.568095238095237</v>
      </c>
      <c r="BO17" s="7">
        <f t="shared" si="1"/>
        <v>658.0528571428572</v>
      </c>
      <c r="BP17" s="11"/>
      <c r="BQ17" s="11"/>
      <c r="BR17" s="11"/>
      <c r="BS17" s="11"/>
      <c r="BT17" s="40"/>
    </row>
    <row r="18" spans="1:72" ht="15.75">
      <c r="A18" s="18">
        <v>7</v>
      </c>
      <c r="B18" s="19" t="s">
        <v>27</v>
      </c>
      <c r="C18" s="7">
        <f>1/0.5333</f>
        <v>1.8751171948246765</v>
      </c>
      <c r="D18" s="20">
        <v>76.06</v>
      </c>
      <c r="E18" s="7"/>
      <c r="F18" s="7">
        <f>1/0.5305</f>
        <v>1.885014137606032</v>
      </c>
      <c r="G18" s="20">
        <v>75.66</v>
      </c>
      <c r="H18" s="7"/>
      <c r="I18" s="7">
        <f>1/0.5322</f>
        <v>1.8789928598271326</v>
      </c>
      <c r="J18" s="20">
        <v>76.23</v>
      </c>
      <c r="K18" s="7"/>
      <c r="L18" s="7">
        <f>1/0.531</f>
        <v>1.8832391713747645</v>
      </c>
      <c r="M18" s="20">
        <v>76.01</v>
      </c>
      <c r="N18" s="7"/>
      <c r="O18" s="7">
        <f>1/0.5281</f>
        <v>1.893580761219466</v>
      </c>
      <c r="P18" s="20">
        <v>75.73</v>
      </c>
      <c r="Q18" s="7"/>
      <c r="R18" s="7">
        <f>1/0.5289</f>
        <v>1.8907165815844205</v>
      </c>
      <c r="S18" s="20">
        <v>76.1</v>
      </c>
      <c r="T18" s="7"/>
      <c r="U18" s="7">
        <f>1/0.5306</f>
        <v>1.8846588767433097</v>
      </c>
      <c r="V18" s="20">
        <v>76.04</v>
      </c>
      <c r="W18" s="7"/>
      <c r="X18" s="7">
        <f>1/0.5346</f>
        <v>1.8705574261129818</v>
      </c>
      <c r="Y18" s="20">
        <v>76.68</v>
      </c>
      <c r="Z18" s="7"/>
      <c r="AA18" s="7">
        <f>1/0.5351</f>
        <v>1.8688095683049897</v>
      </c>
      <c r="AB18" s="20">
        <v>76.8</v>
      </c>
      <c r="AC18" s="7"/>
      <c r="AD18" s="7">
        <f>1/0.5324</f>
        <v>1.8782870022539444</v>
      </c>
      <c r="AE18" s="7">
        <v>76.61</v>
      </c>
      <c r="AF18" s="7"/>
      <c r="AG18" s="7">
        <f>1/0.5306</f>
        <v>1.8846588767433097</v>
      </c>
      <c r="AH18" s="20">
        <v>76.53</v>
      </c>
      <c r="AI18" s="7"/>
      <c r="AJ18" s="7">
        <f>1/0.5354</f>
        <v>1.8677624206200971</v>
      </c>
      <c r="AK18" s="20">
        <v>77.43</v>
      </c>
      <c r="AL18" s="7"/>
      <c r="AM18" s="7">
        <f>1/0.5381</f>
        <v>1.858390633711206</v>
      </c>
      <c r="AN18" s="20">
        <v>77.48</v>
      </c>
      <c r="AO18" s="7"/>
      <c r="AP18" s="7">
        <f>1/0.5391</f>
        <v>1.8549434242255611</v>
      </c>
      <c r="AQ18" s="20">
        <v>77.62</v>
      </c>
      <c r="AR18" s="7"/>
      <c r="AS18" s="7">
        <f>1/0.5402</f>
        <v>1.8511662347278786</v>
      </c>
      <c r="AT18" s="20">
        <v>78.21</v>
      </c>
      <c r="AU18" s="7"/>
      <c r="AV18" s="7">
        <f>1/0.5384</f>
        <v>1.8573551263001487</v>
      </c>
      <c r="AW18" s="20">
        <v>78.23</v>
      </c>
      <c r="AX18" s="7"/>
      <c r="AY18" s="7">
        <f>1/0.5395</f>
        <v>1.8535681186283597</v>
      </c>
      <c r="AZ18" s="20">
        <v>78.39</v>
      </c>
      <c r="BA18" s="7"/>
      <c r="BB18" s="7">
        <f>1/0.5439</f>
        <v>1.8385732671446955</v>
      </c>
      <c r="BC18" s="20">
        <v>78.79</v>
      </c>
      <c r="BD18" s="7"/>
      <c r="BE18" s="7">
        <f>1/0.544</f>
        <v>1.838235294117647</v>
      </c>
      <c r="BF18" s="20">
        <v>79</v>
      </c>
      <c r="BG18" s="7"/>
      <c r="BH18" s="22">
        <f>1/0.5414</f>
        <v>1.847063169560399</v>
      </c>
      <c r="BI18" s="23">
        <v>78.49</v>
      </c>
      <c r="BJ18" s="7"/>
      <c r="BK18" s="22">
        <f>1/0.5389</f>
        <v>1.8556318426424196</v>
      </c>
      <c r="BL18" s="23">
        <v>78.07</v>
      </c>
      <c r="BM18" s="7"/>
      <c r="BN18" s="7">
        <f t="shared" si="0"/>
        <v>1.8674439042034965</v>
      </c>
      <c r="BO18" s="7">
        <f t="shared" si="1"/>
        <v>77.1504761904762</v>
      </c>
      <c r="BP18" s="11"/>
      <c r="BQ18" s="11"/>
      <c r="BR18" s="11"/>
      <c r="BS18" s="11"/>
      <c r="BT18" s="40"/>
    </row>
    <row r="19" spans="1:72" ht="15.75">
      <c r="A19" s="18">
        <v>8</v>
      </c>
      <c r="B19" s="19" t="s">
        <v>28</v>
      </c>
      <c r="C19" s="7">
        <v>1.5991</v>
      </c>
      <c r="D19" s="20">
        <v>89.19</v>
      </c>
      <c r="E19" s="7"/>
      <c r="F19" s="7">
        <v>1.5923</v>
      </c>
      <c r="G19" s="20">
        <v>89.57</v>
      </c>
      <c r="H19" s="7"/>
      <c r="I19" s="7">
        <v>1.5909</v>
      </c>
      <c r="J19" s="20">
        <v>90.03</v>
      </c>
      <c r="K19" s="7"/>
      <c r="L19" s="7">
        <v>1.5938</v>
      </c>
      <c r="M19" s="20">
        <v>89.82</v>
      </c>
      <c r="N19" s="7"/>
      <c r="O19" s="7">
        <v>1.5893</v>
      </c>
      <c r="P19" s="20">
        <v>90.23</v>
      </c>
      <c r="Q19" s="7"/>
      <c r="R19" s="7">
        <v>1.5939</v>
      </c>
      <c r="S19" s="20">
        <v>90.27</v>
      </c>
      <c r="T19" s="7"/>
      <c r="U19" s="7">
        <v>1.5923</v>
      </c>
      <c r="V19" s="20">
        <v>90</v>
      </c>
      <c r="W19" s="7"/>
      <c r="X19" s="7">
        <v>1.5904</v>
      </c>
      <c r="Y19" s="20">
        <v>90.19</v>
      </c>
      <c r="Z19" s="7"/>
      <c r="AA19" s="7">
        <v>1.586</v>
      </c>
      <c r="AB19" s="20">
        <v>90.5</v>
      </c>
      <c r="AC19" s="7"/>
      <c r="AD19" s="7">
        <v>1.5869</v>
      </c>
      <c r="AE19" s="7">
        <v>90.68</v>
      </c>
      <c r="AF19" s="7"/>
      <c r="AG19" s="7">
        <v>1.5867</v>
      </c>
      <c r="AH19" s="20">
        <v>90.9</v>
      </c>
      <c r="AI19" s="7"/>
      <c r="AJ19" s="7">
        <v>1.5795</v>
      </c>
      <c r="AK19" s="20">
        <v>91.566</v>
      </c>
      <c r="AL19" s="7"/>
      <c r="AM19" s="7">
        <v>1.5747</v>
      </c>
      <c r="AN19" s="20">
        <v>91.44</v>
      </c>
      <c r="AO19" s="7"/>
      <c r="AP19" s="7">
        <v>1.5747</v>
      </c>
      <c r="AQ19" s="20">
        <v>91.44</v>
      </c>
      <c r="AR19" s="7"/>
      <c r="AS19" s="7">
        <v>1.5745</v>
      </c>
      <c r="AT19" s="20">
        <v>91.96</v>
      </c>
      <c r="AU19" s="7"/>
      <c r="AV19" s="7">
        <v>1.5731</v>
      </c>
      <c r="AW19" s="20">
        <v>92.37</v>
      </c>
      <c r="AX19" s="7"/>
      <c r="AY19" s="7">
        <v>1.573</v>
      </c>
      <c r="AZ19" s="20">
        <v>92.37</v>
      </c>
      <c r="BA19" s="7"/>
      <c r="BB19" s="7">
        <v>1.5658</v>
      </c>
      <c r="BC19" s="20">
        <v>92.51</v>
      </c>
      <c r="BD19" s="7"/>
      <c r="BE19" s="7">
        <v>1.5644</v>
      </c>
      <c r="BF19" s="20">
        <v>92.83</v>
      </c>
      <c r="BG19" s="7"/>
      <c r="BH19" s="22">
        <v>1.5634</v>
      </c>
      <c r="BI19" s="23">
        <v>92.73</v>
      </c>
      <c r="BJ19" s="7"/>
      <c r="BK19" s="22">
        <v>1.5685</v>
      </c>
      <c r="BL19" s="23">
        <v>92.36</v>
      </c>
      <c r="BM19" s="7"/>
      <c r="BN19" s="7">
        <f t="shared" si="0"/>
        <v>1.5815809523809523</v>
      </c>
      <c r="BO19" s="7">
        <f t="shared" si="1"/>
        <v>91.09314285714284</v>
      </c>
      <c r="BP19" s="11"/>
      <c r="BQ19" s="11"/>
      <c r="BR19" s="11"/>
      <c r="BS19" s="11"/>
      <c r="BT19" s="40"/>
    </row>
    <row r="20" spans="1:72" ht="15.75">
      <c r="A20" s="18">
        <v>9</v>
      </c>
      <c r="B20" s="19" t="s">
        <v>31</v>
      </c>
      <c r="C20" s="7">
        <v>10.2755</v>
      </c>
      <c r="D20" s="20">
        <v>13.88</v>
      </c>
      <c r="E20" s="7"/>
      <c r="F20" s="7">
        <v>10.2885</v>
      </c>
      <c r="G20" s="20">
        <v>13.86</v>
      </c>
      <c r="H20" s="7"/>
      <c r="I20" s="7">
        <v>10.2795</v>
      </c>
      <c r="J20" s="20">
        <v>13.93</v>
      </c>
      <c r="K20" s="7"/>
      <c r="L20" s="7">
        <v>10.2645</v>
      </c>
      <c r="M20" s="20">
        <v>13.95</v>
      </c>
      <c r="N20" s="7"/>
      <c r="O20" s="7">
        <v>10.2927</v>
      </c>
      <c r="P20" s="20">
        <v>13.93</v>
      </c>
      <c r="Q20" s="7"/>
      <c r="R20" s="7">
        <v>10.3582</v>
      </c>
      <c r="S20" s="20">
        <v>13.89</v>
      </c>
      <c r="T20" s="7"/>
      <c r="U20" s="7">
        <v>10.3256</v>
      </c>
      <c r="V20" s="20">
        <v>13.88</v>
      </c>
      <c r="W20" s="7"/>
      <c r="X20" s="7">
        <v>10.315</v>
      </c>
      <c r="Y20" s="20">
        <v>13.91</v>
      </c>
      <c r="Z20" s="7"/>
      <c r="AA20" s="7">
        <v>10.34</v>
      </c>
      <c r="AB20" s="20">
        <v>13.88</v>
      </c>
      <c r="AC20" s="7"/>
      <c r="AD20" s="7">
        <v>10.3373</v>
      </c>
      <c r="AE20" s="7">
        <v>13.92</v>
      </c>
      <c r="AF20" s="7"/>
      <c r="AG20" s="7">
        <v>10.3663</v>
      </c>
      <c r="AH20" s="20">
        <v>13.91</v>
      </c>
      <c r="AI20" s="7"/>
      <c r="AJ20" s="7">
        <v>10.2935</v>
      </c>
      <c r="AK20" s="20">
        <v>14.05</v>
      </c>
      <c r="AL20" s="7"/>
      <c r="AM20" s="7">
        <v>10.288</v>
      </c>
      <c r="AN20" s="20">
        <v>14</v>
      </c>
      <c r="AO20" s="7"/>
      <c r="AP20" s="7">
        <v>10.2945</v>
      </c>
      <c r="AQ20" s="20">
        <v>13.99</v>
      </c>
      <c r="AR20" s="7"/>
      <c r="AS20" s="7">
        <v>10.3509</v>
      </c>
      <c r="AT20" s="20">
        <v>13.99</v>
      </c>
      <c r="AU20" s="7"/>
      <c r="AV20" s="7">
        <v>10.3606</v>
      </c>
      <c r="AW20" s="20">
        <v>14.02</v>
      </c>
      <c r="AX20" s="7"/>
      <c r="AY20" s="7">
        <v>10.313</v>
      </c>
      <c r="AZ20" s="20">
        <v>14.09</v>
      </c>
      <c r="BA20" s="7"/>
      <c r="BB20" s="7">
        <v>10.2925</v>
      </c>
      <c r="BC20" s="20">
        <v>14.07</v>
      </c>
      <c r="BD20" s="7"/>
      <c r="BE20" s="7">
        <v>10.279</v>
      </c>
      <c r="BF20" s="20">
        <v>14.13</v>
      </c>
      <c r="BG20" s="7"/>
      <c r="BH20" s="22">
        <v>10.2494</v>
      </c>
      <c r="BI20" s="23">
        <v>14.14</v>
      </c>
      <c r="BJ20" s="7"/>
      <c r="BK20" s="22">
        <v>10.2753</v>
      </c>
      <c r="BL20" s="23">
        <v>14.1</v>
      </c>
      <c r="BM20" s="7"/>
      <c r="BN20" s="7">
        <f t="shared" si="0"/>
        <v>10.30665714285714</v>
      </c>
      <c r="BO20" s="7">
        <f t="shared" si="1"/>
        <v>13.977142857142859</v>
      </c>
      <c r="BP20" s="11"/>
      <c r="BQ20" s="11"/>
      <c r="BR20" s="11"/>
      <c r="BS20" s="11"/>
      <c r="BT20" s="40"/>
    </row>
    <row r="21" spans="1:72" ht="15.75">
      <c r="A21" s="18">
        <v>10</v>
      </c>
      <c r="B21" s="19" t="s">
        <v>32</v>
      </c>
      <c r="C21" s="7">
        <v>8.7577</v>
      </c>
      <c r="D21" s="20">
        <v>16.29</v>
      </c>
      <c r="E21" s="7"/>
      <c r="F21" s="7">
        <v>8.7188</v>
      </c>
      <c r="G21" s="20">
        <v>16.36</v>
      </c>
      <c r="H21" s="7"/>
      <c r="I21" s="7">
        <v>8.662</v>
      </c>
      <c r="J21" s="20">
        <v>16.54</v>
      </c>
      <c r="K21" s="7"/>
      <c r="L21" s="7">
        <v>8.6946</v>
      </c>
      <c r="M21" s="20">
        <v>16.46</v>
      </c>
      <c r="N21" s="7"/>
      <c r="O21" s="7">
        <v>8.7081</v>
      </c>
      <c r="P21" s="20">
        <v>16.47</v>
      </c>
      <c r="Q21" s="7"/>
      <c r="R21" s="7">
        <v>8.7168</v>
      </c>
      <c r="S21" s="20">
        <v>16.51</v>
      </c>
      <c r="T21" s="7"/>
      <c r="U21" s="7">
        <v>8.684</v>
      </c>
      <c r="V21" s="20">
        <v>16.5</v>
      </c>
      <c r="W21" s="7"/>
      <c r="X21" s="7">
        <v>8.6625</v>
      </c>
      <c r="Y21" s="20">
        <v>16.56</v>
      </c>
      <c r="Z21" s="7"/>
      <c r="AA21" s="7">
        <v>8.6542</v>
      </c>
      <c r="AB21" s="20">
        <v>16.59</v>
      </c>
      <c r="AC21" s="7"/>
      <c r="AD21" s="7">
        <v>8.649</v>
      </c>
      <c r="AE21" s="7">
        <v>16.64</v>
      </c>
      <c r="AF21" s="7"/>
      <c r="AG21" s="7">
        <v>8.6745</v>
      </c>
      <c r="AH21" s="20">
        <v>16.63</v>
      </c>
      <c r="AI21" s="7"/>
      <c r="AJ21" s="7">
        <v>8.6032</v>
      </c>
      <c r="AK21" s="20">
        <v>16.81</v>
      </c>
      <c r="AL21" s="7"/>
      <c r="AM21" s="7">
        <v>8.588</v>
      </c>
      <c r="AN21" s="20">
        <v>16.77</v>
      </c>
      <c r="AO21" s="7"/>
      <c r="AP21" s="7">
        <v>8.5596</v>
      </c>
      <c r="AQ21" s="20">
        <v>16.82</v>
      </c>
      <c r="AR21" s="7"/>
      <c r="AS21" s="7">
        <v>8.5563</v>
      </c>
      <c r="AT21" s="20">
        <v>16.92</v>
      </c>
      <c r="AU21" s="7"/>
      <c r="AV21" s="7">
        <v>8.5558</v>
      </c>
      <c r="AW21" s="20">
        <v>16.98</v>
      </c>
      <c r="AX21" s="7"/>
      <c r="AY21" s="7">
        <v>8.558</v>
      </c>
      <c r="AZ21" s="20">
        <v>16.98</v>
      </c>
      <c r="BA21" s="7"/>
      <c r="BB21" s="7">
        <v>8.4816</v>
      </c>
      <c r="BC21" s="20">
        <v>17.08</v>
      </c>
      <c r="BD21" s="7"/>
      <c r="BE21" s="7">
        <v>8.4595</v>
      </c>
      <c r="BF21" s="20">
        <v>17.17</v>
      </c>
      <c r="BG21" s="7"/>
      <c r="BH21" s="22">
        <v>8.3822</v>
      </c>
      <c r="BI21" s="23">
        <v>17.3</v>
      </c>
      <c r="BJ21" s="7"/>
      <c r="BK21" s="22">
        <v>8.4113</v>
      </c>
      <c r="BL21" s="23">
        <v>17.22</v>
      </c>
      <c r="BM21" s="7"/>
      <c r="BN21" s="7">
        <f t="shared" si="0"/>
        <v>8.606557142857142</v>
      </c>
      <c r="BO21" s="7">
        <f t="shared" si="1"/>
        <v>16.742857142857144</v>
      </c>
      <c r="BP21" s="11"/>
      <c r="BQ21" s="11"/>
      <c r="BR21" s="11"/>
      <c r="BS21" s="11"/>
      <c r="BT21" s="40"/>
    </row>
    <row r="22" spans="1:72" ht="15.75">
      <c r="A22" s="18">
        <v>11</v>
      </c>
      <c r="B22" s="19" t="s">
        <v>33</v>
      </c>
      <c r="C22" s="7">
        <v>8.462</v>
      </c>
      <c r="D22" s="20">
        <v>16.85</v>
      </c>
      <c r="E22" s="7"/>
      <c r="F22" s="7">
        <v>8.454</v>
      </c>
      <c r="G22" s="20">
        <v>16.87</v>
      </c>
      <c r="H22" s="7"/>
      <c r="I22" s="7">
        <v>8.4246</v>
      </c>
      <c r="J22" s="20">
        <v>17</v>
      </c>
      <c r="K22" s="7"/>
      <c r="L22" s="7">
        <v>8.4565</v>
      </c>
      <c r="M22" s="20">
        <v>16.93</v>
      </c>
      <c r="N22" s="7"/>
      <c r="O22" s="7">
        <v>8.4707</v>
      </c>
      <c r="P22" s="20">
        <v>16.93</v>
      </c>
      <c r="Q22" s="7"/>
      <c r="R22" s="7">
        <v>8.485</v>
      </c>
      <c r="S22" s="20">
        <v>16.96</v>
      </c>
      <c r="T22" s="7"/>
      <c r="U22" s="7">
        <v>8.4413</v>
      </c>
      <c r="V22" s="20">
        <v>16.98</v>
      </c>
      <c r="W22" s="7"/>
      <c r="X22" s="7">
        <v>8.4468</v>
      </c>
      <c r="Y22" s="20">
        <v>16.98</v>
      </c>
      <c r="Z22" s="7"/>
      <c r="AA22" s="7">
        <v>8.4434</v>
      </c>
      <c r="AB22" s="20">
        <v>17</v>
      </c>
      <c r="AC22" s="7"/>
      <c r="AD22" s="7">
        <v>8.4395</v>
      </c>
      <c r="AE22" s="7">
        <v>17.05</v>
      </c>
      <c r="AF22" s="7"/>
      <c r="AG22" s="7">
        <v>8.4436</v>
      </c>
      <c r="AH22" s="20">
        <v>17.08</v>
      </c>
      <c r="AI22" s="7"/>
      <c r="AJ22" s="7">
        <v>8.3786</v>
      </c>
      <c r="AK22" s="20">
        <v>17.26</v>
      </c>
      <c r="AL22" s="7"/>
      <c r="AM22" s="7">
        <v>8.357</v>
      </c>
      <c r="AN22" s="20">
        <v>17.23</v>
      </c>
      <c r="AO22" s="7"/>
      <c r="AP22" s="7">
        <v>8.386</v>
      </c>
      <c r="AQ22" s="20">
        <v>17.17</v>
      </c>
      <c r="AR22" s="7"/>
      <c r="AS22" s="7">
        <v>8.3577</v>
      </c>
      <c r="AT22" s="20">
        <v>17.32</v>
      </c>
      <c r="AU22" s="7"/>
      <c r="AV22" s="7">
        <v>8.3748</v>
      </c>
      <c r="AW22" s="20">
        <v>17.35</v>
      </c>
      <c r="AX22" s="7"/>
      <c r="AY22" s="7">
        <v>8.356</v>
      </c>
      <c r="AZ22" s="20">
        <v>17.39</v>
      </c>
      <c r="BA22" s="7"/>
      <c r="BB22" s="7">
        <v>8.2777</v>
      </c>
      <c r="BC22" s="20">
        <v>17.5</v>
      </c>
      <c r="BD22" s="7"/>
      <c r="BE22" s="7">
        <v>8.282</v>
      </c>
      <c r="BF22" s="20">
        <v>17.53</v>
      </c>
      <c r="BG22" s="7"/>
      <c r="BH22" s="22">
        <v>8.2249</v>
      </c>
      <c r="BI22" s="23">
        <v>17.63</v>
      </c>
      <c r="BJ22" s="7"/>
      <c r="BK22" s="22">
        <v>8.2439</v>
      </c>
      <c r="BL22" s="23">
        <v>17.57</v>
      </c>
      <c r="BM22" s="7"/>
      <c r="BN22" s="7">
        <f t="shared" si="0"/>
        <v>8.390761904761904</v>
      </c>
      <c r="BO22" s="7">
        <f t="shared" si="1"/>
        <v>17.17047619047619</v>
      </c>
      <c r="BP22" s="11"/>
      <c r="BQ22" s="11"/>
      <c r="BR22" s="11"/>
      <c r="BS22" s="11"/>
      <c r="BT22" s="40"/>
    </row>
    <row r="23" spans="1:72" ht="15.75">
      <c r="A23" s="18">
        <v>12</v>
      </c>
      <c r="B23" s="19" t="s">
        <v>36</v>
      </c>
      <c r="C23" s="7">
        <f>1/1.2515</f>
        <v>0.7990411506192568</v>
      </c>
      <c r="D23" s="20">
        <v>178.5</v>
      </c>
      <c r="E23" s="7"/>
      <c r="F23" s="7">
        <f>1/1.24976</f>
        <v>0.8001536294968634</v>
      </c>
      <c r="G23" s="20">
        <v>178.24</v>
      </c>
      <c r="H23" s="7"/>
      <c r="I23" s="7">
        <f>1/1.25073</f>
        <v>0.7995330726855517</v>
      </c>
      <c r="J23" s="20">
        <v>179.15</v>
      </c>
      <c r="K23" s="7"/>
      <c r="L23" s="7">
        <f>1/1.25073</f>
        <v>0.7995330726855517</v>
      </c>
      <c r="M23" s="20">
        <v>179.04</v>
      </c>
      <c r="N23" s="7"/>
      <c r="O23" s="7">
        <f>1/1.25155</f>
        <v>0.7990092285565898</v>
      </c>
      <c r="P23" s="20">
        <v>179.48</v>
      </c>
      <c r="Q23" s="7"/>
      <c r="R23" s="7">
        <f>1/1.25202</f>
        <v>0.7987092857941567</v>
      </c>
      <c r="S23" s="20">
        <v>180.14</v>
      </c>
      <c r="T23" s="7"/>
      <c r="U23" s="7">
        <f>1/1.25096</f>
        <v>0.7993860714970902</v>
      </c>
      <c r="V23" s="20">
        <v>179.27</v>
      </c>
      <c r="W23" s="7"/>
      <c r="X23" s="7">
        <f>1/1.25469</f>
        <v>0.7970096199061122</v>
      </c>
      <c r="Y23" s="20">
        <v>179.97</v>
      </c>
      <c r="Z23" s="7"/>
      <c r="AA23" s="7">
        <f>1/1.25224</f>
        <v>0.798568964415767</v>
      </c>
      <c r="AB23" s="20">
        <v>179.74</v>
      </c>
      <c r="AC23" s="7"/>
      <c r="AD23" s="7">
        <f>1/1.25233</f>
        <v>0.7985115744252713</v>
      </c>
      <c r="AE23" s="7">
        <v>180.2</v>
      </c>
      <c r="AF23" s="7"/>
      <c r="AG23" s="7">
        <f>1/1.25326</f>
        <v>0.797919027177122</v>
      </c>
      <c r="AH23" s="20">
        <v>180.77</v>
      </c>
      <c r="AI23" s="7"/>
      <c r="AJ23" s="7">
        <f>1/1.25285</f>
        <v>0.7981801492596879</v>
      </c>
      <c r="AK23" s="20">
        <v>181.19</v>
      </c>
      <c r="AL23" s="7"/>
      <c r="AM23" s="7">
        <f>1/1.258</f>
        <v>0.794912559618442</v>
      </c>
      <c r="AN23" s="20">
        <v>181.14</v>
      </c>
      <c r="AO23" s="7"/>
      <c r="AP23" s="7">
        <f>1/1.25839</f>
        <v>0.7946662004624958</v>
      </c>
      <c r="AQ23" s="20">
        <v>181.19</v>
      </c>
      <c r="AR23" s="7"/>
      <c r="AS23" s="7">
        <f>1/1.26009</f>
        <v>0.7935941083573396</v>
      </c>
      <c r="AT23" s="20">
        <v>182.45</v>
      </c>
      <c r="AU23" s="7"/>
      <c r="AV23" s="7">
        <f>1/1.25893</f>
        <v>0.7943253397726641</v>
      </c>
      <c r="AW23" s="20">
        <v>182.93</v>
      </c>
      <c r="AX23" s="7"/>
      <c r="AY23" s="7">
        <f>1/1.25863</f>
        <v>0.7945146707133948</v>
      </c>
      <c r="AZ23" s="20">
        <v>182.88</v>
      </c>
      <c r="BA23" s="7"/>
      <c r="BB23" s="7">
        <f>1/1.26012</f>
        <v>0.7935752150588833</v>
      </c>
      <c r="BC23" s="20">
        <v>182.54</v>
      </c>
      <c r="BD23" s="7"/>
      <c r="BE23" s="7">
        <f>1/1.26571</f>
        <v>0.7900703952722188</v>
      </c>
      <c r="BF23" s="20">
        <v>183.81</v>
      </c>
      <c r="BG23" s="7"/>
      <c r="BH23" s="22">
        <f>1/1.26543</f>
        <v>0.7902452130896217</v>
      </c>
      <c r="BI23" s="23">
        <v>183.46</v>
      </c>
      <c r="BJ23" s="7"/>
      <c r="BK23" s="22">
        <f>1/1.27005</f>
        <v>0.7873705759615763</v>
      </c>
      <c r="BL23" s="23">
        <v>184</v>
      </c>
      <c r="BM23" s="7"/>
      <c r="BN23" s="7">
        <f t="shared" si="0"/>
        <v>0.7961347202297931</v>
      </c>
      <c r="BO23" s="7">
        <f t="shared" si="1"/>
        <v>180.95666666666665</v>
      </c>
      <c r="BP23" s="11"/>
      <c r="BQ23" s="11"/>
      <c r="BR23" s="11"/>
      <c r="BS23" s="11"/>
      <c r="BT23" s="40"/>
    </row>
    <row r="24" spans="1:72" ht="16.5" thickBot="1">
      <c r="A24" s="26">
        <v>13</v>
      </c>
      <c r="B24" s="27" t="s">
        <v>38</v>
      </c>
      <c r="C24" s="28">
        <v>1</v>
      </c>
      <c r="D24" s="29">
        <v>142.63</v>
      </c>
      <c r="E24" s="28"/>
      <c r="F24" s="28">
        <v>1</v>
      </c>
      <c r="G24" s="29">
        <v>142.62</v>
      </c>
      <c r="H24" s="28"/>
      <c r="I24" s="28">
        <v>1</v>
      </c>
      <c r="J24" s="29">
        <v>143.24</v>
      </c>
      <c r="K24" s="28"/>
      <c r="L24" s="28">
        <v>1</v>
      </c>
      <c r="M24" s="29">
        <v>143.15</v>
      </c>
      <c r="N24" s="28"/>
      <c r="O24" s="28">
        <v>1</v>
      </c>
      <c r="P24" s="29">
        <v>143.4</v>
      </c>
      <c r="Q24" s="28"/>
      <c r="R24" s="28">
        <v>1</v>
      </c>
      <c r="S24" s="29">
        <v>143.88</v>
      </c>
      <c r="T24" s="28"/>
      <c r="U24" s="28">
        <v>1</v>
      </c>
      <c r="V24" s="29">
        <v>143.31</v>
      </c>
      <c r="W24" s="28"/>
      <c r="X24" s="28">
        <v>1</v>
      </c>
      <c r="Y24" s="29">
        <v>143.44</v>
      </c>
      <c r="Z24" s="28"/>
      <c r="AA24" s="28">
        <v>1</v>
      </c>
      <c r="AB24" s="29">
        <v>143.53</v>
      </c>
      <c r="AC24" s="28"/>
      <c r="AD24" s="28">
        <v>1</v>
      </c>
      <c r="AE24" s="28">
        <v>143.9</v>
      </c>
      <c r="AF24" s="28"/>
      <c r="AG24" s="28">
        <v>1</v>
      </c>
      <c r="AH24" s="29">
        <v>144.24</v>
      </c>
      <c r="AI24" s="28"/>
      <c r="AJ24" s="28">
        <v>1</v>
      </c>
      <c r="AK24" s="29">
        <v>144.62</v>
      </c>
      <c r="AL24" s="28"/>
      <c r="AM24" s="28">
        <v>1</v>
      </c>
      <c r="AN24" s="29">
        <v>143.99</v>
      </c>
      <c r="AO24" s="28"/>
      <c r="AP24" s="28">
        <v>1</v>
      </c>
      <c r="AQ24" s="29">
        <v>143.99</v>
      </c>
      <c r="AR24" s="28"/>
      <c r="AS24" s="28">
        <v>1</v>
      </c>
      <c r="AT24" s="29">
        <v>144.79</v>
      </c>
      <c r="AU24" s="28"/>
      <c r="AV24" s="28">
        <v>1</v>
      </c>
      <c r="AW24" s="29">
        <v>145.31</v>
      </c>
      <c r="AX24" s="28"/>
      <c r="AY24" s="28">
        <v>1</v>
      </c>
      <c r="AZ24" s="29">
        <v>145.3</v>
      </c>
      <c r="BA24" s="28"/>
      <c r="BB24" s="28">
        <v>1</v>
      </c>
      <c r="BC24" s="29">
        <v>144.86</v>
      </c>
      <c r="BD24" s="28"/>
      <c r="BE24" s="28">
        <v>1</v>
      </c>
      <c r="BF24" s="29">
        <v>145.22</v>
      </c>
      <c r="BG24" s="28"/>
      <c r="BH24" s="32">
        <v>1</v>
      </c>
      <c r="BI24" s="33">
        <v>144.98</v>
      </c>
      <c r="BJ24" s="28"/>
      <c r="BK24" s="32">
        <v>1</v>
      </c>
      <c r="BL24" s="33">
        <v>144.87</v>
      </c>
      <c r="BM24" s="31"/>
      <c r="BN24" s="31">
        <f t="shared" si="0"/>
        <v>1</v>
      </c>
      <c r="BO24" s="31">
        <f t="shared" si="1"/>
        <v>144.06047619047618</v>
      </c>
      <c r="BP24" s="11"/>
      <c r="BQ24" s="11"/>
      <c r="BR24" s="11"/>
      <c r="BS24" s="11"/>
      <c r="BT24" s="40"/>
    </row>
    <row r="25" spans="1:72" ht="15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7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H25" s="11"/>
      <c r="BI25" s="11"/>
      <c r="BJ25" s="11"/>
      <c r="BK25" s="11"/>
      <c r="BL25" s="11"/>
      <c r="BN25" s="35"/>
      <c r="BO25" s="35"/>
      <c r="BP25" s="43"/>
      <c r="BQ25" s="43"/>
      <c r="BR25" s="43"/>
      <c r="BS25" s="40"/>
      <c r="BT25" s="40"/>
    </row>
    <row r="26" ht="15.75">
      <c r="B26" s="36"/>
    </row>
    <row r="27" ht="15.75">
      <c r="B27" s="36"/>
    </row>
    <row r="28" ht="15.75">
      <c r="B28" s="36"/>
    </row>
    <row r="29" ht="15.75">
      <c r="B29" s="36"/>
    </row>
    <row r="30" ht="15.75">
      <c r="B30" s="36"/>
    </row>
    <row r="31" ht="15.75">
      <c r="B31" s="36"/>
    </row>
    <row r="32" ht="15.75">
      <c r="B32" s="36"/>
    </row>
  </sheetData>
  <sheetProtection/>
  <printOptions/>
  <pageMargins left="0.75" right="0.75" top="1" bottom="1" header="0.5" footer="0.5"/>
  <pageSetup fitToHeight="1" fitToWidth="1" horizontalDpi="300" verticalDpi="300" orientation="landscape" paperSize="9" r:id="rId1"/>
  <headerFooter alignWithMargins="0">
    <oddHeader>&amp;L&amp;"Times New Roman,Bold"&amp;12Sektori i Informacionit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2"/>
  <sheetViews>
    <sheetView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9" sqref="C9"/>
    </sheetView>
  </sheetViews>
  <sheetFormatPr defaultColWidth="9.140625" defaultRowHeight="12.75"/>
  <cols>
    <col min="1" max="1" width="4.28125" style="10" customWidth="1"/>
    <col min="2" max="2" width="34.00390625" style="10" bestFit="1" customWidth="1"/>
    <col min="3" max="3" width="10.421875" style="10" customWidth="1"/>
    <col min="4" max="4" width="10.7109375" style="10" customWidth="1"/>
    <col min="5" max="5" width="9.140625" style="10" customWidth="1"/>
    <col min="6" max="6" width="10.421875" style="10" customWidth="1"/>
    <col min="7" max="7" width="10.8515625" style="10" customWidth="1"/>
    <col min="8" max="8" width="9.140625" style="10" customWidth="1"/>
    <col min="9" max="9" width="10.421875" style="10" customWidth="1"/>
    <col min="10" max="10" width="11.00390625" style="10" customWidth="1"/>
    <col min="11" max="11" width="9.140625" style="10" customWidth="1"/>
    <col min="12" max="12" width="10.421875" style="10" customWidth="1"/>
    <col min="13" max="13" width="10.8515625" style="10" customWidth="1"/>
    <col min="14" max="14" width="9.140625" style="10" customWidth="1"/>
    <col min="15" max="15" width="10.421875" style="10" customWidth="1"/>
    <col min="16" max="16" width="10.8515625" style="10" customWidth="1"/>
    <col min="17" max="17" width="9.140625" style="10" customWidth="1"/>
    <col min="18" max="18" width="10.421875" style="10" customWidth="1"/>
    <col min="19" max="19" width="11.140625" style="10" customWidth="1"/>
    <col min="20" max="20" width="9.140625" style="10" customWidth="1"/>
    <col min="21" max="22" width="10.421875" style="10" customWidth="1"/>
    <col min="23" max="23" width="9.140625" style="10" customWidth="1"/>
    <col min="24" max="24" width="10.421875" style="10" customWidth="1"/>
    <col min="25" max="25" width="10.57421875" style="10" customWidth="1"/>
    <col min="26" max="26" width="9.140625" style="10" customWidth="1"/>
    <col min="27" max="27" width="10.421875" style="10" customWidth="1"/>
    <col min="28" max="28" width="10.28125" style="10" customWidth="1"/>
    <col min="29" max="29" width="9.140625" style="10" customWidth="1"/>
    <col min="30" max="30" width="10.421875" style="10" customWidth="1"/>
    <col min="31" max="31" width="11.28125" style="10" customWidth="1"/>
    <col min="32" max="32" width="9.140625" style="10" customWidth="1"/>
    <col min="33" max="33" width="10.421875" style="10" customWidth="1"/>
    <col min="34" max="34" width="10.140625" style="10" customWidth="1"/>
    <col min="35" max="35" width="9.140625" style="10" customWidth="1"/>
    <col min="36" max="36" width="10.421875" style="10" customWidth="1"/>
    <col min="37" max="37" width="10.7109375" style="10" customWidth="1"/>
    <col min="38" max="38" width="9.140625" style="10" customWidth="1"/>
    <col min="39" max="39" width="10.421875" style="10" customWidth="1"/>
    <col min="40" max="40" width="10.28125" style="10" customWidth="1"/>
    <col min="41" max="41" width="9.140625" style="10" customWidth="1"/>
    <col min="42" max="42" width="10.421875" style="10" customWidth="1"/>
    <col min="43" max="43" width="10.7109375" style="10" customWidth="1"/>
    <col min="44" max="44" width="9.140625" style="10" customWidth="1"/>
    <col min="45" max="45" width="10.421875" style="10" customWidth="1"/>
    <col min="46" max="46" width="10.140625" style="10" customWidth="1"/>
    <col min="47" max="47" width="9.140625" style="10" customWidth="1"/>
    <col min="48" max="48" width="10.421875" style="10" customWidth="1"/>
    <col min="49" max="49" width="10.140625" style="10" customWidth="1"/>
    <col min="50" max="50" width="9.140625" style="10" customWidth="1"/>
    <col min="51" max="51" width="10.421875" style="10" customWidth="1"/>
    <col min="52" max="52" width="10.28125" style="10" customWidth="1"/>
    <col min="53" max="53" width="9.140625" style="10" customWidth="1"/>
    <col min="54" max="54" width="10.421875" style="10" customWidth="1"/>
    <col min="55" max="55" width="10.140625" style="10" customWidth="1"/>
    <col min="56" max="56" width="9.140625" style="10" customWidth="1"/>
    <col min="57" max="57" width="10.421875" style="10" customWidth="1"/>
    <col min="58" max="58" width="10.28125" style="10" customWidth="1"/>
    <col min="59" max="59" width="9.140625" style="10" customWidth="1"/>
    <col min="60" max="60" width="9.8515625" style="10" customWidth="1"/>
    <col min="61" max="61" width="10.421875" style="10" customWidth="1"/>
    <col min="62" max="62" width="9.140625" style="10" customWidth="1"/>
    <col min="63" max="63" width="11.57421875" style="10" customWidth="1"/>
    <col min="64" max="64" width="11.8515625" style="10" customWidth="1"/>
    <col min="65" max="65" width="9.140625" style="10" customWidth="1"/>
    <col min="66" max="66" width="10.421875" style="10" bestFit="1" customWidth="1"/>
    <col min="67" max="67" width="13.00390625" style="10" customWidth="1"/>
    <col min="68" max="16384" width="9.140625" style="10" customWidth="1"/>
  </cols>
  <sheetData>
    <row r="1" spans="1:66" ht="15.75">
      <c r="A1" s="6"/>
      <c r="B1" s="4" t="s">
        <v>84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8" t="s">
        <v>1</v>
      </c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9"/>
      <c r="BI1" s="9"/>
      <c r="BJ1" s="9"/>
      <c r="BK1" s="9"/>
      <c r="BL1" s="9"/>
      <c r="BM1" s="9"/>
      <c r="BN1" s="9"/>
    </row>
    <row r="2" spans="1:66" ht="15.75">
      <c r="A2" s="7"/>
      <c r="B2" s="5" t="s">
        <v>126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11"/>
      <c r="BI2" s="11"/>
      <c r="BJ2" s="11"/>
      <c r="BK2" s="11"/>
      <c r="BL2" s="11"/>
      <c r="BM2" s="11"/>
      <c r="BN2" s="11"/>
    </row>
    <row r="3" spans="1:72" ht="15.75">
      <c r="A3" s="8" t="s">
        <v>2</v>
      </c>
      <c r="B3" s="7"/>
      <c r="C3" s="6" t="s">
        <v>127</v>
      </c>
      <c r="D3" s="12"/>
      <c r="E3" s="12"/>
      <c r="F3" s="6" t="s">
        <v>128</v>
      </c>
      <c r="G3" s="12"/>
      <c r="H3" s="12"/>
      <c r="I3" s="6" t="s">
        <v>129</v>
      </c>
      <c r="J3" s="12"/>
      <c r="K3" s="12"/>
      <c r="L3" s="6" t="s">
        <v>130</v>
      </c>
      <c r="M3" s="12"/>
      <c r="N3" s="12"/>
      <c r="O3" s="6" t="s">
        <v>131</v>
      </c>
      <c r="P3" s="12"/>
      <c r="Q3" s="12"/>
      <c r="R3" s="6" t="s">
        <v>132</v>
      </c>
      <c r="S3" s="12"/>
      <c r="T3" s="12"/>
      <c r="U3" s="6" t="s">
        <v>133</v>
      </c>
      <c r="V3" s="12"/>
      <c r="W3" s="12"/>
      <c r="X3" s="6" t="s">
        <v>134</v>
      </c>
      <c r="Y3" s="12"/>
      <c r="Z3" s="12"/>
      <c r="AA3" s="6" t="s">
        <v>135</v>
      </c>
      <c r="AB3" s="12"/>
      <c r="AC3" s="12"/>
      <c r="AD3" s="6" t="s">
        <v>136</v>
      </c>
      <c r="AE3" s="12"/>
      <c r="AF3" s="12"/>
      <c r="AG3" s="6" t="s">
        <v>137</v>
      </c>
      <c r="AH3" s="12"/>
      <c r="AI3" s="12"/>
      <c r="AJ3" s="6" t="s">
        <v>138</v>
      </c>
      <c r="AK3" s="12"/>
      <c r="AL3" s="12"/>
      <c r="AM3" s="6" t="s">
        <v>139</v>
      </c>
      <c r="AN3" s="12"/>
      <c r="AO3" s="12"/>
      <c r="AP3" s="6" t="s">
        <v>140</v>
      </c>
      <c r="AQ3" s="12"/>
      <c r="AR3" s="12"/>
      <c r="AS3" s="6" t="s">
        <v>141</v>
      </c>
      <c r="AT3" s="12"/>
      <c r="AU3" s="12"/>
      <c r="AV3" s="6" t="s">
        <v>142</v>
      </c>
      <c r="AW3" s="12"/>
      <c r="AX3" s="12"/>
      <c r="AY3" s="6" t="s">
        <v>143</v>
      </c>
      <c r="AZ3" s="12"/>
      <c r="BA3" s="12"/>
      <c r="BB3" s="6" t="s">
        <v>144</v>
      </c>
      <c r="BC3" s="12"/>
      <c r="BD3" s="12"/>
      <c r="BE3" s="6" t="s">
        <v>145</v>
      </c>
      <c r="BF3" s="12"/>
      <c r="BG3" s="12"/>
      <c r="BH3" s="6" t="s">
        <v>146</v>
      </c>
      <c r="BI3" s="12"/>
      <c r="BJ3" s="12"/>
      <c r="BK3" s="6" t="s">
        <v>147</v>
      </c>
      <c r="BL3" s="12"/>
      <c r="BM3" s="12"/>
      <c r="BN3" s="6" t="s">
        <v>40</v>
      </c>
      <c r="BO3" s="39"/>
      <c r="BP3" s="39"/>
      <c r="BQ3" s="38"/>
      <c r="BR3" s="37"/>
      <c r="BS3" s="39"/>
      <c r="BT3" s="40"/>
    </row>
    <row r="4" spans="1:72" ht="16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39"/>
      <c r="BQ4" s="39"/>
      <c r="BR4" s="39"/>
      <c r="BS4" s="39"/>
      <c r="BT4" s="40"/>
    </row>
    <row r="5" spans="1:72" ht="16.5" thickTop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1"/>
      <c r="BQ5" s="11"/>
      <c r="BR5" s="11"/>
      <c r="BS5" s="11"/>
      <c r="BT5" s="40"/>
    </row>
    <row r="6" spans="1:72" ht="15.75">
      <c r="A6" s="12"/>
      <c r="B6" s="7"/>
      <c r="C6" s="14" t="s">
        <v>4</v>
      </c>
      <c r="D6" s="14" t="s">
        <v>4</v>
      </c>
      <c r="E6" s="14"/>
      <c r="F6" s="14" t="s">
        <v>4</v>
      </c>
      <c r="G6" s="14" t="s">
        <v>4</v>
      </c>
      <c r="H6" s="14"/>
      <c r="I6" s="14" t="s">
        <v>4</v>
      </c>
      <c r="J6" s="14" t="s">
        <v>4</v>
      </c>
      <c r="K6" s="14"/>
      <c r="L6" s="14" t="s">
        <v>4</v>
      </c>
      <c r="M6" s="14" t="s">
        <v>4</v>
      </c>
      <c r="N6" s="14"/>
      <c r="O6" s="14" t="s">
        <v>4</v>
      </c>
      <c r="P6" s="14" t="s">
        <v>4</v>
      </c>
      <c r="Q6" s="14"/>
      <c r="R6" s="14" t="s">
        <v>4</v>
      </c>
      <c r="S6" s="14" t="s">
        <v>4</v>
      </c>
      <c r="T6" s="14"/>
      <c r="U6" s="14" t="s">
        <v>4</v>
      </c>
      <c r="V6" s="14" t="s">
        <v>4</v>
      </c>
      <c r="W6" s="14"/>
      <c r="X6" s="14" t="s">
        <v>4</v>
      </c>
      <c r="Y6" s="14" t="s">
        <v>4</v>
      </c>
      <c r="Z6" s="14"/>
      <c r="AA6" s="14" t="s">
        <v>4</v>
      </c>
      <c r="AB6" s="14" t="s">
        <v>4</v>
      </c>
      <c r="AC6" s="14"/>
      <c r="AD6" s="14" t="s">
        <v>4</v>
      </c>
      <c r="AE6" s="14" t="s">
        <v>4</v>
      </c>
      <c r="AF6" s="14"/>
      <c r="AG6" s="14" t="s">
        <v>4</v>
      </c>
      <c r="AH6" s="14" t="s">
        <v>4</v>
      </c>
      <c r="AI6" s="14"/>
      <c r="AJ6" s="14" t="s">
        <v>4</v>
      </c>
      <c r="AK6" s="14" t="s">
        <v>4</v>
      </c>
      <c r="AL6" s="14"/>
      <c r="AM6" s="14" t="s">
        <v>4</v>
      </c>
      <c r="AN6" s="14" t="s">
        <v>4</v>
      </c>
      <c r="AO6" s="14"/>
      <c r="AP6" s="14" t="s">
        <v>4</v>
      </c>
      <c r="AQ6" s="14" t="s">
        <v>4</v>
      </c>
      <c r="AR6" s="14"/>
      <c r="AS6" s="14" t="s">
        <v>4</v>
      </c>
      <c r="AT6" s="14" t="s">
        <v>4</v>
      </c>
      <c r="AU6" s="14"/>
      <c r="AV6" s="14" t="s">
        <v>4</v>
      </c>
      <c r="AW6" s="14" t="s">
        <v>4</v>
      </c>
      <c r="AX6" s="14"/>
      <c r="AY6" s="14" t="s">
        <v>4</v>
      </c>
      <c r="AZ6" s="14" t="s">
        <v>4</v>
      </c>
      <c r="BA6" s="14"/>
      <c r="BB6" s="14" t="s">
        <v>4</v>
      </c>
      <c r="BC6" s="14" t="s">
        <v>4</v>
      </c>
      <c r="BD6" s="14"/>
      <c r="BE6" s="14" t="s">
        <v>4</v>
      </c>
      <c r="BF6" s="14" t="s">
        <v>4</v>
      </c>
      <c r="BG6" s="14"/>
      <c r="BH6" s="14" t="s">
        <v>4</v>
      </c>
      <c r="BI6" s="14" t="s">
        <v>4</v>
      </c>
      <c r="BJ6" s="14"/>
      <c r="BK6" s="14" t="s">
        <v>4</v>
      </c>
      <c r="BL6" s="14" t="s">
        <v>4</v>
      </c>
      <c r="BM6" s="14"/>
      <c r="BN6" s="14" t="s">
        <v>4</v>
      </c>
      <c r="BO6" s="14" t="s">
        <v>4</v>
      </c>
      <c r="BP6" s="41"/>
      <c r="BQ6" s="41"/>
      <c r="BR6" s="41"/>
      <c r="BS6" s="41"/>
      <c r="BT6" s="40"/>
    </row>
    <row r="7" spans="1:72" ht="15.75">
      <c r="A7" s="7"/>
      <c r="B7" s="15" t="s">
        <v>6</v>
      </c>
      <c r="C7" s="14" t="s">
        <v>7</v>
      </c>
      <c r="D7" s="14" t="s">
        <v>7</v>
      </c>
      <c r="E7" s="14"/>
      <c r="F7" s="14" t="s">
        <v>7</v>
      </c>
      <c r="G7" s="14" t="s">
        <v>7</v>
      </c>
      <c r="H7" s="14"/>
      <c r="I7" s="14" t="s">
        <v>7</v>
      </c>
      <c r="J7" s="14" t="s">
        <v>7</v>
      </c>
      <c r="K7" s="14"/>
      <c r="L7" s="14" t="s">
        <v>7</v>
      </c>
      <c r="M7" s="14" t="s">
        <v>7</v>
      </c>
      <c r="N7" s="14"/>
      <c r="O7" s="14" t="s">
        <v>7</v>
      </c>
      <c r="P7" s="14" t="s">
        <v>7</v>
      </c>
      <c r="Q7" s="14"/>
      <c r="R7" s="14" t="s">
        <v>7</v>
      </c>
      <c r="S7" s="14" t="s">
        <v>7</v>
      </c>
      <c r="T7" s="14"/>
      <c r="U7" s="14" t="s">
        <v>7</v>
      </c>
      <c r="V7" s="14" t="s">
        <v>7</v>
      </c>
      <c r="W7" s="14"/>
      <c r="X7" s="14" t="s">
        <v>7</v>
      </c>
      <c r="Y7" s="14" t="s">
        <v>7</v>
      </c>
      <c r="Z7" s="14"/>
      <c r="AA7" s="14" t="s">
        <v>7</v>
      </c>
      <c r="AB7" s="14" t="s">
        <v>7</v>
      </c>
      <c r="AC7" s="14"/>
      <c r="AD7" s="14" t="s">
        <v>7</v>
      </c>
      <c r="AE7" s="14" t="s">
        <v>7</v>
      </c>
      <c r="AF7" s="14"/>
      <c r="AG7" s="14" t="s">
        <v>7</v>
      </c>
      <c r="AH7" s="14" t="s">
        <v>7</v>
      </c>
      <c r="AI7" s="14"/>
      <c r="AJ7" s="14" t="s">
        <v>7</v>
      </c>
      <c r="AK7" s="14" t="s">
        <v>7</v>
      </c>
      <c r="AL7" s="14"/>
      <c r="AM7" s="14" t="s">
        <v>7</v>
      </c>
      <c r="AN7" s="14" t="s">
        <v>7</v>
      </c>
      <c r="AO7" s="14"/>
      <c r="AP7" s="14" t="s">
        <v>7</v>
      </c>
      <c r="AQ7" s="14" t="s">
        <v>7</v>
      </c>
      <c r="AR7" s="14"/>
      <c r="AS7" s="14" t="s">
        <v>7</v>
      </c>
      <c r="AT7" s="14" t="s">
        <v>7</v>
      </c>
      <c r="AU7" s="14"/>
      <c r="AV7" s="14" t="s">
        <v>7</v>
      </c>
      <c r="AW7" s="14" t="s">
        <v>7</v>
      </c>
      <c r="AX7" s="14"/>
      <c r="AY7" s="14" t="s">
        <v>7</v>
      </c>
      <c r="AZ7" s="14" t="s">
        <v>7</v>
      </c>
      <c r="BA7" s="14"/>
      <c r="BB7" s="14" t="s">
        <v>7</v>
      </c>
      <c r="BC7" s="14" t="s">
        <v>7</v>
      </c>
      <c r="BD7" s="14"/>
      <c r="BE7" s="14" t="s">
        <v>7</v>
      </c>
      <c r="BF7" s="14" t="s">
        <v>7</v>
      </c>
      <c r="BG7" s="14"/>
      <c r="BH7" s="14" t="s">
        <v>7</v>
      </c>
      <c r="BI7" s="14" t="s">
        <v>7</v>
      </c>
      <c r="BJ7" s="14"/>
      <c r="BK7" s="14" t="s">
        <v>7</v>
      </c>
      <c r="BL7" s="14" t="s">
        <v>7</v>
      </c>
      <c r="BM7" s="14"/>
      <c r="BN7" s="14" t="s">
        <v>7</v>
      </c>
      <c r="BO7" s="14" t="s">
        <v>7</v>
      </c>
      <c r="BP7" s="41"/>
      <c r="BQ7" s="41"/>
      <c r="BR7" s="41"/>
      <c r="BS7" s="41"/>
      <c r="BT7" s="40"/>
    </row>
    <row r="8" spans="1:72" ht="15.75">
      <c r="A8" s="7"/>
      <c r="B8" s="7"/>
      <c r="C8" s="14" t="s">
        <v>11</v>
      </c>
      <c r="D8" s="14" t="s">
        <v>10</v>
      </c>
      <c r="E8" s="14"/>
      <c r="F8" s="14" t="s">
        <v>11</v>
      </c>
      <c r="G8" s="14" t="s">
        <v>10</v>
      </c>
      <c r="H8" s="14"/>
      <c r="I8" s="14" t="s">
        <v>11</v>
      </c>
      <c r="J8" s="14" t="s">
        <v>10</v>
      </c>
      <c r="K8" s="14"/>
      <c r="L8" s="14" t="s">
        <v>11</v>
      </c>
      <c r="M8" s="14" t="s">
        <v>10</v>
      </c>
      <c r="N8" s="14"/>
      <c r="O8" s="14" t="s">
        <v>11</v>
      </c>
      <c r="P8" s="14" t="s">
        <v>10</v>
      </c>
      <c r="Q8" s="14"/>
      <c r="R8" s="14" t="s">
        <v>11</v>
      </c>
      <c r="S8" s="14" t="s">
        <v>10</v>
      </c>
      <c r="T8" s="14"/>
      <c r="U8" s="14" t="s">
        <v>11</v>
      </c>
      <c r="V8" s="14" t="s">
        <v>10</v>
      </c>
      <c r="W8" s="14"/>
      <c r="X8" s="14" t="s">
        <v>11</v>
      </c>
      <c r="Y8" s="14" t="s">
        <v>10</v>
      </c>
      <c r="Z8" s="14"/>
      <c r="AA8" s="14" t="s">
        <v>11</v>
      </c>
      <c r="AB8" s="14" t="s">
        <v>10</v>
      </c>
      <c r="AC8" s="14"/>
      <c r="AD8" s="14" t="s">
        <v>11</v>
      </c>
      <c r="AE8" s="14" t="s">
        <v>10</v>
      </c>
      <c r="AF8" s="14"/>
      <c r="AG8" s="14" t="s">
        <v>11</v>
      </c>
      <c r="AH8" s="14" t="s">
        <v>10</v>
      </c>
      <c r="AI8" s="14"/>
      <c r="AJ8" s="14" t="s">
        <v>11</v>
      </c>
      <c r="AK8" s="14" t="s">
        <v>10</v>
      </c>
      <c r="AL8" s="14"/>
      <c r="AM8" s="14" t="s">
        <v>11</v>
      </c>
      <c r="AN8" s="14" t="s">
        <v>10</v>
      </c>
      <c r="AO8" s="14"/>
      <c r="AP8" s="14" t="s">
        <v>11</v>
      </c>
      <c r="AQ8" s="14" t="s">
        <v>10</v>
      </c>
      <c r="AR8" s="14"/>
      <c r="AS8" s="14" t="s">
        <v>11</v>
      </c>
      <c r="AT8" s="14" t="s">
        <v>10</v>
      </c>
      <c r="AU8" s="14"/>
      <c r="AV8" s="14" t="s">
        <v>11</v>
      </c>
      <c r="AW8" s="14" t="s">
        <v>10</v>
      </c>
      <c r="AX8" s="14"/>
      <c r="AY8" s="14" t="s">
        <v>11</v>
      </c>
      <c r="AZ8" s="14" t="s">
        <v>10</v>
      </c>
      <c r="BA8" s="14"/>
      <c r="BB8" s="14" t="s">
        <v>11</v>
      </c>
      <c r="BC8" s="14" t="s">
        <v>10</v>
      </c>
      <c r="BD8" s="14"/>
      <c r="BE8" s="14" t="s">
        <v>11</v>
      </c>
      <c r="BF8" s="14" t="s">
        <v>10</v>
      </c>
      <c r="BG8" s="14"/>
      <c r="BH8" s="14" t="s">
        <v>11</v>
      </c>
      <c r="BI8" s="14" t="s">
        <v>10</v>
      </c>
      <c r="BJ8" s="14"/>
      <c r="BK8" s="14" t="s">
        <v>11</v>
      </c>
      <c r="BL8" s="14" t="s">
        <v>10</v>
      </c>
      <c r="BM8" s="14"/>
      <c r="BN8" s="14" t="s">
        <v>11</v>
      </c>
      <c r="BO8" s="14" t="s">
        <v>10</v>
      </c>
      <c r="BP8" s="41"/>
      <c r="BQ8" s="41"/>
      <c r="BR8" s="41"/>
      <c r="BS8" s="41"/>
      <c r="BT8" s="40"/>
    </row>
    <row r="9" spans="1:72" ht="15.75">
      <c r="A9" s="7"/>
      <c r="B9" s="7"/>
      <c r="C9" s="7"/>
      <c r="D9" s="14" t="s">
        <v>14</v>
      </c>
      <c r="E9" s="7"/>
      <c r="F9" s="7"/>
      <c r="G9" s="14" t="s">
        <v>14</v>
      </c>
      <c r="H9" s="7"/>
      <c r="I9" s="7"/>
      <c r="J9" s="14" t="s">
        <v>14</v>
      </c>
      <c r="K9" s="7"/>
      <c r="L9" s="7"/>
      <c r="M9" s="14" t="s">
        <v>14</v>
      </c>
      <c r="N9" s="7"/>
      <c r="O9" s="7"/>
      <c r="P9" s="14" t="s">
        <v>14</v>
      </c>
      <c r="Q9" s="7"/>
      <c r="R9" s="7"/>
      <c r="S9" s="14" t="s">
        <v>14</v>
      </c>
      <c r="T9" s="7"/>
      <c r="U9" s="7"/>
      <c r="V9" s="14" t="s">
        <v>14</v>
      </c>
      <c r="W9" s="8" t="s">
        <v>15</v>
      </c>
      <c r="X9" s="7"/>
      <c r="Y9" s="14" t="s">
        <v>14</v>
      </c>
      <c r="Z9" s="8" t="s">
        <v>15</v>
      </c>
      <c r="AA9" s="7"/>
      <c r="AB9" s="14" t="s">
        <v>14</v>
      </c>
      <c r="AC9" s="7"/>
      <c r="AD9" s="7"/>
      <c r="AE9" s="14" t="s">
        <v>14</v>
      </c>
      <c r="AF9" s="7"/>
      <c r="AG9" s="7"/>
      <c r="AH9" s="14" t="s">
        <v>14</v>
      </c>
      <c r="AI9" s="7"/>
      <c r="AJ9" s="7"/>
      <c r="AK9" s="14" t="s">
        <v>14</v>
      </c>
      <c r="AL9" s="7"/>
      <c r="AM9" s="7"/>
      <c r="AN9" s="14" t="s">
        <v>14</v>
      </c>
      <c r="AO9" s="7"/>
      <c r="AP9" s="7"/>
      <c r="AQ9" s="14" t="s">
        <v>14</v>
      </c>
      <c r="AR9" s="7"/>
      <c r="AS9" s="7"/>
      <c r="AT9" s="14" t="s">
        <v>14</v>
      </c>
      <c r="AU9" s="7"/>
      <c r="AV9" s="7"/>
      <c r="AW9" s="14" t="s">
        <v>14</v>
      </c>
      <c r="AX9" s="7"/>
      <c r="AY9" s="7"/>
      <c r="AZ9" s="14" t="s">
        <v>14</v>
      </c>
      <c r="BA9" s="7"/>
      <c r="BB9" s="7"/>
      <c r="BC9" s="14" t="s">
        <v>14</v>
      </c>
      <c r="BD9" s="7"/>
      <c r="BE9" s="7"/>
      <c r="BF9" s="14" t="s">
        <v>14</v>
      </c>
      <c r="BG9" s="7"/>
      <c r="BH9" s="7"/>
      <c r="BI9" s="14" t="s">
        <v>14</v>
      </c>
      <c r="BJ9" s="7"/>
      <c r="BK9" s="7"/>
      <c r="BL9" s="14" t="s">
        <v>14</v>
      </c>
      <c r="BM9" s="7"/>
      <c r="BN9" s="7"/>
      <c r="BO9" s="14" t="s">
        <v>14</v>
      </c>
      <c r="BP9" s="41"/>
      <c r="BQ9" s="41"/>
      <c r="BR9" s="41"/>
      <c r="BS9" s="11"/>
      <c r="BT9" s="40"/>
    </row>
    <row r="10" spans="1:72" ht="16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11"/>
      <c r="BQ10" s="11"/>
      <c r="BR10" s="41"/>
      <c r="BS10" s="11"/>
      <c r="BT10" s="40"/>
    </row>
    <row r="11" spans="1:72" ht="16.5" thickTop="1">
      <c r="A11" s="16" t="s">
        <v>2</v>
      </c>
      <c r="B11" s="13"/>
      <c r="C11" s="17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1"/>
      <c r="BQ11" s="11"/>
      <c r="BR11" s="11"/>
      <c r="BS11" s="11"/>
      <c r="BT11" s="40"/>
    </row>
    <row r="12" spans="1:72" ht="15.75">
      <c r="A12" s="18">
        <v>1</v>
      </c>
      <c r="B12" s="19" t="s">
        <v>17</v>
      </c>
      <c r="C12" s="7">
        <v>127.24</v>
      </c>
      <c r="D12" s="20">
        <v>113.8</v>
      </c>
      <c r="E12" s="7"/>
      <c r="F12" s="7">
        <v>127.36</v>
      </c>
      <c r="G12" s="20">
        <v>113.68</v>
      </c>
      <c r="H12" s="7"/>
      <c r="I12" s="7">
        <v>127.65</v>
      </c>
      <c r="J12" s="20">
        <v>112.54</v>
      </c>
      <c r="K12" s="7"/>
      <c r="L12" s="7">
        <v>128.72</v>
      </c>
      <c r="M12" s="20">
        <v>111.77</v>
      </c>
      <c r="N12" s="7"/>
      <c r="O12" s="7">
        <v>128.85</v>
      </c>
      <c r="P12" s="20">
        <v>112.12</v>
      </c>
      <c r="Q12" s="7"/>
      <c r="R12" s="7">
        <v>127.85</v>
      </c>
      <c r="S12" s="20">
        <v>112.72</v>
      </c>
      <c r="T12" s="7"/>
      <c r="U12" s="7">
        <v>127.46</v>
      </c>
      <c r="V12" s="20">
        <v>113.08</v>
      </c>
      <c r="W12" s="7"/>
      <c r="X12" s="7">
        <v>128.24</v>
      </c>
      <c r="Y12" s="20">
        <v>112.98</v>
      </c>
      <c r="Z12" s="7"/>
      <c r="AA12" s="7">
        <v>128.14</v>
      </c>
      <c r="AB12" s="20">
        <v>113.26</v>
      </c>
      <c r="AC12" s="7"/>
      <c r="AD12" s="7">
        <v>127.59</v>
      </c>
      <c r="AE12" s="7">
        <v>113.46</v>
      </c>
      <c r="AF12" s="7"/>
      <c r="AG12" s="7">
        <v>127.24</v>
      </c>
      <c r="AH12" s="20">
        <v>113.67</v>
      </c>
      <c r="AI12" s="7"/>
      <c r="AJ12" s="7">
        <v>125.66</v>
      </c>
      <c r="AK12" s="20">
        <v>115.04</v>
      </c>
      <c r="AL12" s="7"/>
      <c r="AM12" s="7">
        <v>125.63</v>
      </c>
      <c r="AN12" s="20">
        <v>115.18</v>
      </c>
      <c r="AO12" s="7"/>
      <c r="AP12" s="7">
        <v>124.66</v>
      </c>
      <c r="AQ12" s="20">
        <v>115.86</v>
      </c>
      <c r="AR12" s="7"/>
      <c r="AS12" s="7">
        <v>124.86</v>
      </c>
      <c r="AT12" s="20">
        <v>115.73</v>
      </c>
      <c r="AU12" s="7"/>
      <c r="AV12" s="7">
        <v>125.18</v>
      </c>
      <c r="AW12" s="20">
        <v>115.66</v>
      </c>
      <c r="AX12" s="7"/>
      <c r="AY12" s="7">
        <v>124.86</v>
      </c>
      <c r="AZ12" s="20">
        <v>116.4</v>
      </c>
      <c r="BA12" s="7"/>
      <c r="BB12" s="7">
        <v>124.52</v>
      </c>
      <c r="BC12" s="20">
        <v>117.28</v>
      </c>
      <c r="BD12" s="7"/>
      <c r="BE12" s="7">
        <v>124.38</v>
      </c>
      <c r="BF12" s="20">
        <v>117.86</v>
      </c>
      <c r="BG12" s="7"/>
      <c r="BH12" s="22">
        <v>124</v>
      </c>
      <c r="BI12" s="23">
        <v>118.32</v>
      </c>
      <c r="BJ12" s="7"/>
      <c r="BK12" s="22">
        <v>124</v>
      </c>
      <c r="BL12" s="23">
        <v>117.8</v>
      </c>
      <c r="BM12" s="7"/>
      <c r="BN12" s="7">
        <f aca="true" t="shared" si="0" ref="BN12:BN24">(+C12+F12+I12+L12+O12+R12+U12+X12+AA12+AD12+AG12+AJ12+AM12+AP12+AS12+AV12+AY12+BB12+BE12+BH12+BK12)/21</f>
        <v>126.38523809523811</v>
      </c>
      <c r="BO12" s="7">
        <f aca="true" t="shared" si="1" ref="BO12:BO24">(+D12+G12+J12+M12+P12+S12+V12+Y12+AB12+AE12+AH12+AK12+AN12+AQ12+AT12+AW12+AZ12+BC12+BF12+BI12+BL12)/21</f>
        <v>114.6766666666667</v>
      </c>
      <c r="BP12" s="11"/>
      <c r="BQ12" s="11"/>
      <c r="BR12" s="11"/>
      <c r="BS12" s="11"/>
      <c r="BT12" s="40"/>
    </row>
    <row r="13" spans="1:72" ht="15.75">
      <c r="A13" s="18">
        <v>2</v>
      </c>
      <c r="B13" s="19" t="s">
        <v>18</v>
      </c>
      <c r="C13" s="7">
        <f>1/1.4652</f>
        <v>0.6825006825006825</v>
      </c>
      <c r="D13" s="20">
        <v>212.16</v>
      </c>
      <c r="E13" s="7"/>
      <c r="F13" s="7">
        <f>1/1.463</f>
        <v>0.683526999316473</v>
      </c>
      <c r="G13" s="20">
        <v>211.81</v>
      </c>
      <c r="H13" s="7"/>
      <c r="I13" s="7">
        <f>1/1.4665</f>
        <v>0.6818956699624957</v>
      </c>
      <c r="J13" s="20">
        <v>210.68</v>
      </c>
      <c r="K13" s="7"/>
      <c r="L13" s="7">
        <f>1/1.4625</f>
        <v>0.6837606837606838</v>
      </c>
      <c r="M13" s="20">
        <v>210.4</v>
      </c>
      <c r="N13" s="7"/>
      <c r="O13" s="7">
        <f>1/1.4569</f>
        <v>0.6863889079552474</v>
      </c>
      <c r="P13" s="20">
        <v>210.47</v>
      </c>
      <c r="Q13" s="7"/>
      <c r="R13" s="7">
        <f>1/1.4618</f>
        <v>0.6840881105486387</v>
      </c>
      <c r="S13" s="20">
        <v>210.66</v>
      </c>
      <c r="T13" s="7"/>
      <c r="U13" s="7">
        <f>1/1.4628</f>
        <v>0.6836204539239814</v>
      </c>
      <c r="V13" s="20">
        <v>210.84</v>
      </c>
      <c r="W13" s="7"/>
      <c r="X13" s="7">
        <f>1/1.4518</f>
        <v>0.6888001102080177</v>
      </c>
      <c r="Y13" s="20">
        <v>210.35</v>
      </c>
      <c r="Z13" s="7"/>
      <c r="AA13" s="7">
        <f>1/1.4482</f>
        <v>0.6905123601712471</v>
      </c>
      <c r="AB13" s="20">
        <v>210.19</v>
      </c>
      <c r="AC13" s="7"/>
      <c r="AD13" s="7">
        <f>1/1.4572</f>
        <v>0.6862475981334065</v>
      </c>
      <c r="AE13" s="7">
        <v>210.95</v>
      </c>
      <c r="AF13" s="7"/>
      <c r="AG13" s="7">
        <f>1/1.4572</f>
        <v>0.6862475981334065</v>
      </c>
      <c r="AH13" s="20">
        <v>210.76</v>
      </c>
      <c r="AI13" s="7"/>
      <c r="AJ13" s="7">
        <f>1/1.4611</f>
        <v>0.6844158510711108</v>
      </c>
      <c r="AK13" s="20">
        <v>211.22</v>
      </c>
      <c r="AL13" s="7"/>
      <c r="AM13" s="7">
        <f>1/1.4574</f>
        <v>0.6861534239055853</v>
      </c>
      <c r="AN13" s="20">
        <v>210.88</v>
      </c>
      <c r="AO13" s="7"/>
      <c r="AP13" s="7">
        <f>1/1.4612</f>
        <v>0.684369011771147</v>
      </c>
      <c r="AQ13" s="20">
        <v>211.04</v>
      </c>
      <c r="AR13" s="7"/>
      <c r="AS13" s="7">
        <f>1/1.4594</f>
        <v>0.6852131012744963</v>
      </c>
      <c r="AT13" s="20">
        <v>210.88</v>
      </c>
      <c r="AU13" s="7"/>
      <c r="AV13" s="7">
        <f>1/1.4516</f>
        <v>0.6888950124001102</v>
      </c>
      <c r="AW13" s="20">
        <v>210.17</v>
      </c>
      <c r="AX13" s="7"/>
      <c r="AY13" s="7">
        <f>1/1.4556</f>
        <v>0.6870019236053861</v>
      </c>
      <c r="AZ13" s="20">
        <v>211.55</v>
      </c>
      <c r="BA13" s="7"/>
      <c r="BB13" s="7">
        <f>1/1.4596</f>
        <v>0.6851192107426692</v>
      </c>
      <c r="BC13" s="20">
        <v>213.15</v>
      </c>
      <c r="BD13" s="7"/>
      <c r="BE13" s="7">
        <f>1/1.4608</f>
        <v>0.6845564074479736</v>
      </c>
      <c r="BF13" s="20">
        <v>214.15</v>
      </c>
      <c r="BG13" s="7"/>
      <c r="BH13" s="22">
        <f>1/1.4657</f>
        <v>0.6822678583611926</v>
      </c>
      <c r="BI13" s="23">
        <v>215.05</v>
      </c>
      <c r="BJ13" s="7"/>
      <c r="BK13" s="22">
        <f>1/1.4658</f>
        <v>0.6822213125938055</v>
      </c>
      <c r="BL13" s="23">
        <v>214.12</v>
      </c>
      <c r="BM13" s="7"/>
      <c r="BN13" s="7">
        <f t="shared" si="0"/>
        <v>0.6851334422756074</v>
      </c>
      <c r="BO13" s="7">
        <f t="shared" si="1"/>
        <v>211.4990476190476</v>
      </c>
      <c r="BP13" s="11"/>
      <c r="BQ13" s="11"/>
      <c r="BR13" s="11"/>
      <c r="BS13" s="11"/>
      <c r="BT13" s="40"/>
    </row>
    <row r="14" spans="1:72" ht="15.75">
      <c r="A14" s="18">
        <v>3</v>
      </c>
      <c r="B14" s="19" t="s">
        <v>19</v>
      </c>
      <c r="C14" s="7">
        <v>1.6105</v>
      </c>
      <c r="D14" s="20">
        <v>89.91</v>
      </c>
      <c r="E14" s="7"/>
      <c r="F14" s="7">
        <v>1.6058</v>
      </c>
      <c r="G14" s="20">
        <v>90.16</v>
      </c>
      <c r="H14" s="7"/>
      <c r="I14" s="7">
        <v>1.5921</v>
      </c>
      <c r="J14" s="20">
        <v>90.23</v>
      </c>
      <c r="K14" s="7"/>
      <c r="L14" s="7">
        <v>1.5983</v>
      </c>
      <c r="M14" s="20">
        <v>90.01</v>
      </c>
      <c r="N14" s="7"/>
      <c r="O14" s="7">
        <v>1.6055</v>
      </c>
      <c r="P14" s="20">
        <v>89.98</v>
      </c>
      <c r="Q14" s="7"/>
      <c r="R14" s="7">
        <v>1.5936</v>
      </c>
      <c r="S14" s="20">
        <v>90.43</v>
      </c>
      <c r="T14" s="7"/>
      <c r="U14" s="7">
        <v>1.5884</v>
      </c>
      <c r="V14" s="20">
        <v>90.74</v>
      </c>
      <c r="W14" s="7"/>
      <c r="X14" s="7">
        <v>1.6031</v>
      </c>
      <c r="Y14" s="20">
        <v>90.38</v>
      </c>
      <c r="Z14" s="7"/>
      <c r="AA14" s="7">
        <v>1.6112</v>
      </c>
      <c r="AB14" s="20">
        <v>90.08</v>
      </c>
      <c r="AC14" s="7"/>
      <c r="AD14" s="7">
        <v>1.5988</v>
      </c>
      <c r="AE14" s="7">
        <v>90.55</v>
      </c>
      <c r="AF14" s="7"/>
      <c r="AG14" s="7">
        <v>1.592</v>
      </c>
      <c r="AH14" s="20">
        <v>90.85</v>
      </c>
      <c r="AI14" s="7"/>
      <c r="AJ14" s="7">
        <v>1.5781</v>
      </c>
      <c r="AK14" s="20">
        <v>91.6</v>
      </c>
      <c r="AL14" s="7"/>
      <c r="AM14" s="7">
        <v>1.5787</v>
      </c>
      <c r="AN14" s="20">
        <v>91.66</v>
      </c>
      <c r="AO14" s="7"/>
      <c r="AP14" s="7">
        <v>1.568</v>
      </c>
      <c r="AQ14" s="20">
        <v>92.11</v>
      </c>
      <c r="AR14" s="7"/>
      <c r="AS14" s="7">
        <v>1.5718</v>
      </c>
      <c r="AT14" s="20">
        <v>91.93</v>
      </c>
      <c r="AU14" s="7"/>
      <c r="AV14" s="7">
        <v>1.588</v>
      </c>
      <c r="AW14" s="20">
        <v>91.18</v>
      </c>
      <c r="AX14" s="7"/>
      <c r="AY14" s="7">
        <v>1.584</v>
      </c>
      <c r="AZ14" s="20">
        <v>91.75</v>
      </c>
      <c r="BA14" s="7"/>
      <c r="BB14" s="7">
        <v>1.5786</v>
      </c>
      <c r="BC14" s="20">
        <v>92.51</v>
      </c>
      <c r="BD14" s="7"/>
      <c r="BE14" s="7">
        <v>1.5733</v>
      </c>
      <c r="BF14" s="20">
        <v>93.18</v>
      </c>
      <c r="BG14" s="7"/>
      <c r="BH14" s="22">
        <v>1.5651</v>
      </c>
      <c r="BI14" s="23">
        <v>93.74</v>
      </c>
      <c r="BJ14" s="7"/>
      <c r="BK14" s="22">
        <v>1.5614</v>
      </c>
      <c r="BL14" s="23">
        <v>93.55</v>
      </c>
      <c r="BM14" s="7"/>
      <c r="BN14" s="7">
        <f t="shared" si="0"/>
        <v>1.587919047619048</v>
      </c>
      <c r="BO14" s="7">
        <f t="shared" si="1"/>
        <v>91.26333333333335</v>
      </c>
      <c r="BP14" s="11"/>
      <c r="BQ14" s="11"/>
      <c r="BR14" s="11"/>
      <c r="BS14" s="11"/>
      <c r="BT14" s="40"/>
    </row>
    <row r="15" spans="1:72" ht="15.75">
      <c r="A15" s="18">
        <v>4</v>
      </c>
      <c r="B15" s="19" t="s">
        <v>24</v>
      </c>
      <c r="C15" s="7">
        <f>1/0.9051</f>
        <v>1.1048502927853276</v>
      </c>
      <c r="D15" s="20">
        <v>131.06</v>
      </c>
      <c r="E15" s="7"/>
      <c r="F15" s="7">
        <f>1/0.9064</f>
        <v>1.1032656663724625</v>
      </c>
      <c r="G15" s="20">
        <v>131.23</v>
      </c>
      <c r="H15" s="7"/>
      <c r="I15" s="7">
        <f>1/0.9147</f>
        <v>1.0932546190007653</v>
      </c>
      <c r="J15" s="20">
        <v>131.41</v>
      </c>
      <c r="K15" s="7"/>
      <c r="L15" s="7">
        <f>1/0.9102</f>
        <v>1.098659635245001</v>
      </c>
      <c r="M15" s="20">
        <v>130.95</v>
      </c>
      <c r="N15" s="7"/>
      <c r="O15" s="7">
        <f>1/0.9054</f>
        <v>1.104484205875856</v>
      </c>
      <c r="P15" s="20">
        <v>130.8</v>
      </c>
      <c r="Q15" s="7"/>
      <c r="R15" s="7">
        <f>1/0.9125</f>
        <v>1.095890410958904</v>
      </c>
      <c r="S15" s="20">
        <v>131.5</v>
      </c>
      <c r="T15" s="7"/>
      <c r="U15" s="7">
        <f>1/0.9155</f>
        <v>1.0922992900054616</v>
      </c>
      <c r="V15" s="20">
        <v>131.96</v>
      </c>
      <c r="W15" s="7"/>
      <c r="X15" s="7">
        <f>1/0.907</f>
        <v>1.1025358324145533</v>
      </c>
      <c r="Y15" s="20">
        <v>131.42</v>
      </c>
      <c r="Z15" s="7"/>
      <c r="AA15" s="7">
        <f>1/0.903</f>
        <v>1.1074197120708749</v>
      </c>
      <c r="AB15" s="20">
        <v>131.06</v>
      </c>
      <c r="AC15" s="7"/>
      <c r="AD15" s="7">
        <f>1/0.9108</f>
        <v>1.097935880544576</v>
      </c>
      <c r="AE15" s="7">
        <v>131.85</v>
      </c>
      <c r="AF15" s="7"/>
      <c r="AG15" s="7">
        <f>1/0.9146</f>
        <v>1.0933741526350318</v>
      </c>
      <c r="AH15" s="20">
        <v>132.28</v>
      </c>
      <c r="AI15" s="7"/>
      <c r="AJ15" s="7">
        <f>1/0.9204</f>
        <v>1.086484137331595</v>
      </c>
      <c r="AK15" s="20">
        <v>133.05</v>
      </c>
      <c r="AL15" s="7"/>
      <c r="AM15" s="24">
        <f>1/0.9198</f>
        <v>1.087192868014786</v>
      </c>
      <c r="AN15" s="20">
        <v>133.09</v>
      </c>
      <c r="AO15" s="7"/>
      <c r="AP15" s="24">
        <f>1/0.926</f>
        <v>1.079913606911447</v>
      </c>
      <c r="AQ15" s="20">
        <v>133.74</v>
      </c>
      <c r="AR15" s="7"/>
      <c r="AS15" s="7">
        <f>1/0.9248</f>
        <v>1.0813148788927336</v>
      </c>
      <c r="AT15" s="20">
        <v>133.63</v>
      </c>
      <c r="AU15" s="7"/>
      <c r="AV15" s="7">
        <f>1/0.9177</f>
        <v>1.0896807235480004</v>
      </c>
      <c r="AW15" s="20">
        <v>132.87</v>
      </c>
      <c r="AX15" s="7"/>
      <c r="AY15" s="7">
        <f>1/0.9206</f>
        <v>1.0862480990658268</v>
      </c>
      <c r="AZ15" s="20">
        <v>133.8</v>
      </c>
      <c r="BA15" s="7"/>
      <c r="BB15" s="7">
        <f>1/0.9258</f>
        <v>1.0801468999783972</v>
      </c>
      <c r="BC15" s="20">
        <v>135.2</v>
      </c>
      <c r="BD15" s="7"/>
      <c r="BE15" s="7">
        <f>1/0.9305</f>
        <v>1.07469102632993</v>
      </c>
      <c r="BF15" s="20">
        <v>136.41</v>
      </c>
      <c r="BG15" s="7"/>
      <c r="BH15" s="22">
        <f>1/0.937</f>
        <v>1.0672358591248665</v>
      </c>
      <c r="BI15" s="23">
        <v>137.48</v>
      </c>
      <c r="BJ15" s="7"/>
      <c r="BK15" s="22">
        <f>1/0.9375</f>
        <v>1.0666666666666667</v>
      </c>
      <c r="BL15" s="23">
        <v>136.95</v>
      </c>
      <c r="BM15" s="7"/>
      <c r="BN15" s="7">
        <f t="shared" si="0"/>
        <v>1.0901687839891936</v>
      </c>
      <c r="BO15" s="7">
        <f t="shared" si="1"/>
        <v>132.93999999999997</v>
      </c>
      <c r="BP15" s="11"/>
      <c r="BQ15" s="11"/>
      <c r="BR15" s="11"/>
      <c r="BS15" s="11"/>
      <c r="BT15" s="40"/>
    </row>
    <row r="16" spans="1:72" ht="15.75">
      <c r="A16" s="18">
        <v>5</v>
      </c>
      <c r="B16" s="19" t="s">
        <v>25</v>
      </c>
      <c r="C16" s="7">
        <v>307.9</v>
      </c>
      <c r="D16" s="20">
        <v>44583.54</v>
      </c>
      <c r="E16" s="7"/>
      <c r="F16" s="7">
        <v>309</v>
      </c>
      <c r="G16" s="20">
        <v>44737.21</v>
      </c>
      <c r="H16" s="7"/>
      <c r="I16" s="7">
        <v>312.5</v>
      </c>
      <c r="J16" s="20">
        <v>44894.73</v>
      </c>
      <c r="K16" s="7"/>
      <c r="L16" s="7">
        <v>310.8</v>
      </c>
      <c r="M16" s="20">
        <v>44713.69</v>
      </c>
      <c r="N16" s="7"/>
      <c r="O16" s="7">
        <v>308.75</v>
      </c>
      <c r="P16" s="20">
        <v>44602.8</v>
      </c>
      <c r="Q16" s="7"/>
      <c r="R16" s="7">
        <v>310.5</v>
      </c>
      <c r="S16" s="20">
        <v>44745.38</v>
      </c>
      <c r="T16" s="7"/>
      <c r="U16" s="7">
        <v>311.5</v>
      </c>
      <c r="V16" s="20">
        <v>44898.25</v>
      </c>
      <c r="W16" s="7"/>
      <c r="X16" s="7">
        <v>310</v>
      </c>
      <c r="Y16" s="20">
        <v>44916.09</v>
      </c>
      <c r="Z16" s="7"/>
      <c r="AA16" s="7">
        <v>307.4</v>
      </c>
      <c r="AB16" s="20">
        <v>44614.88</v>
      </c>
      <c r="AC16" s="7"/>
      <c r="AD16" s="7">
        <v>309.1</v>
      </c>
      <c r="AE16" s="7">
        <v>44747.05</v>
      </c>
      <c r="AF16" s="7"/>
      <c r="AG16" s="7">
        <v>310.6</v>
      </c>
      <c r="AH16" s="20">
        <v>44922.85</v>
      </c>
      <c r="AI16" s="7"/>
      <c r="AJ16" s="7">
        <v>311.7</v>
      </c>
      <c r="AK16" s="20">
        <v>45059.55</v>
      </c>
      <c r="AL16" s="7"/>
      <c r="AM16" s="7">
        <v>315.25</v>
      </c>
      <c r="AN16" s="20">
        <v>45615.89</v>
      </c>
      <c r="AO16" s="7"/>
      <c r="AP16" s="7">
        <v>318.2</v>
      </c>
      <c r="AQ16" s="20">
        <v>45958.42</v>
      </c>
      <c r="AR16" s="7"/>
      <c r="AS16" s="7">
        <v>316.25</v>
      </c>
      <c r="AT16" s="20">
        <v>45697.93</v>
      </c>
      <c r="AU16" s="7"/>
      <c r="AV16" s="7">
        <v>320.8</v>
      </c>
      <c r="AW16" s="20">
        <v>46448.03</v>
      </c>
      <c r="AX16" s="7"/>
      <c r="AY16" s="7">
        <v>320.6</v>
      </c>
      <c r="AZ16" s="20">
        <v>46594.6</v>
      </c>
      <c r="BA16" s="7"/>
      <c r="BB16" s="7">
        <v>321.7</v>
      </c>
      <c r="BC16" s="20">
        <v>46979.69</v>
      </c>
      <c r="BD16" s="7"/>
      <c r="BE16" s="7">
        <v>325.15</v>
      </c>
      <c r="BF16" s="20">
        <v>47665.57</v>
      </c>
      <c r="BG16" s="7"/>
      <c r="BH16" s="22">
        <v>324.45</v>
      </c>
      <c r="BI16" s="23">
        <v>47602.9</v>
      </c>
      <c r="BJ16" s="7"/>
      <c r="BK16" s="22">
        <v>327.2</v>
      </c>
      <c r="BL16" s="23">
        <v>47795.94</v>
      </c>
      <c r="BM16" s="7"/>
      <c r="BN16" s="7">
        <f t="shared" si="0"/>
        <v>314.7309523809524</v>
      </c>
      <c r="BO16" s="7">
        <f t="shared" si="1"/>
        <v>45609.28523809524</v>
      </c>
      <c r="BP16" s="11"/>
      <c r="BQ16" s="11"/>
      <c r="BR16" s="11"/>
      <c r="BS16" s="11"/>
      <c r="BT16" s="40"/>
    </row>
    <row r="17" spans="1:72" ht="15.75">
      <c r="A17" s="18">
        <v>6</v>
      </c>
      <c r="B17" s="25" t="s">
        <v>26</v>
      </c>
      <c r="C17" s="7">
        <v>4.52</v>
      </c>
      <c r="D17" s="20">
        <v>654.49</v>
      </c>
      <c r="E17" s="7"/>
      <c r="F17" s="7">
        <v>4.56</v>
      </c>
      <c r="G17" s="20">
        <v>660.2</v>
      </c>
      <c r="H17" s="7"/>
      <c r="I17" s="7">
        <v>4.61</v>
      </c>
      <c r="J17" s="20">
        <v>662.29</v>
      </c>
      <c r="K17" s="7"/>
      <c r="L17" s="7">
        <v>4.63</v>
      </c>
      <c r="M17" s="20">
        <v>666.1</v>
      </c>
      <c r="N17" s="7"/>
      <c r="O17" s="7">
        <v>4.57</v>
      </c>
      <c r="P17" s="20">
        <v>660.19</v>
      </c>
      <c r="Q17" s="7"/>
      <c r="R17" s="7">
        <v>4.62</v>
      </c>
      <c r="S17" s="20">
        <v>665.78</v>
      </c>
      <c r="T17" s="7"/>
      <c r="U17" s="7">
        <v>4.67</v>
      </c>
      <c r="V17" s="20">
        <v>673.11</v>
      </c>
      <c r="W17" s="7"/>
      <c r="X17" s="7">
        <v>4.61</v>
      </c>
      <c r="Y17" s="20">
        <v>667.95</v>
      </c>
      <c r="Z17" s="7"/>
      <c r="AA17" s="7">
        <v>4.6</v>
      </c>
      <c r="AB17" s="20">
        <v>667.63</v>
      </c>
      <c r="AC17" s="7"/>
      <c r="AD17" s="7">
        <v>4.63</v>
      </c>
      <c r="AE17" s="7">
        <v>670.26</v>
      </c>
      <c r="AF17" s="7"/>
      <c r="AG17" s="7">
        <v>4.64</v>
      </c>
      <c r="AH17" s="20">
        <v>671.09</v>
      </c>
      <c r="AI17" s="7"/>
      <c r="AJ17" s="7">
        <v>4.65</v>
      </c>
      <c r="AK17" s="20">
        <v>672.21</v>
      </c>
      <c r="AL17" s="7"/>
      <c r="AM17" s="7">
        <v>4.77</v>
      </c>
      <c r="AN17" s="20">
        <v>690.21</v>
      </c>
      <c r="AO17" s="7"/>
      <c r="AP17" s="7">
        <v>4.81</v>
      </c>
      <c r="AQ17" s="20">
        <v>694.72</v>
      </c>
      <c r="AR17" s="7"/>
      <c r="AS17" s="7">
        <v>4.77</v>
      </c>
      <c r="AT17" s="20">
        <v>689.26</v>
      </c>
      <c r="AU17" s="7"/>
      <c r="AV17" s="7">
        <v>4.85</v>
      </c>
      <c r="AW17" s="20">
        <v>702.22</v>
      </c>
      <c r="AX17" s="7"/>
      <c r="AY17" s="7">
        <v>4.79</v>
      </c>
      <c r="AZ17" s="20">
        <v>696.16</v>
      </c>
      <c r="BA17" s="7"/>
      <c r="BB17" s="7">
        <v>4.82</v>
      </c>
      <c r="BC17" s="20">
        <v>703.89</v>
      </c>
      <c r="BD17" s="7"/>
      <c r="BE17" s="7">
        <v>4.86</v>
      </c>
      <c r="BF17" s="20">
        <v>712.45</v>
      </c>
      <c r="BG17" s="7"/>
      <c r="BH17" s="22">
        <v>4.91</v>
      </c>
      <c r="BI17" s="23">
        <v>720.39</v>
      </c>
      <c r="BJ17" s="7"/>
      <c r="BK17" s="22">
        <v>4.98</v>
      </c>
      <c r="BL17" s="23">
        <v>727.46</v>
      </c>
      <c r="BM17" s="7"/>
      <c r="BN17" s="7">
        <f t="shared" si="0"/>
        <v>4.708095238095238</v>
      </c>
      <c r="BO17" s="7">
        <f t="shared" si="1"/>
        <v>682.2885714285713</v>
      </c>
      <c r="BP17" s="11"/>
      <c r="BQ17" s="11"/>
      <c r="BR17" s="11"/>
      <c r="BS17" s="11"/>
      <c r="BT17" s="40"/>
    </row>
    <row r="18" spans="1:72" ht="15.75">
      <c r="A18" s="18">
        <v>7</v>
      </c>
      <c r="B18" s="19" t="s">
        <v>27</v>
      </c>
      <c r="C18" s="7">
        <f>1/0.5376</f>
        <v>1.8601190476190477</v>
      </c>
      <c r="D18" s="20">
        <v>77.84</v>
      </c>
      <c r="E18" s="7"/>
      <c r="F18" s="7">
        <f>1/0.5374</f>
        <v>1.8608113137327875</v>
      </c>
      <c r="G18" s="20">
        <v>77.81</v>
      </c>
      <c r="H18" s="7"/>
      <c r="I18" s="7">
        <f>1/0.5414</f>
        <v>1.847063169560399</v>
      </c>
      <c r="J18" s="20">
        <v>77.78</v>
      </c>
      <c r="K18" s="7"/>
      <c r="L18" s="7">
        <f>1/0.5419</f>
        <v>1.8453589223103892</v>
      </c>
      <c r="M18" s="20">
        <v>77.96</v>
      </c>
      <c r="N18" s="7"/>
      <c r="O18" s="7">
        <f>1/0.5407</f>
        <v>1.8494544109487703</v>
      </c>
      <c r="P18" s="20">
        <v>78.11</v>
      </c>
      <c r="Q18" s="7"/>
      <c r="R18" s="7">
        <f>1/0.5431</f>
        <v>1.8412815319462346</v>
      </c>
      <c r="S18" s="20">
        <v>78.26</v>
      </c>
      <c r="T18" s="7"/>
      <c r="U18" s="7">
        <f>1/0.5474</f>
        <v>1.8268176835951773</v>
      </c>
      <c r="V18" s="20">
        <v>78.9</v>
      </c>
      <c r="W18" s="7"/>
      <c r="X18" s="7">
        <f>1/0.5465</f>
        <v>1.8298261665141813</v>
      </c>
      <c r="Y18" s="20">
        <v>79.18</v>
      </c>
      <c r="Z18" s="7"/>
      <c r="AA18" s="7">
        <f>1/0.5461</f>
        <v>1.8311664530305805</v>
      </c>
      <c r="AB18" s="20">
        <v>79.26</v>
      </c>
      <c r="AC18" s="7"/>
      <c r="AD18" s="7">
        <f>1/0.5483</f>
        <v>1.8238190771475469</v>
      </c>
      <c r="AE18" s="7">
        <v>79.37</v>
      </c>
      <c r="AF18" s="7"/>
      <c r="AG18" s="7">
        <f>1/0.5511</f>
        <v>1.8145527127563055</v>
      </c>
      <c r="AH18" s="20">
        <v>79.71</v>
      </c>
      <c r="AI18" s="7"/>
      <c r="AJ18" s="7">
        <f>1/0.5509</f>
        <v>1.815211472136504</v>
      </c>
      <c r="AK18" s="20">
        <v>79.64</v>
      </c>
      <c r="AL18" s="7"/>
      <c r="AM18" s="7">
        <f>1/0.5539</f>
        <v>1.8053800324968408</v>
      </c>
      <c r="AN18" s="20">
        <v>80.15</v>
      </c>
      <c r="AO18" s="7"/>
      <c r="AP18" s="7">
        <f>1/0.5584</f>
        <v>1.7908309455587392</v>
      </c>
      <c r="AQ18" s="20">
        <v>80.65</v>
      </c>
      <c r="AR18" s="7"/>
      <c r="AS18" s="7">
        <f>1/0.5559</f>
        <v>1.7988846914912755</v>
      </c>
      <c r="AT18" s="20">
        <v>80.33</v>
      </c>
      <c r="AU18" s="7"/>
      <c r="AV18" s="7">
        <f>1/0.5537</f>
        <v>1.8060321473722234</v>
      </c>
      <c r="AW18" s="20">
        <v>80.17</v>
      </c>
      <c r="AX18" s="7"/>
      <c r="AY18" s="7">
        <f>1/0.5568</f>
        <v>1.795977011494253</v>
      </c>
      <c r="AZ18" s="20">
        <v>80.92</v>
      </c>
      <c r="BA18" s="7"/>
      <c r="BB18" s="7">
        <f>1/0.5604</f>
        <v>1.7844396859386153</v>
      </c>
      <c r="BC18" s="20">
        <v>81.84</v>
      </c>
      <c r="BD18" s="7"/>
      <c r="BE18" s="7">
        <f>1/0.5643</f>
        <v>1.77210703526493</v>
      </c>
      <c r="BF18" s="20">
        <v>82.72</v>
      </c>
      <c r="BG18" s="7"/>
      <c r="BH18" s="22">
        <f>1/0.564</f>
        <v>1.773049645390071</v>
      </c>
      <c r="BI18" s="23">
        <v>82.75</v>
      </c>
      <c r="BJ18" s="7"/>
      <c r="BK18" s="22">
        <f>1/0.5682</f>
        <v>1.7599436818021823</v>
      </c>
      <c r="BL18" s="23">
        <v>83</v>
      </c>
      <c r="BM18" s="7"/>
      <c r="BN18" s="7">
        <f t="shared" si="0"/>
        <v>1.815815563719384</v>
      </c>
      <c r="BO18" s="7">
        <f t="shared" si="1"/>
        <v>79.82619047619048</v>
      </c>
      <c r="BP18" s="11"/>
      <c r="BQ18" s="11"/>
      <c r="BR18" s="11"/>
      <c r="BS18" s="11"/>
      <c r="BT18" s="40"/>
    </row>
    <row r="19" spans="1:72" ht="15.75">
      <c r="A19" s="18">
        <v>8</v>
      </c>
      <c r="B19" s="19" t="s">
        <v>28</v>
      </c>
      <c r="C19" s="7">
        <v>1.5622</v>
      </c>
      <c r="D19" s="20">
        <v>92.69</v>
      </c>
      <c r="E19" s="7"/>
      <c r="F19" s="7">
        <v>1.5612</v>
      </c>
      <c r="G19" s="20">
        <v>92.74</v>
      </c>
      <c r="H19" s="7"/>
      <c r="I19" s="7">
        <v>1.5691</v>
      </c>
      <c r="J19" s="20">
        <v>91.56</v>
      </c>
      <c r="K19" s="7"/>
      <c r="L19" s="7">
        <v>1.5657</v>
      </c>
      <c r="M19" s="20">
        <v>91.89</v>
      </c>
      <c r="N19" s="7"/>
      <c r="O19" s="7">
        <v>1.5707</v>
      </c>
      <c r="P19" s="20">
        <v>91.97</v>
      </c>
      <c r="Q19" s="7"/>
      <c r="R19" s="7">
        <v>1.5641</v>
      </c>
      <c r="S19" s="20">
        <v>92.13</v>
      </c>
      <c r="T19" s="7"/>
      <c r="U19" s="7">
        <v>1.5564</v>
      </c>
      <c r="V19" s="20">
        <v>92.61</v>
      </c>
      <c r="W19" s="7"/>
      <c r="X19" s="7">
        <v>1.5604</v>
      </c>
      <c r="Y19" s="20">
        <v>92.85</v>
      </c>
      <c r="Z19" s="7"/>
      <c r="AA19" s="7">
        <v>1.5587</v>
      </c>
      <c r="AB19" s="20">
        <v>93.11</v>
      </c>
      <c r="AC19" s="7"/>
      <c r="AD19" s="7">
        <v>1.5579</v>
      </c>
      <c r="AE19" s="7">
        <v>92.92</v>
      </c>
      <c r="AF19" s="7"/>
      <c r="AG19" s="7">
        <v>1.5522</v>
      </c>
      <c r="AH19" s="20">
        <v>93.18</v>
      </c>
      <c r="AI19" s="7"/>
      <c r="AJ19" s="7">
        <v>1.5418</v>
      </c>
      <c r="AK19" s="20">
        <v>93.76</v>
      </c>
      <c r="AL19" s="7"/>
      <c r="AM19" s="7">
        <v>1.5395</v>
      </c>
      <c r="AN19" s="20">
        <v>93.99</v>
      </c>
      <c r="AO19" s="7"/>
      <c r="AP19" s="7">
        <v>1.5348</v>
      </c>
      <c r="AQ19" s="20">
        <v>94.11</v>
      </c>
      <c r="AR19" s="7"/>
      <c r="AS19" s="7">
        <v>1.5356</v>
      </c>
      <c r="AT19" s="20">
        <v>94.1</v>
      </c>
      <c r="AU19" s="7"/>
      <c r="AV19" s="7">
        <v>1.5389</v>
      </c>
      <c r="AW19" s="20">
        <v>94.09</v>
      </c>
      <c r="AX19" s="7"/>
      <c r="AY19" s="7">
        <v>1.5353</v>
      </c>
      <c r="AZ19" s="20">
        <v>94.66</v>
      </c>
      <c r="BA19" s="7"/>
      <c r="BB19" s="7">
        <v>1.5319</v>
      </c>
      <c r="BC19" s="20">
        <v>95.33</v>
      </c>
      <c r="BD19" s="7"/>
      <c r="BE19" s="7">
        <v>1.5307</v>
      </c>
      <c r="BF19" s="20">
        <v>95.77</v>
      </c>
      <c r="BG19" s="7"/>
      <c r="BH19" s="22">
        <v>1.5361</v>
      </c>
      <c r="BI19" s="23">
        <v>95.51</v>
      </c>
      <c r="BJ19" s="7"/>
      <c r="BK19" s="22">
        <v>1.534</v>
      </c>
      <c r="BL19" s="23">
        <v>95.23</v>
      </c>
      <c r="BM19" s="7"/>
      <c r="BN19" s="7">
        <f t="shared" si="0"/>
        <v>1.5493904761904762</v>
      </c>
      <c r="BO19" s="7">
        <f t="shared" si="1"/>
        <v>93.53333333333333</v>
      </c>
      <c r="BP19" s="11"/>
      <c r="BQ19" s="11"/>
      <c r="BR19" s="11"/>
      <c r="BS19" s="11"/>
      <c r="BT19" s="40"/>
    </row>
    <row r="20" spans="1:72" ht="15.75">
      <c r="A20" s="18">
        <v>9</v>
      </c>
      <c r="B20" s="19" t="s">
        <v>31</v>
      </c>
      <c r="C20" s="7">
        <v>10.2481</v>
      </c>
      <c r="D20" s="20">
        <v>14.13</v>
      </c>
      <c r="E20" s="7"/>
      <c r="F20" s="7">
        <v>10.2197</v>
      </c>
      <c r="G20" s="20">
        <v>14.17</v>
      </c>
      <c r="H20" s="7"/>
      <c r="I20" s="7">
        <v>10.2507</v>
      </c>
      <c r="J20" s="20">
        <v>14.01</v>
      </c>
      <c r="K20" s="7"/>
      <c r="L20" s="7">
        <v>10.2417</v>
      </c>
      <c r="M20" s="20">
        <v>14.05</v>
      </c>
      <c r="N20" s="7"/>
      <c r="O20" s="7">
        <v>10.2643</v>
      </c>
      <c r="P20" s="20">
        <v>14.07</v>
      </c>
      <c r="Q20" s="7"/>
      <c r="R20" s="7">
        <v>10.2278</v>
      </c>
      <c r="S20" s="20">
        <v>14.09</v>
      </c>
      <c r="T20" s="7"/>
      <c r="U20" s="7">
        <v>10.2112</v>
      </c>
      <c r="V20" s="20">
        <v>14.12</v>
      </c>
      <c r="W20" s="7"/>
      <c r="X20" s="7">
        <v>10.2236</v>
      </c>
      <c r="Y20" s="20">
        <v>14.17</v>
      </c>
      <c r="Z20" s="7"/>
      <c r="AA20" s="7">
        <v>10.1885</v>
      </c>
      <c r="AB20" s="20">
        <v>14.25</v>
      </c>
      <c r="AC20" s="7"/>
      <c r="AD20" s="7">
        <v>10.1205</v>
      </c>
      <c r="AE20" s="7">
        <v>14.3</v>
      </c>
      <c r="AF20" s="7"/>
      <c r="AG20" s="7">
        <v>10.0504</v>
      </c>
      <c r="AH20" s="20">
        <v>14.39</v>
      </c>
      <c r="AI20" s="7"/>
      <c r="AJ20" s="7">
        <v>10.0058</v>
      </c>
      <c r="AK20" s="20">
        <v>14.45</v>
      </c>
      <c r="AL20" s="7"/>
      <c r="AM20" s="7">
        <v>9.965</v>
      </c>
      <c r="AN20" s="20">
        <v>14.52</v>
      </c>
      <c r="AO20" s="7"/>
      <c r="AP20" s="7">
        <v>9.9013</v>
      </c>
      <c r="AQ20" s="20">
        <v>14.59</v>
      </c>
      <c r="AR20" s="7"/>
      <c r="AS20" s="7">
        <v>9.8614</v>
      </c>
      <c r="AT20" s="20">
        <v>14.65</v>
      </c>
      <c r="AU20" s="7"/>
      <c r="AV20" s="7">
        <v>9.9205</v>
      </c>
      <c r="AW20" s="20">
        <v>14.59</v>
      </c>
      <c r="AX20" s="7"/>
      <c r="AY20" s="7">
        <v>9.9262</v>
      </c>
      <c r="AZ20" s="20">
        <v>14.64</v>
      </c>
      <c r="BA20" s="7"/>
      <c r="BB20" s="7">
        <v>9.8629</v>
      </c>
      <c r="BC20" s="20">
        <v>14.81</v>
      </c>
      <c r="BD20" s="7"/>
      <c r="BE20" s="7">
        <v>9.841</v>
      </c>
      <c r="BF20" s="20">
        <v>14.9</v>
      </c>
      <c r="BG20" s="7"/>
      <c r="BH20" s="22">
        <v>9.719</v>
      </c>
      <c r="BI20" s="23">
        <v>15.1</v>
      </c>
      <c r="BJ20" s="7"/>
      <c r="BK20" s="22">
        <v>9.7195</v>
      </c>
      <c r="BL20" s="23">
        <v>15.03</v>
      </c>
      <c r="BM20" s="7"/>
      <c r="BN20" s="7">
        <f t="shared" si="0"/>
        <v>10.04614761904762</v>
      </c>
      <c r="BO20" s="7">
        <f t="shared" si="1"/>
        <v>14.429999999999998</v>
      </c>
      <c r="BP20" s="11"/>
      <c r="BQ20" s="11"/>
      <c r="BR20" s="11"/>
      <c r="BS20" s="11"/>
      <c r="BT20" s="40"/>
    </row>
    <row r="21" spans="1:72" ht="15.75">
      <c r="A21" s="18">
        <v>10</v>
      </c>
      <c r="B21" s="19" t="s">
        <v>32</v>
      </c>
      <c r="C21" s="7">
        <v>8.3563</v>
      </c>
      <c r="D21" s="20">
        <v>17.33</v>
      </c>
      <c r="E21" s="7"/>
      <c r="F21" s="7">
        <v>8.3465</v>
      </c>
      <c r="G21" s="20">
        <v>17.35</v>
      </c>
      <c r="H21" s="7"/>
      <c r="I21" s="7">
        <v>8.3254</v>
      </c>
      <c r="J21" s="20">
        <v>17.26</v>
      </c>
      <c r="K21" s="7"/>
      <c r="L21" s="7">
        <v>8.346</v>
      </c>
      <c r="M21" s="20">
        <v>17.24</v>
      </c>
      <c r="N21" s="7"/>
      <c r="O21" s="7">
        <v>8.3554</v>
      </c>
      <c r="P21" s="20">
        <v>17.29</v>
      </c>
      <c r="Q21" s="7"/>
      <c r="R21" s="7">
        <v>8.2923</v>
      </c>
      <c r="S21" s="20">
        <v>17.38</v>
      </c>
      <c r="T21" s="7"/>
      <c r="U21" s="7">
        <v>8.2418</v>
      </c>
      <c r="V21" s="20">
        <v>17.49</v>
      </c>
      <c r="W21" s="7"/>
      <c r="X21" s="7">
        <v>8.3129</v>
      </c>
      <c r="Y21" s="20">
        <v>17.43</v>
      </c>
      <c r="Z21" s="7"/>
      <c r="AA21" s="7">
        <v>8.3374</v>
      </c>
      <c r="AB21" s="20">
        <v>17.41</v>
      </c>
      <c r="AC21" s="7"/>
      <c r="AD21" s="7">
        <v>8.2698</v>
      </c>
      <c r="AE21" s="7">
        <v>17.51</v>
      </c>
      <c r="AF21" s="7"/>
      <c r="AG21" s="7">
        <v>8.2455</v>
      </c>
      <c r="AH21" s="20">
        <v>17.54</v>
      </c>
      <c r="AI21" s="7"/>
      <c r="AJ21" s="7">
        <v>8.2068</v>
      </c>
      <c r="AK21" s="20">
        <v>17.61</v>
      </c>
      <c r="AL21" s="7"/>
      <c r="AM21" s="7">
        <v>8.192</v>
      </c>
      <c r="AN21" s="20">
        <v>17.66</v>
      </c>
      <c r="AO21" s="7"/>
      <c r="AP21" s="7">
        <v>8.132</v>
      </c>
      <c r="AQ21" s="20">
        <v>17.76</v>
      </c>
      <c r="AR21" s="7"/>
      <c r="AS21" s="7">
        <v>8.0904</v>
      </c>
      <c r="AT21" s="20">
        <v>17.86</v>
      </c>
      <c r="AU21" s="7"/>
      <c r="AV21" s="7">
        <v>8.1131</v>
      </c>
      <c r="AW21" s="20">
        <v>17.85</v>
      </c>
      <c r="AX21" s="7"/>
      <c r="AY21" s="7">
        <v>8.0819</v>
      </c>
      <c r="AZ21" s="20">
        <v>17.98</v>
      </c>
      <c r="BA21" s="7"/>
      <c r="BB21" s="7">
        <v>7.993</v>
      </c>
      <c r="BC21" s="20">
        <v>18.27</v>
      </c>
      <c r="BD21" s="7"/>
      <c r="BE21" s="7">
        <v>7.9539</v>
      </c>
      <c r="BF21" s="20">
        <v>18.43</v>
      </c>
      <c r="BG21" s="7"/>
      <c r="BH21" s="22">
        <v>7.9221</v>
      </c>
      <c r="BI21" s="23">
        <v>18.52</v>
      </c>
      <c r="BJ21" s="7"/>
      <c r="BK21" s="22">
        <v>7.9523</v>
      </c>
      <c r="BL21" s="23">
        <v>18.37</v>
      </c>
      <c r="BM21" s="7"/>
      <c r="BN21" s="7">
        <f t="shared" si="0"/>
        <v>8.193657142857143</v>
      </c>
      <c r="BO21" s="7">
        <f t="shared" si="1"/>
        <v>17.69238095238095</v>
      </c>
      <c r="BP21" s="11"/>
      <c r="BQ21" s="11"/>
      <c r="BR21" s="11"/>
      <c r="BS21" s="11"/>
      <c r="BT21" s="40"/>
    </row>
    <row r="22" spans="1:72" ht="15.75">
      <c r="A22" s="18">
        <v>11</v>
      </c>
      <c r="B22" s="19" t="s">
        <v>33</v>
      </c>
      <c r="C22" s="7">
        <v>8.207</v>
      </c>
      <c r="D22" s="20">
        <v>17.64</v>
      </c>
      <c r="E22" s="7"/>
      <c r="F22" s="7">
        <v>8.1979</v>
      </c>
      <c r="G22" s="20">
        <v>17.66</v>
      </c>
      <c r="H22" s="7"/>
      <c r="I22" s="7">
        <v>8.1238</v>
      </c>
      <c r="J22" s="20">
        <v>17.68</v>
      </c>
      <c r="K22" s="7"/>
      <c r="L22" s="7">
        <v>8.166</v>
      </c>
      <c r="M22" s="20">
        <v>17.62</v>
      </c>
      <c r="N22" s="7"/>
      <c r="O22" s="7">
        <v>8.2068</v>
      </c>
      <c r="P22" s="20">
        <v>17.6</v>
      </c>
      <c r="Q22" s="7"/>
      <c r="R22" s="7">
        <v>8.148</v>
      </c>
      <c r="S22" s="20">
        <v>17.69</v>
      </c>
      <c r="T22" s="7"/>
      <c r="U22" s="7">
        <v>8.1192</v>
      </c>
      <c r="V22" s="20">
        <v>17.75</v>
      </c>
      <c r="W22" s="7"/>
      <c r="X22" s="7">
        <v>8.194</v>
      </c>
      <c r="Y22" s="20">
        <v>17.68</v>
      </c>
      <c r="Z22" s="7"/>
      <c r="AA22" s="7">
        <v>8.2321</v>
      </c>
      <c r="AB22" s="20">
        <v>17.63</v>
      </c>
      <c r="AC22" s="7"/>
      <c r="AD22" s="7">
        <v>8.1606</v>
      </c>
      <c r="AE22" s="7">
        <v>17.74</v>
      </c>
      <c r="AF22" s="7"/>
      <c r="AG22" s="7">
        <v>8.1295</v>
      </c>
      <c r="AH22" s="20">
        <v>17.79</v>
      </c>
      <c r="AI22" s="7"/>
      <c r="AJ22" s="7">
        <v>8.0777</v>
      </c>
      <c r="AK22" s="20">
        <v>17.9</v>
      </c>
      <c r="AL22" s="7"/>
      <c r="AM22" s="7">
        <v>8.0815</v>
      </c>
      <c r="AN22" s="20">
        <v>17.9</v>
      </c>
      <c r="AO22" s="7"/>
      <c r="AP22" s="7">
        <v>8.031</v>
      </c>
      <c r="AQ22" s="20">
        <v>17.98</v>
      </c>
      <c r="AR22" s="7"/>
      <c r="AS22" s="7">
        <v>8.0421</v>
      </c>
      <c r="AT22" s="20">
        <v>17.97</v>
      </c>
      <c r="AU22" s="7"/>
      <c r="AV22" s="7">
        <v>8.1013</v>
      </c>
      <c r="AW22" s="20">
        <v>17.87</v>
      </c>
      <c r="AX22" s="7"/>
      <c r="AY22" s="7">
        <v>8.0741</v>
      </c>
      <c r="AZ22" s="20">
        <v>18</v>
      </c>
      <c r="BA22" s="7"/>
      <c r="BB22" s="7">
        <v>8.0289</v>
      </c>
      <c r="BC22" s="20">
        <v>18.19</v>
      </c>
      <c r="BD22" s="7"/>
      <c r="BE22" s="7">
        <v>7.9874</v>
      </c>
      <c r="BF22" s="20">
        <v>18.35</v>
      </c>
      <c r="BG22" s="7"/>
      <c r="BH22" s="22">
        <v>7.932</v>
      </c>
      <c r="BI22" s="23">
        <v>18.5</v>
      </c>
      <c r="BJ22" s="7"/>
      <c r="BK22" s="22">
        <v>7.926</v>
      </c>
      <c r="BL22" s="23">
        <v>18.43</v>
      </c>
      <c r="BM22" s="7"/>
      <c r="BN22" s="7">
        <f t="shared" si="0"/>
        <v>8.103185714285713</v>
      </c>
      <c r="BO22" s="7">
        <f t="shared" si="1"/>
        <v>17.884285714285717</v>
      </c>
      <c r="BP22" s="11"/>
      <c r="BQ22" s="11"/>
      <c r="BR22" s="11"/>
      <c r="BS22" s="11"/>
      <c r="BT22" s="40"/>
    </row>
    <row r="23" spans="1:72" ht="15.75">
      <c r="A23" s="18">
        <v>12</v>
      </c>
      <c r="B23" s="19" t="s">
        <v>36</v>
      </c>
      <c r="C23" s="7">
        <f>1/1.26773</f>
        <v>0.7888114977163907</v>
      </c>
      <c r="D23" s="20">
        <v>183.57</v>
      </c>
      <c r="E23" s="7"/>
      <c r="F23" s="7">
        <f>1/1.26995</f>
        <v>0.7874325760856727</v>
      </c>
      <c r="G23" s="20">
        <v>183.86</v>
      </c>
      <c r="H23" s="7"/>
      <c r="I23" s="7">
        <f>1/1.27695</f>
        <v>0.7831160186381613</v>
      </c>
      <c r="J23" s="20">
        <v>183.45</v>
      </c>
      <c r="K23" s="7"/>
      <c r="L23" s="7">
        <f>1/1.2748</f>
        <v>0.7844367743959837</v>
      </c>
      <c r="M23" s="20">
        <v>183.4</v>
      </c>
      <c r="N23" s="7"/>
      <c r="O23" s="7">
        <f>1/1.27146</f>
        <v>0.7864974124235131</v>
      </c>
      <c r="P23" s="20">
        <v>183.68</v>
      </c>
      <c r="Q23" s="7"/>
      <c r="R23" s="7">
        <f>1/1.26971</f>
        <v>0.7875814162289028</v>
      </c>
      <c r="S23" s="20">
        <v>182.97</v>
      </c>
      <c r="T23" s="7"/>
      <c r="U23" s="7">
        <f>1/1.27403</f>
        <v>0.7849108733703288</v>
      </c>
      <c r="V23" s="20">
        <v>183.63</v>
      </c>
      <c r="W23" s="7"/>
      <c r="X23" s="7">
        <f>1/1.29564</f>
        <v>0.7718193325306413</v>
      </c>
      <c r="Y23" s="20">
        <v>187.73</v>
      </c>
      <c r="Z23" s="7"/>
      <c r="AA23" s="7">
        <f>1/1.26963</f>
        <v>0.7876310421146318</v>
      </c>
      <c r="AB23" s="20">
        <v>184.27</v>
      </c>
      <c r="AC23" s="7"/>
      <c r="AD23" s="7">
        <f>1/1.26777</f>
        <v>0.7887866095585161</v>
      </c>
      <c r="AE23" s="7">
        <v>183.53</v>
      </c>
      <c r="AF23" s="7"/>
      <c r="AG23" s="7">
        <f>1/1.27252</f>
        <v>0.7858422657404205</v>
      </c>
      <c r="AH23" s="20">
        <v>184.05</v>
      </c>
      <c r="AI23" s="7"/>
      <c r="AJ23" s="7">
        <f>1/1.27585</f>
        <v>0.7837911980248462</v>
      </c>
      <c r="AK23" s="20">
        <v>184.44</v>
      </c>
      <c r="AL23" s="7"/>
      <c r="AM23" s="7">
        <f>1/1.27997</f>
        <v>0.7812683109760384</v>
      </c>
      <c r="AN23" s="20">
        <v>185.21</v>
      </c>
      <c r="AO23" s="7"/>
      <c r="AP23" s="7">
        <f>1/1.27989</f>
        <v>0.7813171444421005</v>
      </c>
      <c r="AQ23" s="20">
        <v>184.86</v>
      </c>
      <c r="AR23" s="7"/>
      <c r="AS23" s="7">
        <f>1/1.28437</f>
        <v>0.7785918388003457</v>
      </c>
      <c r="AT23" s="20">
        <v>185.59</v>
      </c>
      <c r="AU23" s="7"/>
      <c r="AV23" s="7">
        <f>1/1.28224</f>
        <v>0.7798852008984277</v>
      </c>
      <c r="AW23" s="20">
        <v>185.65</v>
      </c>
      <c r="AX23" s="7"/>
      <c r="AY23" s="7">
        <f>1/1.27943</f>
        <v>0.7815980553840381</v>
      </c>
      <c r="AZ23" s="20">
        <v>185.95</v>
      </c>
      <c r="BA23" s="7"/>
      <c r="BB23" s="7">
        <f>1/1.27943</f>
        <v>0.7815980553840381</v>
      </c>
      <c r="BC23" s="20">
        <v>186.84</v>
      </c>
      <c r="BD23" s="7"/>
      <c r="BE23" s="7">
        <f>1/1.28377</f>
        <v>0.7789557319457535</v>
      </c>
      <c r="BF23" s="20">
        <v>188.2</v>
      </c>
      <c r="BG23" s="7"/>
      <c r="BH23" s="22">
        <f>1/1.28613</f>
        <v>0.7775263775823594</v>
      </c>
      <c r="BI23" s="23">
        <v>188.7</v>
      </c>
      <c r="BJ23" s="7"/>
      <c r="BK23" s="22">
        <f>1/1.28986</f>
        <v>0.7752779371404649</v>
      </c>
      <c r="BL23" s="23">
        <v>188.42</v>
      </c>
      <c r="BM23" s="7"/>
      <c r="BN23" s="7">
        <f t="shared" si="0"/>
        <v>0.7826988413991226</v>
      </c>
      <c r="BO23" s="7">
        <f t="shared" si="1"/>
        <v>185.14285714285714</v>
      </c>
      <c r="BP23" s="11"/>
      <c r="BQ23" s="11"/>
      <c r="BR23" s="11"/>
      <c r="BS23" s="11"/>
      <c r="BT23" s="40"/>
    </row>
    <row r="24" spans="1:72" ht="16.5" thickBot="1">
      <c r="A24" s="26">
        <v>13</v>
      </c>
      <c r="B24" s="27" t="s">
        <v>38</v>
      </c>
      <c r="C24" s="28">
        <v>1</v>
      </c>
      <c r="D24" s="29">
        <v>144.8</v>
      </c>
      <c r="E24" s="28"/>
      <c r="F24" s="28">
        <v>1</v>
      </c>
      <c r="G24" s="29">
        <v>144.78</v>
      </c>
      <c r="H24" s="28"/>
      <c r="I24" s="28">
        <v>1</v>
      </c>
      <c r="J24" s="29">
        <v>143.66</v>
      </c>
      <c r="K24" s="28"/>
      <c r="L24" s="28">
        <v>1</v>
      </c>
      <c r="M24" s="29">
        <v>143.87</v>
      </c>
      <c r="N24" s="28"/>
      <c r="O24" s="28">
        <v>1</v>
      </c>
      <c r="P24" s="29">
        <v>144.46</v>
      </c>
      <c r="Q24" s="28"/>
      <c r="R24" s="28">
        <v>1</v>
      </c>
      <c r="S24" s="29">
        <v>144.11</v>
      </c>
      <c r="T24" s="28"/>
      <c r="U24" s="28">
        <v>1</v>
      </c>
      <c r="V24" s="29">
        <v>144.14</v>
      </c>
      <c r="W24" s="28"/>
      <c r="X24" s="28">
        <v>1</v>
      </c>
      <c r="Y24" s="29">
        <v>144.89</v>
      </c>
      <c r="Z24" s="28"/>
      <c r="AA24" s="28">
        <v>1</v>
      </c>
      <c r="AB24" s="29">
        <v>145.14</v>
      </c>
      <c r="AC24" s="28"/>
      <c r="AD24" s="28">
        <v>1</v>
      </c>
      <c r="AE24" s="28">
        <v>144.77</v>
      </c>
      <c r="AF24" s="28"/>
      <c r="AG24" s="28">
        <v>1</v>
      </c>
      <c r="AH24" s="29">
        <v>144.63</v>
      </c>
      <c r="AI24" s="28"/>
      <c r="AJ24" s="28">
        <v>1</v>
      </c>
      <c r="AK24" s="29">
        <v>144.56</v>
      </c>
      <c r="AL24" s="28"/>
      <c r="AM24" s="28">
        <v>1</v>
      </c>
      <c r="AN24" s="29">
        <v>144.7</v>
      </c>
      <c r="AO24" s="28"/>
      <c r="AP24" s="28">
        <v>1</v>
      </c>
      <c r="AQ24" s="29">
        <v>144.43</v>
      </c>
      <c r="AR24" s="28"/>
      <c r="AS24" s="28">
        <v>1</v>
      </c>
      <c r="AT24" s="29">
        <v>144.5</v>
      </c>
      <c r="AU24" s="28"/>
      <c r="AV24" s="28">
        <v>1</v>
      </c>
      <c r="AW24" s="29">
        <v>144.79</v>
      </c>
      <c r="AX24" s="28"/>
      <c r="AY24" s="28">
        <v>1</v>
      </c>
      <c r="AZ24" s="29">
        <v>145.34</v>
      </c>
      <c r="BA24" s="28"/>
      <c r="BB24" s="28">
        <v>1</v>
      </c>
      <c r="BC24" s="29">
        <v>146.04</v>
      </c>
      <c r="BD24" s="28"/>
      <c r="BE24" s="28">
        <v>1</v>
      </c>
      <c r="BF24" s="29">
        <v>146.6</v>
      </c>
      <c r="BG24" s="28"/>
      <c r="BH24" s="32">
        <v>1</v>
      </c>
      <c r="BI24" s="33">
        <v>146.72</v>
      </c>
      <c r="BJ24" s="28"/>
      <c r="BK24" s="32">
        <v>1</v>
      </c>
      <c r="BL24" s="33">
        <v>146.08</v>
      </c>
      <c r="BM24" s="31"/>
      <c r="BN24" s="31">
        <f t="shared" si="0"/>
        <v>1</v>
      </c>
      <c r="BO24" s="31">
        <f t="shared" si="1"/>
        <v>144.90523809523808</v>
      </c>
      <c r="BP24" s="11"/>
      <c r="BQ24" s="11"/>
      <c r="BR24" s="11"/>
      <c r="BS24" s="11"/>
      <c r="BT24" s="40"/>
    </row>
    <row r="25" spans="1:72" ht="15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7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H25" s="11"/>
      <c r="BI25" s="11"/>
      <c r="BJ25" s="11"/>
      <c r="BK25" s="11"/>
      <c r="BL25" s="11"/>
      <c r="BN25" s="35"/>
      <c r="BO25" s="35"/>
      <c r="BP25" s="43"/>
      <c r="BQ25" s="43"/>
      <c r="BR25" s="43"/>
      <c r="BS25" s="40"/>
      <c r="BT25" s="40"/>
    </row>
    <row r="26" ht="15.75">
      <c r="B26" s="36"/>
    </row>
    <row r="27" ht="15.75">
      <c r="B27" s="36"/>
    </row>
    <row r="28" ht="15.75">
      <c r="B28" s="36"/>
    </row>
    <row r="29" ht="15.75">
      <c r="B29" s="36"/>
    </row>
    <row r="30" ht="15.75">
      <c r="B30" s="36"/>
    </row>
    <row r="31" ht="15.75">
      <c r="B31" s="36"/>
    </row>
    <row r="32" ht="15.75">
      <c r="B32" s="36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32"/>
  <sheetViews>
    <sheetView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9" sqref="D9"/>
    </sheetView>
  </sheetViews>
  <sheetFormatPr defaultColWidth="9.140625" defaultRowHeight="12.75"/>
  <cols>
    <col min="1" max="1" width="4.28125" style="10" customWidth="1"/>
    <col min="2" max="2" width="34.00390625" style="10" bestFit="1" customWidth="1"/>
    <col min="3" max="3" width="10.421875" style="10" customWidth="1"/>
    <col min="4" max="4" width="10.7109375" style="10" customWidth="1"/>
    <col min="5" max="5" width="9.140625" style="10" customWidth="1"/>
    <col min="6" max="6" width="10.421875" style="10" customWidth="1"/>
    <col min="7" max="7" width="10.8515625" style="10" customWidth="1"/>
    <col min="8" max="8" width="9.140625" style="10" customWidth="1"/>
    <col min="9" max="9" width="10.421875" style="10" customWidth="1"/>
    <col min="10" max="10" width="11.00390625" style="10" customWidth="1"/>
    <col min="11" max="11" width="9.140625" style="10" customWidth="1"/>
    <col min="12" max="12" width="10.421875" style="10" customWidth="1"/>
    <col min="13" max="13" width="10.8515625" style="10" customWidth="1"/>
    <col min="14" max="14" width="9.140625" style="10" customWidth="1"/>
    <col min="15" max="15" width="10.421875" style="10" customWidth="1"/>
    <col min="16" max="16" width="10.8515625" style="10" customWidth="1"/>
    <col min="17" max="17" width="9.140625" style="10" customWidth="1"/>
    <col min="18" max="18" width="10.421875" style="10" customWidth="1"/>
    <col min="19" max="19" width="11.140625" style="10" customWidth="1"/>
    <col min="20" max="20" width="9.140625" style="10" customWidth="1"/>
    <col min="21" max="22" width="10.421875" style="10" customWidth="1"/>
    <col min="23" max="23" width="9.140625" style="10" customWidth="1"/>
    <col min="24" max="24" width="10.421875" style="10" customWidth="1"/>
    <col min="25" max="25" width="10.57421875" style="10" customWidth="1"/>
    <col min="26" max="26" width="9.140625" style="10" customWidth="1"/>
    <col min="27" max="27" width="10.421875" style="10" customWidth="1"/>
    <col min="28" max="28" width="10.28125" style="10" customWidth="1"/>
    <col min="29" max="29" width="9.140625" style="10" customWidth="1"/>
    <col min="30" max="30" width="10.421875" style="10" customWidth="1"/>
    <col min="31" max="31" width="11.28125" style="10" customWidth="1"/>
    <col min="32" max="32" width="9.140625" style="10" customWidth="1"/>
    <col min="33" max="33" width="10.421875" style="10" customWidth="1"/>
    <col min="34" max="34" width="10.140625" style="10" customWidth="1"/>
    <col min="35" max="35" width="9.140625" style="10" customWidth="1"/>
    <col min="36" max="36" width="10.421875" style="10" customWidth="1"/>
    <col min="37" max="37" width="10.7109375" style="10" customWidth="1"/>
    <col min="38" max="38" width="9.140625" style="10" customWidth="1"/>
    <col min="39" max="39" width="10.421875" style="10" customWidth="1"/>
    <col min="40" max="40" width="10.28125" style="10" customWidth="1"/>
    <col min="41" max="41" width="9.140625" style="10" customWidth="1"/>
    <col min="42" max="42" width="10.421875" style="10" customWidth="1"/>
    <col min="43" max="43" width="10.7109375" style="10" customWidth="1"/>
    <col min="44" max="44" width="9.140625" style="10" customWidth="1"/>
    <col min="45" max="45" width="10.421875" style="10" customWidth="1"/>
    <col min="46" max="46" width="10.140625" style="10" customWidth="1"/>
    <col min="47" max="47" width="9.140625" style="10" customWidth="1"/>
    <col min="48" max="48" width="10.421875" style="10" customWidth="1"/>
    <col min="49" max="49" width="10.140625" style="10" customWidth="1"/>
    <col min="50" max="50" width="9.140625" style="10" customWidth="1"/>
    <col min="51" max="51" width="10.421875" style="10" customWidth="1"/>
    <col min="52" max="52" width="10.28125" style="10" customWidth="1"/>
    <col min="53" max="53" width="9.140625" style="10" customWidth="1"/>
    <col min="54" max="54" width="10.421875" style="10" customWidth="1"/>
    <col min="55" max="55" width="10.140625" style="10" customWidth="1"/>
    <col min="56" max="56" width="9.140625" style="10" customWidth="1"/>
    <col min="57" max="57" width="10.421875" style="10" customWidth="1"/>
    <col min="58" max="58" width="10.28125" style="10" customWidth="1"/>
    <col min="59" max="59" width="9.140625" style="10" customWidth="1"/>
    <col min="60" max="60" width="9.8515625" style="10" customWidth="1"/>
    <col min="61" max="61" width="10.421875" style="10" customWidth="1"/>
    <col min="62" max="62" width="9.140625" style="10" customWidth="1"/>
    <col min="63" max="63" width="11.57421875" style="10" customWidth="1"/>
    <col min="64" max="64" width="11.8515625" style="10" customWidth="1"/>
    <col min="65" max="65" width="9.140625" style="10" customWidth="1"/>
    <col min="66" max="66" width="10.421875" style="10" bestFit="1" customWidth="1"/>
    <col min="67" max="67" width="13.00390625" style="10" customWidth="1"/>
    <col min="68" max="68" width="13.28125" style="10" customWidth="1"/>
    <col min="69" max="16384" width="9.140625" style="10" customWidth="1"/>
  </cols>
  <sheetData>
    <row r="1" spans="1:66" ht="15.75">
      <c r="A1" s="6"/>
      <c r="B1" s="4" t="s">
        <v>84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8" t="s">
        <v>1</v>
      </c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9"/>
      <c r="BI1" s="9"/>
      <c r="BJ1" s="9"/>
      <c r="BK1" s="9"/>
      <c r="BL1" s="9"/>
      <c r="BM1" s="9"/>
      <c r="BN1" s="9"/>
    </row>
    <row r="2" spans="1:66" ht="15.75">
      <c r="A2" s="7"/>
      <c r="B2" s="5" t="s">
        <v>148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11"/>
      <c r="BI2" s="11"/>
      <c r="BJ2" s="11"/>
      <c r="BK2" s="11"/>
      <c r="BL2" s="11"/>
      <c r="BM2" s="11"/>
      <c r="BN2" s="11"/>
    </row>
    <row r="3" spans="1:74" ht="15.75">
      <c r="A3" s="8" t="s">
        <v>2</v>
      </c>
      <c r="B3" s="7"/>
      <c r="C3" s="6" t="s">
        <v>149</v>
      </c>
      <c r="D3" s="12"/>
      <c r="E3" s="12"/>
      <c r="F3" s="6" t="s">
        <v>150</v>
      </c>
      <c r="G3" s="12"/>
      <c r="H3" s="12"/>
      <c r="I3" s="6" t="s">
        <v>151</v>
      </c>
      <c r="J3" s="12"/>
      <c r="K3" s="12"/>
      <c r="L3" s="6" t="s">
        <v>152</v>
      </c>
      <c r="M3" s="12"/>
      <c r="N3" s="12"/>
      <c r="O3" s="6" t="s">
        <v>153</v>
      </c>
      <c r="P3" s="12"/>
      <c r="Q3" s="12"/>
      <c r="R3" s="6" t="s">
        <v>154</v>
      </c>
      <c r="S3" s="12"/>
      <c r="T3" s="12"/>
      <c r="U3" s="6" t="s">
        <v>155</v>
      </c>
      <c r="V3" s="12"/>
      <c r="W3" s="12"/>
      <c r="X3" s="6" t="s">
        <v>156</v>
      </c>
      <c r="Y3" s="12"/>
      <c r="Z3" s="12"/>
      <c r="AA3" s="6" t="s">
        <v>157</v>
      </c>
      <c r="AB3" s="12"/>
      <c r="AC3" s="12"/>
      <c r="AD3" s="6" t="s">
        <v>158</v>
      </c>
      <c r="AE3" s="12"/>
      <c r="AF3" s="12"/>
      <c r="AG3" s="6" t="s">
        <v>159</v>
      </c>
      <c r="AH3" s="12"/>
      <c r="AI3" s="12"/>
      <c r="AJ3" s="6" t="s">
        <v>160</v>
      </c>
      <c r="AK3" s="12"/>
      <c r="AL3" s="12"/>
      <c r="AM3" s="6" t="s">
        <v>161</v>
      </c>
      <c r="AN3" s="12"/>
      <c r="AO3" s="12"/>
      <c r="AP3" s="6" t="s">
        <v>162</v>
      </c>
      <c r="AQ3" s="12"/>
      <c r="AR3" s="12"/>
      <c r="AS3" s="6" t="s">
        <v>163</v>
      </c>
      <c r="AT3" s="12"/>
      <c r="AU3" s="12"/>
      <c r="AV3" s="6" t="s">
        <v>164</v>
      </c>
      <c r="AW3" s="12"/>
      <c r="AX3" s="12"/>
      <c r="AY3" s="6" t="s">
        <v>165</v>
      </c>
      <c r="AZ3" s="12"/>
      <c r="BA3" s="12"/>
      <c r="BB3" s="6" t="s">
        <v>166</v>
      </c>
      <c r="BC3" s="12"/>
      <c r="BD3" s="12"/>
      <c r="BE3" s="6" t="s">
        <v>167</v>
      </c>
      <c r="BF3" s="12"/>
      <c r="BG3" s="12"/>
      <c r="BH3" s="6" t="s">
        <v>168</v>
      </c>
      <c r="BI3" s="12"/>
      <c r="BJ3" s="12"/>
      <c r="BK3" s="6" t="s">
        <v>40</v>
      </c>
      <c r="BL3" s="37"/>
      <c r="BM3" s="37"/>
      <c r="BN3" s="37"/>
      <c r="BO3" s="38"/>
      <c r="BP3" s="37"/>
      <c r="BQ3" s="37"/>
      <c r="BR3" s="39"/>
      <c r="BS3" s="38"/>
      <c r="BT3" s="37"/>
      <c r="BU3" s="39"/>
      <c r="BV3" s="40"/>
    </row>
    <row r="4" spans="1:74" ht="16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11"/>
      <c r="BN4" s="11"/>
      <c r="BO4" s="11"/>
      <c r="BP4" s="11"/>
      <c r="BQ4" s="11"/>
      <c r="BR4" s="39"/>
      <c r="BS4" s="39"/>
      <c r="BT4" s="39"/>
      <c r="BU4" s="39"/>
      <c r="BV4" s="40"/>
    </row>
    <row r="5" spans="1:74" ht="16.5" thickTop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1"/>
      <c r="BN5" s="11"/>
      <c r="BO5" s="11"/>
      <c r="BP5" s="11"/>
      <c r="BQ5" s="11"/>
      <c r="BR5" s="11"/>
      <c r="BS5" s="11"/>
      <c r="BT5" s="11"/>
      <c r="BU5" s="11"/>
      <c r="BV5" s="40"/>
    </row>
    <row r="6" spans="1:74" ht="15.75">
      <c r="A6" s="12"/>
      <c r="B6" s="7"/>
      <c r="C6" s="14" t="s">
        <v>4</v>
      </c>
      <c r="D6" s="14" t="s">
        <v>4</v>
      </c>
      <c r="E6" s="14"/>
      <c r="F6" s="14" t="s">
        <v>4</v>
      </c>
      <c r="G6" s="14" t="s">
        <v>4</v>
      </c>
      <c r="H6" s="14"/>
      <c r="I6" s="14" t="s">
        <v>4</v>
      </c>
      <c r="J6" s="14" t="s">
        <v>4</v>
      </c>
      <c r="K6" s="14"/>
      <c r="L6" s="14" t="s">
        <v>4</v>
      </c>
      <c r="M6" s="14" t="s">
        <v>4</v>
      </c>
      <c r="N6" s="14"/>
      <c r="O6" s="14" t="s">
        <v>4</v>
      </c>
      <c r="P6" s="14" t="s">
        <v>4</v>
      </c>
      <c r="Q6" s="14"/>
      <c r="R6" s="14" t="s">
        <v>4</v>
      </c>
      <c r="S6" s="14" t="s">
        <v>4</v>
      </c>
      <c r="T6" s="14"/>
      <c r="U6" s="14" t="s">
        <v>4</v>
      </c>
      <c r="V6" s="14" t="s">
        <v>4</v>
      </c>
      <c r="W6" s="14"/>
      <c r="X6" s="14" t="s">
        <v>4</v>
      </c>
      <c r="Y6" s="14" t="s">
        <v>4</v>
      </c>
      <c r="Z6" s="14"/>
      <c r="AA6" s="14" t="s">
        <v>4</v>
      </c>
      <c r="AB6" s="14" t="s">
        <v>4</v>
      </c>
      <c r="AC6" s="14"/>
      <c r="AD6" s="14" t="s">
        <v>4</v>
      </c>
      <c r="AE6" s="14" t="s">
        <v>4</v>
      </c>
      <c r="AF6" s="14"/>
      <c r="AG6" s="14" t="s">
        <v>4</v>
      </c>
      <c r="AH6" s="14" t="s">
        <v>4</v>
      </c>
      <c r="AI6" s="14"/>
      <c r="AJ6" s="14" t="s">
        <v>4</v>
      </c>
      <c r="AK6" s="14" t="s">
        <v>4</v>
      </c>
      <c r="AL6" s="14"/>
      <c r="AM6" s="14" t="s">
        <v>4</v>
      </c>
      <c r="AN6" s="14" t="s">
        <v>4</v>
      </c>
      <c r="AO6" s="14"/>
      <c r="AP6" s="14" t="s">
        <v>4</v>
      </c>
      <c r="AQ6" s="14" t="s">
        <v>4</v>
      </c>
      <c r="AR6" s="14"/>
      <c r="AS6" s="14" t="s">
        <v>4</v>
      </c>
      <c r="AT6" s="14" t="s">
        <v>4</v>
      </c>
      <c r="AU6" s="14"/>
      <c r="AV6" s="14" t="s">
        <v>4</v>
      </c>
      <c r="AW6" s="14" t="s">
        <v>4</v>
      </c>
      <c r="AX6" s="14"/>
      <c r="AY6" s="14" t="s">
        <v>4</v>
      </c>
      <c r="AZ6" s="14" t="s">
        <v>4</v>
      </c>
      <c r="BA6" s="14"/>
      <c r="BB6" s="14" t="s">
        <v>4</v>
      </c>
      <c r="BC6" s="14" t="s">
        <v>4</v>
      </c>
      <c r="BD6" s="14"/>
      <c r="BE6" s="14" t="s">
        <v>4</v>
      </c>
      <c r="BF6" s="14" t="s">
        <v>4</v>
      </c>
      <c r="BG6" s="14"/>
      <c r="BH6" s="14" t="s">
        <v>4</v>
      </c>
      <c r="BI6" s="14" t="s">
        <v>4</v>
      </c>
      <c r="BJ6" s="14"/>
      <c r="BK6" s="14" t="s">
        <v>4</v>
      </c>
      <c r="BL6" s="14" t="s">
        <v>4</v>
      </c>
      <c r="BM6" s="41"/>
      <c r="BN6" s="41"/>
      <c r="BO6" s="41"/>
      <c r="BP6" s="41"/>
      <c r="BQ6" s="41"/>
      <c r="BR6" s="41"/>
      <c r="BS6" s="41"/>
      <c r="BT6" s="41"/>
      <c r="BU6" s="41"/>
      <c r="BV6" s="40"/>
    </row>
    <row r="7" spans="1:74" ht="15.75">
      <c r="A7" s="7"/>
      <c r="B7" s="15" t="s">
        <v>6</v>
      </c>
      <c r="C7" s="14" t="s">
        <v>7</v>
      </c>
      <c r="D7" s="14" t="s">
        <v>7</v>
      </c>
      <c r="E7" s="14"/>
      <c r="F7" s="14" t="s">
        <v>7</v>
      </c>
      <c r="G7" s="14" t="s">
        <v>7</v>
      </c>
      <c r="H7" s="14"/>
      <c r="I7" s="14" t="s">
        <v>7</v>
      </c>
      <c r="J7" s="14" t="s">
        <v>7</v>
      </c>
      <c r="K7" s="14"/>
      <c r="L7" s="14" t="s">
        <v>7</v>
      </c>
      <c r="M7" s="14" t="s">
        <v>7</v>
      </c>
      <c r="N7" s="14"/>
      <c r="O7" s="14" t="s">
        <v>7</v>
      </c>
      <c r="P7" s="14" t="s">
        <v>7</v>
      </c>
      <c r="Q7" s="14"/>
      <c r="R7" s="14" t="s">
        <v>7</v>
      </c>
      <c r="S7" s="14" t="s">
        <v>7</v>
      </c>
      <c r="T7" s="14"/>
      <c r="U7" s="14" t="s">
        <v>7</v>
      </c>
      <c r="V7" s="14" t="s">
        <v>7</v>
      </c>
      <c r="W7" s="14"/>
      <c r="X7" s="14" t="s">
        <v>7</v>
      </c>
      <c r="Y7" s="14" t="s">
        <v>7</v>
      </c>
      <c r="Z7" s="14"/>
      <c r="AA7" s="14" t="s">
        <v>7</v>
      </c>
      <c r="AB7" s="14" t="s">
        <v>7</v>
      </c>
      <c r="AC7" s="14"/>
      <c r="AD7" s="14" t="s">
        <v>7</v>
      </c>
      <c r="AE7" s="14" t="s">
        <v>7</v>
      </c>
      <c r="AF7" s="14"/>
      <c r="AG7" s="14" t="s">
        <v>7</v>
      </c>
      <c r="AH7" s="14" t="s">
        <v>7</v>
      </c>
      <c r="AI7" s="14"/>
      <c r="AJ7" s="14" t="s">
        <v>7</v>
      </c>
      <c r="AK7" s="14" t="s">
        <v>7</v>
      </c>
      <c r="AL7" s="14"/>
      <c r="AM7" s="14" t="s">
        <v>7</v>
      </c>
      <c r="AN7" s="14" t="s">
        <v>7</v>
      </c>
      <c r="AO7" s="14"/>
      <c r="AP7" s="14" t="s">
        <v>7</v>
      </c>
      <c r="AQ7" s="14" t="s">
        <v>7</v>
      </c>
      <c r="AR7" s="14"/>
      <c r="AS7" s="14" t="s">
        <v>7</v>
      </c>
      <c r="AT7" s="14" t="s">
        <v>7</v>
      </c>
      <c r="AU7" s="14"/>
      <c r="AV7" s="14" t="s">
        <v>7</v>
      </c>
      <c r="AW7" s="14" t="s">
        <v>7</v>
      </c>
      <c r="AX7" s="14"/>
      <c r="AY7" s="14" t="s">
        <v>7</v>
      </c>
      <c r="AZ7" s="14" t="s">
        <v>7</v>
      </c>
      <c r="BA7" s="14"/>
      <c r="BB7" s="14" t="s">
        <v>7</v>
      </c>
      <c r="BC7" s="14" t="s">
        <v>7</v>
      </c>
      <c r="BD7" s="14"/>
      <c r="BE7" s="14" t="s">
        <v>7</v>
      </c>
      <c r="BF7" s="14" t="s">
        <v>7</v>
      </c>
      <c r="BG7" s="14"/>
      <c r="BH7" s="14" t="s">
        <v>7</v>
      </c>
      <c r="BI7" s="14" t="s">
        <v>7</v>
      </c>
      <c r="BJ7" s="14"/>
      <c r="BK7" s="14" t="s">
        <v>7</v>
      </c>
      <c r="BL7" s="14" t="s">
        <v>7</v>
      </c>
      <c r="BM7" s="41"/>
      <c r="BN7" s="41"/>
      <c r="BO7" s="41"/>
      <c r="BP7" s="41"/>
      <c r="BQ7" s="41"/>
      <c r="BR7" s="41"/>
      <c r="BS7" s="41"/>
      <c r="BT7" s="41"/>
      <c r="BU7" s="41"/>
      <c r="BV7" s="40"/>
    </row>
    <row r="8" spans="1:74" ht="15.75">
      <c r="A8" s="7"/>
      <c r="B8" s="7"/>
      <c r="C8" s="14" t="s">
        <v>11</v>
      </c>
      <c r="D8" s="14" t="s">
        <v>10</v>
      </c>
      <c r="E8" s="14"/>
      <c r="F8" s="14" t="s">
        <v>11</v>
      </c>
      <c r="G8" s="14" t="s">
        <v>10</v>
      </c>
      <c r="H8" s="14"/>
      <c r="I8" s="14" t="s">
        <v>11</v>
      </c>
      <c r="J8" s="14" t="s">
        <v>10</v>
      </c>
      <c r="K8" s="14"/>
      <c r="L8" s="14" t="s">
        <v>11</v>
      </c>
      <c r="M8" s="14" t="s">
        <v>10</v>
      </c>
      <c r="N8" s="14"/>
      <c r="O8" s="14" t="s">
        <v>11</v>
      </c>
      <c r="P8" s="14" t="s">
        <v>10</v>
      </c>
      <c r="Q8" s="14"/>
      <c r="R8" s="14" t="s">
        <v>11</v>
      </c>
      <c r="S8" s="14" t="s">
        <v>10</v>
      </c>
      <c r="T8" s="14"/>
      <c r="U8" s="14" t="s">
        <v>11</v>
      </c>
      <c r="V8" s="14" t="s">
        <v>10</v>
      </c>
      <c r="W8" s="14"/>
      <c r="X8" s="14" t="s">
        <v>11</v>
      </c>
      <c r="Y8" s="14" t="s">
        <v>10</v>
      </c>
      <c r="Z8" s="14"/>
      <c r="AA8" s="14" t="s">
        <v>11</v>
      </c>
      <c r="AB8" s="14" t="s">
        <v>10</v>
      </c>
      <c r="AC8" s="14"/>
      <c r="AD8" s="14" t="s">
        <v>11</v>
      </c>
      <c r="AE8" s="14" t="s">
        <v>10</v>
      </c>
      <c r="AF8" s="14"/>
      <c r="AG8" s="14" t="s">
        <v>11</v>
      </c>
      <c r="AH8" s="14" t="s">
        <v>10</v>
      </c>
      <c r="AI8" s="14"/>
      <c r="AJ8" s="14" t="s">
        <v>11</v>
      </c>
      <c r="AK8" s="14" t="s">
        <v>10</v>
      </c>
      <c r="AL8" s="14"/>
      <c r="AM8" s="14" t="s">
        <v>11</v>
      </c>
      <c r="AN8" s="14" t="s">
        <v>10</v>
      </c>
      <c r="AO8" s="14"/>
      <c r="AP8" s="14" t="s">
        <v>11</v>
      </c>
      <c r="AQ8" s="14" t="s">
        <v>10</v>
      </c>
      <c r="AR8" s="14"/>
      <c r="AS8" s="14" t="s">
        <v>11</v>
      </c>
      <c r="AT8" s="14" t="s">
        <v>10</v>
      </c>
      <c r="AU8" s="14"/>
      <c r="AV8" s="14" t="s">
        <v>11</v>
      </c>
      <c r="AW8" s="14" t="s">
        <v>10</v>
      </c>
      <c r="AX8" s="14"/>
      <c r="AY8" s="14" t="s">
        <v>11</v>
      </c>
      <c r="AZ8" s="14" t="s">
        <v>10</v>
      </c>
      <c r="BA8" s="14"/>
      <c r="BB8" s="14" t="s">
        <v>11</v>
      </c>
      <c r="BC8" s="14" t="s">
        <v>10</v>
      </c>
      <c r="BD8" s="14"/>
      <c r="BE8" s="14" t="s">
        <v>11</v>
      </c>
      <c r="BF8" s="14" t="s">
        <v>10</v>
      </c>
      <c r="BG8" s="14"/>
      <c r="BH8" s="14" t="s">
        <v>11</v>
      </c>
      <c r="BI8" s="14" t="s">
        <v>10</v>
      </c>
      <c r="BJ8" s="14"/>
      <c r="BK8" s="14" t="s">
        <v>11</v>
      </c>
      <c r="BL8" s="14" t="s">
        <v>10</v>
      </c>
      <c r="BM8" s="41"/>
      <c r="BN8" s="41"/>
      <c r="BO8" s="41"/>
      <c r="BP8" s="41"/>
      <c r="BQ8" s="41"/>
      <c r="BR8" s="41"/>
      <c r="BS8" s="41"/>
      <c r="BT8" s="41"/>
      <c r="BU8" s="41"/>
      <c r="BV8" s="40"/>
    </row>
    <row r="9" spans="1:74" ht="15.75">
      <c r="A9" s="7"/>
      <c r="B9" s="7"/>
      <c r="C9" s="7"/>
      <c r="D9" s="14" t="s">
        <v>14</v>
      </c>
      <c r="E9" s="7"/>
      <c r="F9" s="7"/>
      <c r="G9" s="14" t="s">
        <v>14</v>
      </c>
      <c r="H9" s="7"/>
      <c r="I9" s="7"/>
      <c r="J9" s="14" t="s">
        <v>14</v>
      </c>
      <c r="K9" s="7"/>
      <c r="L9" s="7"/>
      <c r="M9" s="14" t="s">
        <v>14</v>
      </c>
      <c r="N9" s="7"/>
      <c r="O9" s="7"/>
      <c r="P9" s="14" t="s">
        <v>14</v>
      </c>
      <c r="Q9" s="7"/>
      <c r="R9" s="7"/>
      <c r="S9" s="14" t="s">
        <v>14</v>
      </c>
      <c r="T9" s="7"/>
      <c r="U9" s="7"/>
      <c r="V9" s="14" t="s">
        <v>14</v>
      </c>
      <c r="W9" s="8" t="s">
        <v>15</v>
      </c>
      <c r="X9" s="7"/>
      <c r="Y9" s="14" t="s">
        <v>14</v>
      </c>
      <c r="Z9" s="8" t="s">
        <v>15</v>
      </c>
      <c r="AA9" s="7"/>
      <c r="AB9" s="14" t="s">
        <v>14</v>
      </c>
      <c r="AC9" s="7"/>
      <c r="AD9" s="7"/>
      <c r="AE9" s="14" t="s">
        <v>14</v>
      </c>
      <c r="AF9" s="7"/>
      <c r="AG9" s="7"/>
      <c r="AH9" s="14" t="s">
        <v>14</v>
      </c>
      <c r="AI9" s="7"/>
      <c r="AJ9" s="7"/>
      <c r="AK9" s="14" t="s">
        <v>14</v>
      </c>
      <c r="AL9" s="7"/>
      <c r="AM9" s="7"/>
      <c r="AN9" s="14" t="s">
        <v>14</v>
      </c>
      <c r="AO9" s="7"/>
      <c r="AP9" s="7"/>
      <c r="AQ9" s="14" t="s">
        <v>14</v>
      </c>
      <c r="AR9" s="7"/>
      <c r="AS9" s="7"/>
      <c r="AT9" s="14" t="s">
        <v>14</v>
      </c>
      <c r="AU9" s="7"/>
      <c r="AV9" s="7"/>
      <c r="AW9" s="14" t="s">
        <v>14</v>
      </c>
      <c r="AX9" s="7"/>
      <c r="AY9" s="7"/>
      <c r="AZ9" s="14" t="s">
        <v>14</v>
      </c>
      <c r="BA9" s="7"/>
      <c r="BB9" s="7"/>
      <c r="BC9" s="14" t="s">
        <v>14</v>
      </c>
      <c r="BD9" s="7"/>
      <c r="BE9" s="7"/>
      <c r="BF9" s="14" t="s">
        <v>14</v>
      </c>
      <c r="BG9" s="7"/>
      <c r="BH9" s="7"/>
      <c r="BI9" s="14" t="s">
        <v>14</v>
      </c>
      <c r="BJ9" s="7"/>
      <c r="BK9" s="7"/>
      <c r="BL9" s="14" t="s">
        <v>14</v>
      </c>
      <c r="BM9" s="11"/>
      <c r="BN9" s="11"/>
      <c r="BO9" s="11"/>
      <c r="BP9" s="41"/>
      <c r="BQ9" s="11"/>
      <c r="BR9" s="41"/>
      <c r="BS9" s="41"/>
      <c r="BT9" s="41"/>
      <c r="BU9" s="11"/>
      <c r="BV9" s="40"/>
    </row>
    <row r="10" spans="1:74" ht="16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11"/>
      <c r="BN10" s="11"/>
      <c r="BO10" s="11"/>
      <c r="BP10" s="11"/>
      <c r="BQ10" s="11"/>
      <c r="BR10" s="11"/>
      <c r="BS10" s="11"/>
      <c r="BT10" s="41"/>
      <c r="BU10" s="11"/>
      <c r="BV10" s="40"/>
    </row>
    <row r="11" spans="1:74" ht="16.5" thickTop="1">
      <c r="A11" s="16" t="s">
        <v>2</v>
      </c>
      <c r="B11" s="13"/>
      <c r="C11" s="17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1"/>
      <c r="BN11" s="11"/>
      <c r="BO11" s="11"/>
      <c r="BP11" s="11"/>
      <c r="BQ11" s="11"/>
      <c r="BR11" s="11"/>
      <c r="BS11" s="11"/>
      <c r="BT11" s="11"/>
      <c r="BU11" s="11"/>
      <c r="BV11" s="40"/>
    </row>
    <row r="12" spans="1:74" ht="15.75">
      <c r="A12" s="18">
        <v>1</v>
      </c>
      <c r="B12" s="19" t="s">
        <v>17</v>
      </c>
      <c r="C12" s="7">
        <v>124.09</v>
      </c>
      <c r="D12" s="20">
        <v>117.09</v>
      </c>
      <c r="E12" s="7"/>
      <c r="F12" s="7">
        <v>123.35</v>
      </c>
      <c r="G12" s="20">
        <v>117.39</v>
      </c>
      <c r="H12" s="7"/>
      <c r="I12" s="7">
        <v>124.51</v>
      </c>
      <c r="J12" s="20">
        <v>116.57</v>
      </c>
      <c r="K12" s="7"/>
      <c r="L12" s="7">
        <v>124.93</v>
      </c>
      <c r="M12" s="20">
        <v>116.19</v>
      </c>
      <c r="N12" s="7"/>
      <c r="O12" s="7">
        <v>124.38</v>
      </c>
      <c r="P12" s="20">
        <v>116.12</v>
      </c>
      <c r="Q12" s="7"/>
      <c r="R12" s="7">
        <v>124.59</v>
      </c>
      <c r="S12" s="20">
        <v>116.08</v>
      </c>
      <c r="T12" s="7"/>
      <c r="U12" s="7">
        <v>125.09</v>
      </c>
      <c r="V12" s="20">
        <v>115.31</v>
      </c>
      <c r="W12" s="7"/>
      <c r="X12" s="7">
        <v>125.47</v>
      </c>
      <c r="Y12" s="20">
        <v>114.77</v>
      </c>
      <c r="Z12" s="7"/>
      <c r="AA12" s="7">
        <v>125.62</v>
      </c>
      <c r="AB12" s="20">
        <v>114.63</v>
      </c>
      <c r="AC12" s="7"/>
      <c r="AD12" s="7">
        <v>124.41</v>
      </c>
      <c r="AE12" s="7">
        <v>115.75</v>
      </c>
      <c r="AF12" s="7"/>
      <c r="AG12" s="7">
        <v>124.26</v>
      </c>
      <c r="AH12" s="20">
        <v>115.8</v>
      </c>
      <c r="AI12" s="7"/>
      <c r="AJ12" s="7">
        <v>124.7</v>
      </c>
      <c r="AK12" s="20">
        <v>115</v>
      </c>
      <c r="AL12" s="7"/>
      <c r="AM12" s="7">
        <v>124.26</v>
      </c>
      <c r="AN12" s="20">
        <v>114.31</v>
      </c>
      <c r="AO12" s="7"/>
      <c r="AP12" s="7">
        <v>123.81</v>
      </c>
      <c r="AQ12" s="20">
        <v>114.68</v>
      </c>
      <c r="AR12" s="7"/>
      <c r="AS12" s="7">
        <v>122.56</v>
      </c>
      <c r="AT12" s="20">
        <v>115.02</v>
      </c>
      <c r="AU12" s="7"/>
      <c r="AV12" s="7">
        <v>121.51</v>
      </c>
      <c r="AW12" s="20">
        <v>115.5</v>
      </c>
      <c r="AX12" s="7"/>
      <c r="AY12" s="7">
        <v>121.63</v>
      </c>
      <c r="AZ12" s="20">
        <v>115.63</v>
      </c>
      <c r="BA12" s="7"/>
      <c r="BB12" s="7">
        <v>120.32</v>
      </c>
      <c r="BC12" s="20">
        <v>116.1</v>
      </c>
      <c r="BD12" s="7"/>
      <c r="BE12" s="7">
        <v>119.74</v>
      </c>
      <c r="BF12" s="20">
        <v>117.01</v>
      </c>
      <c r="BG12" s="7"/>
      <c r="BH12" s="22">
        <v>119.05</v>
      </c>
      <c r="BI12" s="23">
        <v>117.39</v>
      </c>
      <c r="BJ12" s="7"/>
      <c r="BK12" s="7">
        <f aca="true" t="shared" si="0" ref="BK12:BK24">(+C12+F12+I12+L12+O12+R12+U12+X12+AA12+AD12+AG12+AJ12+AM12+AP12+AS12+AV12+AY12+BB12+BE12+BH12)/20</f>
        <v>123.41400000000002</v>
      </c>
      <c r="BL12" s="7">
        <f aca="true" t="shared" si="1" ref="BL12:BL24">(+D12+G12+J12+M12+P12+S12+V12+Y12+AB12+AE12+AH12+AK12+AN12+AQ12+AT12+AW12+AZ12+BC12+BF12+BI12)/20</f>
        <v>115.81700000000001</v>
      </c>
      <c r="BM12" s="11"/>
      <c r="BN12" s="11"/>
      <c r="BO12" s="11"/>
      <c r="BP12" s="11"/>
      <c r="BQ12" s="11"/>
      <c r="BR12" s="11"/>
      <c r="BS12" s="11"/>
      <c r="BT12" s="11"/>
      <c r="BU12" s="11"/>
      <c r="BV12" s="40"/>
    </row>
    <row r="13" spans="1:74" ht="15.75">
      <c r="A13" s="18">
        <v>2</v>
      </c>
      <c r="B13" s="19" t="s">
        <v>18</v>
      </c>
      <c r="C13" s="7">
        <f>1/0.4569</f>
        <v>2.188662727073758</v>
      </c>
      <c r="D13" s="20">
        <v>211.69</v>
      </c>
      <c r="E13" s="7"/>
      <c r="F13" s="7">
        <f>1/1.465</f>
        <v>0.68259385665529</v>
      </c>
      <c r="G13" s="20">
        <v>212.13</v>
      </c>
      <c r="H13" s="7"/>
      <c r="I13" s="7">
        <f>1/1.4561</f>
        <v>0.686766018817389</v>
      </c>
      <c r="J13" s="20">
        <v>211.34</v>
      </c>
      <c r="K13" s="7"/>
      <c r="L13" s="7">
        <f>1/1.4553</f>
        <v>0.6871435442864015</v>
      </c>
      <c r="M13" s="20">
        <v>211.24</v>
      </c>
      <c r="N13" s="7"/>
      <c r="O13" s="7">
        <f>1/1.4583</f>
        <v>0.6857299595419324</v>
      </c>
      <c r="P13" s="20">
        <v>210.62</v>
      </c>
      <c r="Q13" s="7"/>
      <c r="R13" s="7">
        <f>1/1.4581</f>
        <v>0.6858240175570949</v>
      </c>
      <c r="S13" s="20">
        <v>210.88</v>
      </c>
      <c r="T13" s="7"/>
      <c r="U13" s="7">
        <f>1/1.4649</f>
        <v>0.682640453273261</v>
      </c>
      <c r="V13" s="20">
        <v>211.29</v>
      </c>
      <c r="W13" s="7"/>
      <c r="X13" s="7">
        <f>1/1.4738</f>
        <v>0.6785181164337087</v>
      </c>
      <c r="Y13" s="20">
        <v>212.23</v>
      </c>
      <c r="Z13" s="7"/>
      <c r="AA13" s="7">
        <f>1/1.4691</f>
        <v>0.6806888571234089</v>
      </c>
      <c r="AB13" s="20">
        <v>211.54</v>
      </c>
      <c r="AC13" s="7"/>
      <c r="AD13" s="7">
        <f>1/1.4747</f>
        <v>0.6781040211568455</v>
      </c>
      <c r="AE13" s="7">
        <v>212.36</v>
      </c>
      <c r="AF13" s="7"/>
      <c r="AG13" s="7">
        <f>1/1.4767</f>
        <v>0.677185616577504</v>
      </c>
      <c r="AH13" s="20">
        <v>212.48</v>
      </c>
      <c r="AI13" s="7"/>
      <c r="AJ13" s="7">
        <f>1/1.4818</f>
        <v>0.6748549061951681</v>
      </c>
      <c r="AK13" s="20">
        <v>212.5</v>
      </c>
      <c r="AL13" s="7"/>
      <c r="AM13" s="7">
        <f>1/1.4931</f>
        <v>0.6697475051905432</v>
      </c>
      <c r="AN13" s="20">
        <v>212.08</v>
      </c>
      <c r="AO13" s="7"/>
      <c r="AP13" s="7">
        <f>1/1.4924</f>
        <v>0.6700616456714018</v>
      </c>
      <c r="AQ13" s="20">
        <v>211.89</v>
      </c>
      <c r="AR13" s="7"/>
      <c r="AS13" s="7">
        <f>1/1.4959</f>
        <v>0.6684938832809679</v>
      </c>
      <c r="AT13" s="20">
        <v>210.87</v>
      </c>
      <c r="AU13" s="7"/>
      <c r="AV13" s="7">
        <f>1/1.503</f>
        <v>0.6653359946773121</v>
      </c>
      <c r="AW13" s="20">
        <v>210.94</v>
      </c>
      <c r="AX13" s="7"/>
      <c r="AY13" s="7">
        <f>1/1.5027</f>
        <v>0.6654688227856526</v>
      </c>
      <c r="AZ13" s="20">
        <v>211.34</v>
      </c>
      <c r="BA13" s="7"/>
      <c r="BB13" s="7">
        <f>1/1.5228</f>
        <v>0.6566850538481744</v>
      </c>
      <c r="BC13" s="20">
        <v>212.72</v>
      </c>
      <c r="BD13" s="7"/>
      <c r="BE13" s="7">
        <f>1/1.5194</f>
        <v>0.6581545346847439</v>
      </c>
      <c r="BF13" s="20">
        <v>212.88</v>
      </c>
      <c r="BG13" s="7"/>
      <c r="BH13" s="22">
        <f>1/1.5317</f>
        <v>0.6528693608408958</v>
      </c>
      <c r="BI13" s="23">
        <v>214.05</v>
      </c>
      <c r="BJ13" s="7"/>
      <c r="BK13" s="7">
        <f t="shared" si="0"/>
        <v>0.7497764447835726</v>
      </c>
      <c r="BL13" s="7">
        <f t="shared" si="1"/>
        <v>211.8535</v>
      </c>
      <c r="BM13" s="11"/>
      <c r="BN13" s="11"/>
      <c r="BO13" s="11"/>
      <c r="BP13" s="11"/>
      <c r="BQ13" s="11"/>
      <c r="BR13" s="11"/>
      <c r="BS13" s="11"/>
      <c r="BT13" s="11"/>
      <c r="BU13" s="11"/>
      <c r="BV13" s="40"/>
    </row>
    <row r="14" spans="1:74" ht="15.75">
      <c r="A14" s="18">
        <v>3</v>
      </c>
      <c r="B14" s="19" t="s">
        <v>19</v>
      </c>
      <c r="C14" s="7">
        <v>1.572</v>
      </c>
      <c r="D14" s="20">
        <v>92.43</v>
      </c>
      <c r="E14" s="7"/>
      <c r="F14" s="7">
        <v>1.5551</v>
      </c>
      <c r="G14" s="20">
        <v>93.11</v>
      </c>
      <c r="H14" s="7"/>
      <c r="I14" s="7">
        <v>1.5697</v>
      </c>
      <c r="J14" s="20">
        <v>92.47</v>
      </c>
      <c r="K14" s="7"/>
      <c r="L14" s="7">
        <v>1.5698</v>
      </c>
      <c r="M14" s="20">
        <v>92.47</v>
      </c>
      <c r="N14" s="7"/>
      <c r="O14" s="7">
        <v>1.5576</v>
      </c>
      <c r="P14" s="20">
        <v>92.73</v>
      </c>
      <c r="Q14" s="7"/>
      <c r="R14" s="7">
        <v>1.5575</v>
      </c>
      <c r="S14" s="20">
        <v>92.86</v>
      </c>
      <c r="T14" s="7"/>
      <c r="U14" s="7">
        <v>1.563</v>
      </c>
      <c r="V14" s="20">
        <v>92.28</v>
      </c>
      <c r="W14" s="7"/>
      <c r="X14" s="7">
        <v>1.5575</v>
      </c>
      <c r="Y14" s="20">
        <v>92.46</v>
      </c>
      <c r="Z14" s="7"/>
      <c r="AA14" s="7">
        <v>1.5691</v>
      </c>
      <c r="AB14" s="20">
        <v>91.77</v>
      </c>
      <c r="AC14" s="7"/>
      <c r="AD14" s="7">
        <v>1.5566</v>
      </c>
      <c r="AE14" s="7">
        <v>92.51</v>
      </c>
      <c r="AF14" s="7"/>
      <c r="AG14" s="7">
        <v>1.5655</v>
      </c>
      <c r="AH14" s="20">
        <v>91.91</v>
      </c>
      <c r="AI14" s="7"/>
      <c r="AJ14" s="7">
        <v>1.5584</v>
      </c>
      <c r="AK14" s="20">
        <v>92.02</v>
      </c>
      <c r="AL14" s="7"/>
      <c r="AM14" s="7">
        <v>1.5467</v>
      </c>
      <c r="AN14" s="20">
        <v>91.83</v>
      </c>
      <c r="AO14" s="7"/>
      <c r="AP14" s="7">
        <v>1.5345</v>
      </c>
      <c r="AQ14" s="20">
        <v>92.53</v>
      </c>
      <c r="AR14" s="7"/>
      <c r="AS14" s="7">
        <v>1.5247</v>
      </c>
      <c r="AT14" s="20">
        <v>92.45</v>
      </c>
      <c r="AU14" s="7"/>
      <c r="AV14" s="7">
        <v>1.5057</v>
      </c>
      <c r="AW14" s="20">
        <v>93.21</v>
      </c>
      <c r="AX14" s="7"/>
      <c r="AY14" s="7">
        <v>1.5119</v>
      </c>
      <c r="AZ14" s="20">
        <v>93.02</v>
      </c>
      <c r="BA14" s="7"/>
      <c r="BB14" s="7">
        <v>1.4862</v>
      </c>
      <c r="BC14" s="20">
        <v>93.99</v>
      </c>
      <c r="BD14" s="7"/>
      <c r="BE14" s="7">
        <v>1.492</v>
      </c>
      <c r="BF14" s="20">
        <v>93.91</v>
      </c>
      <c r="BG14" s="7"/>
      <c r="BH14" s="22">
        <v>1.4823</v>
      </c>
      <c r="BI14" s="23">
        <v>94.28</v>
      </c>
      <c r="BJ14" s="7"/>
      <c r="BK14" s="7">
        <f t="shared" si="0"/>
        <v>1.54179</v>
      </c>
      <c r="BL14" s="7">
        <f t="shared" si="1"/>
        <v>92.712</v>
      </c>
      <c r="BM14" s="11"/>
      <c r="BN14" s="11"/>
      <c r="BO14" s="11"/>
      <c r="BP14" s="11"/>
      <c r="BQ14" s="11"/>
      <c r="BR14" s="11"/>
      <c r="BS14" s="11"/>
      <c r="BT14" s="11"/>
      <c r="BU14" s="11"/>
      <c r="BV14" s="40"/>
    </row>
    <row r="15" spans="1:74" ht="15.75">
      <c r="A15" s="18">
        <v>4</v>
      </c>
      <c r="B15" s="19" t="s">
        <v>24</v>
      </c>
      <c r="C15" s="7">
        <f>1/0.9325</f>
        <v>1.0723860589812333</v>
      </c>
      <c r="D15" s="20">
        <v>135.49</v>
      </c>
      <c r="E15" s="7"/>
      <c r="F15" s="7">
        <f>1/0.9434</f>
        <v>1.0599957600169598</v>
      </c>
      <c r="G15" s="20">
        <v>136.6</v>
      </c>
      <c r="H15" s="7"/>
      <c r="I15" s="7">
        <f>1/0.9363</f>
        <v>1.0680337498664958</v>
      </c>
      <c r="J15" s="20">
        <v>135.9</v>
      </c>
      <c r="K15" s="7"/>
      <c r="L15" s="7">
        <f>1/0.9371</f>
        <v>1.0671219720414042</v>
      </c>
      <c r="M15" s="20">
        <v>136.02</v>
      </c>
      <c r="N15" s="7"/>
      <c r="O15" s="7">
        <f>1/0.9442</f>
        <v>1.0590976488032195</v>
      </c>
      <c r="P15" s="20">
        <v>136.37</v>
      </c>
      <c r="Q15" s="7"/>
      <c r="R15" s="7">
        <f>1/0.9447</f>
        <v>1.0585371017254155</v>
      </c>
      <c r="S15" s="20">
        <v>136.63</v>
      </c>
      <c r="T15" s="7"/>
      <c r="U15" s="7">
        <f>1/0.9432</f>
        <v>1.0602205258693809</v>
      </c>
      <c r="V15" s="20">
        <v>136.04</v>
      </c>
      <c r="W15" s="7"/>
      <c r="X15" s="7">
        <f>1/0.9482</f>
        <v>1.054629824931449</v>
      </c>
      <c r="Y15" s="20">
        <v>136.54</v>
      </c>
      <c r="Z15" s="7"/>
      <c r="AA15" s="7">
        <f>1/0.9401</f>
        <v>1.0637166258908626</v>
      </c>
      <c r="AB15" s="20">
        <v>135.37</v>
      </c>
      <c r="AC15" s="7"/>
      <c r="AD15" s="7">
        <f>1/0.9472</f>
        <v>1.0557432432432432</v>
      </c>
      <c r="AE15" s="7">
        <v>136.4</v>
      </c>
      <c r="AF15" s="7"/>
      <c r="AG15" s="7">
        <f>1/0.9428</f>
        <v>1.0606703436571914</v>
      </c>
      <c r="AH15" s="20">
        <v>135.66</v>
      </c>
      <c r="AI15" s="7"/>
      <c r="AJ15" s="7">
        <f>1/0.9466</f>
        <v>1.0564124234100993</v>
      </c>
      <c r="AK15" s="20">
        <v>135.75</v>
      </c>
      <c r="AL15" s="7"/>
      <c r="AM15" s="24">
        <f>1/0.9539</f>
        <v>1.048327916972429</v>
      </c>
      <c r="AN15" s="20">
        <v>135.49</v>
      </c>
      <c r="AO15" s="7"/>
      <c r="AP15" s="24">
        <f>1/0.9571</f>
        <v>1.0448229025180233</v>
      </c>
      <c r="AQ15" s="20">
        <v>135.89</v>
      </c>
      <c r="AR15" s="7"/>
      <c r="AS15" s="7">
        <f>1/0.9637</f>
        <v>1.0376673238559717</v>
      </c>
      <c r="AT15" s="20">
        <v>135.85</v>
      </c>
      <c r="AU15" s="7"/>
      <c r="AV15" s="7">
        <f>1/0.9743</f>
        <v>1.0263779123473262</v>
      </c>
      <c r="AW15" s="20">
        <v>136.74</v>
      </c>
      <c r="AX15" s="7"/>
      <c r="AY15" s="7">
        <f>1/0.9712</f>
        <v>1.0296540362438222</v>
      </c>
      <c r="AZ15" s="20">
        <v>136.59</v>
      </c>
      <c r="BA15" s="7"/>
      <c r="BB15" s="7">
        <f>1/0.9881</f>
        <v>1.0120433154539015</v>
      </c>
      <c r="BC15" s="20">
        <v>138.03</v>
      </c>
      <c r="BD15" s="7"/>
      <c r="BE15" s="7">
        <f>1/0.9844</f>
        <v>1.0158472165786265</v>
      </c>
      <c r="BF15" s="20">
        <v>137.92</v>
      </c>
      <c r="BG15" s="7"/>
      <c r="BH15" s="22">
        <f>1/0.9928</f>
        <v>1.0072522159548751</v>
      </c>
      <c r="BI15" s="23">
        <v>138.74</v>
      </c>
      <c r="BJ15" s="7"/>
      <c r="BK15" s="7">
        <f t="shared" si="0"/>
        <v>1.0479279059180966</v>
      </c>
      <c r="BL15" s="7">
        <f t="shared" si="1"/>
        <v>136.401</v>
      </c>
      <c r="BM15" s="11"/>
      <c r="BN15" s="11"/>
      <c r="BO15" s="11"/>
      <c r="BP15" s="11"/>
      <c r="BQ15" s="11"/>
      <c r="BR15" s="11"/>
      <c r="BS15" s="11"/>
      <c r="BT15" s="11"/>
      <c r="BU15" s="11"/>
      <c r="BV15" s="40"/>
    </row>
    <row r="16" spans="1:74" ht="15.75">
      <c r="A16" s="18">
        <v>5</v>
      </c>
      <c r="B16" s="19" t="s">
        <v>25</v>
      </c>
      <c r="C16" s="7">
        <v>327</v>
      </c>
      <c r="D16" s="20">
        <v>47512.69</v>
      </c>
      <c r="E16" s="7"/>
      <c r="F16" s="7">
        <v>329.5</v>
      </c>
      <c r="G16" s="20">
        <v>47710.16</v>
      </c>
      <c r="H16" s="7"/>
      <c r="I16" s="7">
        <v>324.4</v>
      </c>
      <c r="J16" s="20">
        <v>47084.84</v>
      </c>
      <c r="K16" s="7"/>
      <c r="L16" s="7">
        <v>322.9</v>
      </c>
      <c r="M16" s="20">
        <v>46869.54</v>
      </c>
      <c r="N16" s="7"/>
      <c r="O16" s="7">
        <v>326.15</v>
      </c>
      <c r="P16" s="20">
        <v>47105.64</v>
      </c>
      <c r="Q16" s="7"/>
      <c r="R16" s="7">
        <v>322.5</v>
      </c>
      <c r="S16" s="20">
        <v>46641.16</v>
      </c>
      <c r="T16" s="7"/>
      <c r="U16" s="7">
        <v>318.85</v>
      </c>
      <c r="V16" s="20">
        <v>45989.73</v>
      </c>
      <c r="W16" s="7"/>
      <c r="X16" s="7">
        <v>319.4</v>
      </c>
      <c r="Y16" s="20">
        <v>45994.2</v>
      </c>
      <c r="Z16" s="7"/>
      <c r="AA16" s="7">
        <v>317.5</v>
      </c>
      <c r="AB16" s="20">
        <v>45718.81</v>
      </c>
      <c r="AC16" s="7"/>
      <c r="AD16" s="7">
        <v>319.5</v>
      </c>
      <c r="AE16" s="7">
        <v>46008.2</v>
      </c>
      <c r="AF16" s="7"/>
      <c r="AG16" s="7">
        <v>317.85</v>
      </c>
      <c r="AH16" s="20">
        <v>45734.84</v>
      </c>
      <c r="AI16" s="7"/>
      <c r="AJ16" s="7">
        <v>318.1</v>
      </c>
      <c r="AK16" s="20">
        <v>45618.32</v>
      </c>
      <c r="AL16" s="7"/>
      <c r="AM16" s="7">
        <v>321.3</v>
      </c>
      <c r="AN16" s="20">
        <v>45636.85</v>
      </c>
      <c r="AO16" s="7"/>
      <c r="AP16" s="7">
        <v>320.9</v>
      </c>
      <c r="AQ16" s="20">
        <v>45561.38</v>
      </c>
      <c r="AR16" s="7"/>
      <c r="AS16" s="7">
        <v>323.25</v>
      </c>
      <c r="AT16" s="20">
        <v>45566.73</v>
      </c>
      <c r="AU16" s="7"/>
      <c r="AV16" s="7">
        <v>326.35</v>
      </c>
      <c r="AW16" s="20">
        <v>45802.61</v>
      </c>
      <c r="AX16" s="7"/>
      <c r="AY16" s="7">
        <v>323</v>
      </c>
      <c r="AZ16" s="20">
        <v>45425.91</v>
      </c>
      <c r="BA16" s="7"/>
      <c r="BB16" s="7">
        <v>324.5</v>
      </c>
      <c r="BC16" s="20">
        <v>45328.59</v>
      </c>
      <c r="BD16" s="7"/>
      <c r="BE16" s="7">
        <v>319.4</v>
      </c>
      <c r="BF16" s="20">
        <v>44750.73</v>
      </c>
      <c r="BG16" s="7"/>
      <c r="BH16" s="22">
        <v>318.8</v>
      </c>
      <c r="BI16" s="23">
        <v>44552.1</v>
      </c>
      <c r="BJ16" s="7"/>
      <c r="BK16" s="7">
        <f t="shared" si="0"/>
        <v>322.0575</v>
      </c>
      <c r="BL16" s="7">
        <f t="shared" si="1"/>
        <v>46030.65149999999</v>
      </c>
      <c r="BM16" s="11"/>
      <c r="BN16" s="11"/>
      <c r="BO16" s="11"/>
      <c r="BP16" s="11"/>
      <c r="BQ16" s="11"/>
      <c r="BR16" s="11"/>
      <c r="BS16" s="11"/>
      <c r="BT16" s="11"/>
      <c r="BU16" s="11"/>
      <c r="BV16" s="40"/>
    </row>
    <row r="17" spans="1:74" ht="15.75">
      <c r="A17" s="18">
        <v>6</v>
      </c>
      <c r="B17" s="25" t="s">
        <v>26</v>
      </c>
      <c r="C17" s="7">
        <v>5.02</v>
      </c>
      <c r="D17" s="20">
        <v>729.4</v>
      </c>
      <c r="E17" s="7"/>
      <c r="F17" s="7">
        <v>5.09</v>
      </c>
      <c r="G17" s="20">
        <v>737.01</v>
      </c>
      <c r="H17" s="7"/>
      <c r="I17" s="7">
        <v>5.03</v>
      </c>
      <c r="J17" s="20">
        <v>730.08</v>
      </c>
      <c r="K17" s="7"/>
      <c r="L17" s="7">
        <v>4.94</v>
      </c>
      <c r="M17" s="20">
        <v>717.05</v>
      </c>
      <c r="N17" s="7"/>
      <c r="O17" s="7">
        <v>4.99</v>
      </c>
      <c r="P17" s="20">
        <v>720.7</v>
      </c>
      <c r="Q17" s="7"/>
      <c r="R17" s="7">
        <v>4.94</v>
      </c>
      <c r="S17" s="20">
        <v>714.44</v>
      </c>
      <c r="T17" s="7"/>
      <c r="U17" s="7">
        <v>4.89</v>
      </c>
      <c r="V17" s="20">
        <v>705.32</v>
      </c>
      <c r="W17" s="7"/>
      <c r="X17" s="7">
        <v>4.87</v>
      </c>
      <c r="Y17" s="20">
        <v>701.29</v>
      </c>
      <c r="Z17" s="7"/>
      <c r="AA17" s="7">
        <v>4.85</v>
      </c>
      <c r="AB17" s="20">
        <v>698.38</v>
      </c>
      <c r="AC17" s="7"/>
      <c r="AD17" s="7">
        <v>4.87</v>
      </c>
      <c r="AE17" s="7">
        <v>701.28</v>
      </c>
      <c r="AF17" s="7"/>
      <c r="AG17" s="7">
        <v>4.83</v>
      </c>
      <c r="AH17" s="20">
        <v>694.98</v>
      </c>
      <c r="AI17" s="7"/>
      <c r="AJ17" s="7">
        <v>4.83</v>
      </c>
      <c r="AK17" s="20">
        <v>692.66</v>
      </c>
      <c r="AL17" s="7"/>
      <c r="AM17" s="7">
        <v>4.89</v>
      </c>
      <c r="AN17" s="20">
        <v>694.57</v>
      </c>
      <c r="AO17" s="7"/>
      <c r="AP17" s="7">
        <v>4.86</v>
      </c>
      <c r="AQ17" s="20">
        <v>690.02</v>
      </c>
      <c r="AR17" s="7"/>
      <c r="AS17" s="7">
        <v>4.88</v>
      </c>
      <c r="AT17" s="20">
        <v>687.91</v>
      </c>
      <c r="AU17" s="7"/>
      <c r="AV17" s="7">
        <v>4.89</v>
      </c>
      <c r="AW17" s="20">
        <v>686.3</v>
      </c>
      <c r="AX17" s="7"/>
      <c r="AY17" s="7">
        <v>4.84</v>
      </c>
      <c r="AZ17" s="20">
        <v>680.69</v>
      </c>
      <c r="BA17" s="7"/>
      <c r="BB17" s="7">
        <v>4.86</v>
      </c>
      <c r="BC17" s="20">
        <v>678.88</v>
      </c>
      <c r="BD17" s="7"/>
      <c r="BE17" s="7">
        <v>4.82</v>
      </c>
      <c r="BF17" s="20">
        <v>675.32</v>
      </c>
      <c r="BG17" s="7"/>
      <c r="BH17" s="22">
        <v>4.85</v>
      </c>
      <c r="BI17" s="23">
        <v>677.78</v>
      </c>
      <c r="BJ17" s="7"/>
      <c r="BK17" s="7">
        <f t="shared" si="0"/>
        <v>4.901999999999999</v>
      </c>
      <c r="BL17" s="7">
        <f t="shared" si="1"/>
        <v>700.703</v>
      </c>
      <c r="BM17" s="11"/>
      <c r="BN17" s="11"/>
      <c r="BO17" s="11"/>
      <c r="BP17" s="11"/>
      <c r="BQ17" s="11"/>
      <c r="BR17" s="11"/>
      <c r="BS17" s="11"/>
      <c r="BT17" s="11"/>
      <c r="BU17" s="11"/>
      <c r="BV17" s="40"/>
    </row>
    <row r="18" spans="1:74" ht="15.75">
      <c r="A18" s="18">
        <v>7</v>
      </c>
      <c r="B18" s="19" t="s">
        <v>27</v>
      </c>
      <c r="C18" s="7">
        <f>1/0.5686</f>
        <v>1.7587055926837847</v>
      </c>
      <c r="D18" s="20">
        <v>82.62</v>
      </c>
      <c r="E18" s="7"/>
      <c r="F18" s="7">
        <f>1/0.5756</f>
        <v>1.7373175816539264</v>
      </c>
      <c r="G18" s="20">
        <v>83.34</v>
      </c>
      <c r="H18" s="7"/>
      <c r="I18" s="7">
        <f>1/0.5714</f>
        <v>1.7500875043752186</v>
      </c>
      <c r="J18" s="20">
        <v>82.94</v>
      </c>
      <c r="K18" s="7"/>
      <c r="L18" s="7">
        <f>1/0.5725</f>
        <v>1.7467248908296944</v>
      </c>
      <c r="M18" s="20">
        <v>83.1</v>
      </c>
      <c r="N18" s="7"/>
      <c r="O18" s="7">
        <f>1/0.5723</f>
        <v>1.7473353136466887</v>
      </c>
      <c r="P18" s="20">
        <v>82.66</v>
      </c>
      <c r="Q18" s="7"/>
      <c r="R18" s="7">
        <f>1/0.5709</f>
        <v>1.7516202487300754</v>
      </c>
      <c r="S18" s="20">
        <v>82.57</v>
      </c>
      <c r="T18" s="7"/>
      <c r="U18" s="7">
        <f>1/0.5671</f>
        <v>1.763357432551578</v>
      </c>
      <c r="V18" s="20">
        <v>81.8</v>
      </c>
      <c r="W18" s="7"/>
      <c r="X18" s="7">
        <f>1/0.5693</f>
        <v>1.7565431231336728</v>
      </c>
      <c r="Y18" s="20">
        <v>81.98</v>
      </c>
      <c r="Z18" s="7"/>
      <c r="AA18" s="7">
        <f>1/0.5671</f>
        <v>1.763357432551578</v>
      </c>
      <c r="AB18" s="20">
        <v>81.66</v>
      </c>
      <c r="AC18" s="7"/>
      <c r="AD18" s="7">
        <f>1/0.5666</f>
        <v>1.7649135192375573</v>
      </c>
      <c r="AE18" s="7">
        <v>81.59</v>
      </c>
      <c r="AF18" s="7"/>
      <c r="AG18" s="7">
        <f>1/0.5573</f>
        <v>1.794365691727974</v>
      </c>
      <c r="AH18" s="20">
        <v>80.19</v>
      </c>
      <c r="AI18" s="7"/>
      <c r="AJ18" s="7">
        <f>1/0.5605</f>
        <v>1.784121320249777</v>
      </c>
      <c r="AK18" s="20">
        <v>80.38</v>
      </c>
      <c r="AL18" s="7"/>
      <c r="AM18" s="7">
        <f>1/0.5645</f>
        <v>1.7714791851195748</v>
      </c>
      <c r="AN18" s="20">
        <v>80.18</v>
      </c>
      <c r="AO18" s="7"/>
      <c r="AP18" s="7">
        <f>1/0.568</f>
        <v>1.7605633802816902</v>
      </c>
      <c r="AQ18" s="20">
        <v>80.64</v>
      </c>
      <c r="AR18" s="7"/>
      <c r="AS18" s="7">
        <f>1/0.572</f>
        <v>1.7482517482517483</v>
      </c>
      <c r="AT18" s="20">
        <v>80.63</v>
      </c>
      <c r="AU18" s="7"/>
      <c r="AV18" s="7">
        <f>1/0.5779</f>
        <v>1.7304031839418585</v>
      </c>
      <c r="AW18" s="20">
        <v>81.11</v>
      </c>
      <c r="AX18" s="7"/>
      <c r="AY18" s="7">
        <f>1/0.5704</f>
        <v>1.753155680224404</v>
      </c>
      <c r="AZ18" s="20">
        <v>80.22</v>
      </c>
      <c r="BA18" s="7"/>
      <c r="BB18" s="7">
        <f>1/0.05758</f>
        <v>17.36714136853074</v>
      </c>
      <c r="BC18" s="20">
        <v>80.43</v>
      </c>
      <c r="BD18" s="7"/>
      <c r="BE18" s="7">
        <f>1/0.5631</f>
        <v>1.7758835020422659</v>
      </c>
      <c r="BF18" s="20">
        <v>78.9</v>
      </c>
      <c r="BG18" s="7"/>
      <c r="BH18" s="22">
        <f>1/0.5635</f>
        <v>1.774622892635315</v>
      </c>
      <c r="BI18" s="23">
        <v>78.75</v>
      </c>
      <c r="BJ18" s="7"/>
      <c r="BK18" s="7">
        <f t="shared" si="0"/>
        <v>2.539997529619956</v>
      </c>
      <c r="BL18" s="7">
        <f t="shared" si="1"/>
        <v>81.28450000000001</v>
      </c>
      <c r="BM18" s="11"/>
      <c r="BN18" s="11"/>
      <c r="BO18" s="11"/>
      <c r="BP18" s="11"/>
      <c r="BQ18" s="11"/>
      <c r="BR18" s="11"/>
      <c r="BS18" s="11"/>
      <c r="BT18" s="11"/>
      <c r="BU18" s="11"/>
      <c r="BV18" s="40"/>
    </row>
    <row r="19" spans="1:74" ht="15.75">
      <c r="A19" s="18">
        <v>8</v>
      </c>
      <c r="B19" s="19" t="s">
        <v>28</v>
      </c>
      <c r="C19" s="7">
        <v>1.5364</v>
      </c>
      <c r="D19" s="20">
        <v>94.57</v>
      </c>
      <c r="E19" s="7"/>
      <c r="F19" s="7">
        <v>1.5251</v>
      </c>
      <c r="G19" s="20">
        <v>94.94</v>
      </c>
      <c r="H19" s="7"/>
      <c r="I19" s="7">
        <v>1.5331</v>
      </c>
      <c r="J19" s="20">
        <v>94.67</v>
      </c>
      <c r="K19" s="7"/>
      <c r="L19" s="7">
        <v>1.5332</v>
      </c>
      <c r="M19" s="20">
        <v>94.67</v>
      </c>
      <c r="N19" s="7"/>
      <c r="O19" s="7">
        <v>1.5313</v>
      </c>
      <c r="P19" s="20">
        <v>94.32</v>
      </c>
      <c r="Q19" s="7"/>
      <c r="R19" s="7">
        <v>1.5349</v>
      </c>
      <c r="S19" s="20">
        <v>94.22</v>
      </c>
      <c r="T19" s="7"/>
      <c r="U19" s="7">
        <v>1.5386</v>
      </c>
      <c r="V19" s="20">
        <v>93.75</v>
      </c>
      <c r="W19" s="7"/>
      <c r="X19" s="7">
        <v>1.5368</v>
      </c>
      <c r="Y19" s="20">
        <v>93.7</v>
      </c>
      <c r="Z19" s="7"/>
      <c r="AA19" s="7">
        <v>1.5377</v>
      </c>
      <c r="AB19" s="20">
        <v>93.64</v>
      </c>
      <c r="AC19" s="7"/>
      <c r="AD19" s="7">
        <v>1.5457</v>
      </c>
      <c r="AE19" s="7">
        <v>93.16</v>
      </c>
      <c r="AF19" s="7"/>
      <c r="AG19" s="7">
        <v>1.5498</v>
      </c>
      <c r="AH19" s="20">
        <v>92.84</v>
      </c>
      <c r="AI19" s="7"/>
      <c r="AJ19" s="7">
        <v>1.5444</v>
      </c>
      <c r="AK19" s="20">
        <v>92.86</v>
      </c>
      <c r="AL19" s="7"/>
      <c r="AM19" s="7">
        <v>1.5432</v>
      </c>
      <c r="AN19" s="20">
        <v>92.04</v>
      </c>
      <c r="AO19" s="7"/>
      <c r="AP19" s="7">
        <v>1.5384</v>
      </c>
      <c r="AQ19" s="20">
        <v>92.29</v>
      </c>
      <c r="AR19" s="7"/>
      <c r="AS19" s="7">
        <v>1.527</v>
      </c>
      <c r="AT19" s="20">
        <v>92.31</v>
      </c>
      <c r="AU19" s="7"/>
      <c r="AV19" s="7">
        <v>1.5177</v>
      </c>
      <c r="AW19" s="20">
        <v>92.47</v>
      </c>
      <c r="AX19" s="7"/>
      <c r="AY19" s="7">
        <v>1.5215</v>
      </c>
      <c r="AZ19" s="20">
        <v>92.43</v>
      </c>
      <c r="BA19" s="7"/>
      <c r="BB19" s="7">
        <v>1.5092</v>
      </c>
      <c r="BC19" s="20">
        <v>92.56</v>
      </c>
      <c r="BD19" s="7"/>
      <c r="BE19" s="7">
        <v>1.5156</v>
      </c>
      <c r="BF19" s="20">
        <v>92.44</v>
      </c>
      <c r="BG19" s="7"/>
      <c r="BH19" s="22">
        <v>1.5094</v>
      </c>
      <c r="BI19" s="23">
        <v>92.59</v>
      </c>
      <c r="BJ19" s="7"/>
      <c r="BK19" s="7">
        <f t="shared" si="0"/>
        <v>1.53145</v>
      </c>
      <c r="BL19" s="7">
        <f t="shared" si="1"/>
        <v>93.3235</v>
      </c>
      <c r="BM19" s="11"/>
      <c r="BN19" s="11"/>
      <c r="BO19" s="11"/>
      <c r="BP19" s="11"/>
      <c r="BQ19" s="11"/>
      <c r="BR19" s="11"/>
      <c r="BS19" s="11"/>
      <c r="BT19" s="11"/>
      <c r="BU19" s="11"/>
      <c r="BV19" s="40"/>
    </row>
    <row r="20" spans="1:74" ht="15.75">
      <c r="A20" s="18">
        <v>9</v>
      </c>
      <c r="B20" s="19" t="s">
        <v>31</v>
      </c>
      <c r="C20" s="7">
        <v>9.7406</v>
      </c>
      <c r="D20" s="20">
        <v>14.92</v>
      </c>
      <c r="E20" s="7"/>
      <c r="F20" s="7">
        <v>9.6683</v>
      </c>
      <c r="G20" s="20">
        <v>14.98</v>
      </c>
      <c r="H20" s="7"/>
      <c r="I20" s="7">
        <v>9.7495</v>
      </c>
      <c r="J20" s="20">
        <v>14.89</v>
      </c>
      <c r="K20" s="7"/>
      <c r="L20" s="7">
        <v>9.737</v>
      </c>
      <c r="M20" s="20">
        <v>14.91</v>
      </c>
      <c r="N20" s="7"/>
      <c r="O20" s="7">
        <v>9.7752</v>
      </c>
      <c r="P20" s="20">
        <v>14.78</v>
      </c>
      <c r="Q20" s="7"/>
      <c r="R20" s="7">
        <v>9.7826</v>
      </c>
      <c r="S20" s="20">
        <v>14.78</v>
      </c>
      <c r="T20" s="7"/>
      <c r="U20" s="7">
        <v>9.7235</v>
      </c>
      <c r="V20" s="20">
        <v>14.83</v>
      </c>
      <c r="W20" s="7"/>
      <c r="X20" s="7">
        <v>9.6597</v>
      </c>
      <c r="Y20" s="20">
        <v>14.91</v>
      </c>
      <c r="Z20" s="7"/>
      <c r="AA20" s="7">
        <v>9.7171</v>
      </c>
      <c r="AB20" s="20">
        <v>14.82</v>
      </c>
      <c r="AC20" s="7"/>
      <c r="AD20" s="7">
        <v>9.6755</v>
      </c>
      <c r="AE20" s="7">
        <v>14.88</v>
      </c>
      <c r="AF20" s="7"/>
      <c r="AG20" s="7">
        <v>9.6437</v>
      </c>
      <c r="AH20" s="20">
        <v>14.92</v>
      </c>
      <c r="AI20" s="7"/>
      <c r="AJ20" s="7">
        <v>9.5771</v>
      </c>
      <c r="AK20" s="20">
        <v>14.97</v>
      </c>
      <c r="AL20" s="7"/>
      <c r="AM20" s="7">
        <v>9.5065</v>
      </c>
      <c r="AN20" s="20">
        <v>14.94</v>
      </c>
      <c r="AO20" s="7"/>
      <c r="AP20" s="7">
        <v>9.462</v>
      </c>
      <c r="AQ20" s="20">
        <v>15.01</v>
      </c>
      <c r="AR20" s="7"/>
      <c r="AS20" s="7">
        <v>9.3803</v>
      </c>
      <c r="AT20" s="20">
        <v>15.03</v>
      </c>
      <c r="AU20" s="7"/>
      <c r="AV20" s="7">
        <v>9.3277</v>
      </c>
      <c r="AW20" s="20">
        <v>15.05</v>
      </c>
      <c r="AX20" s="7"/>
      <c r="AY20" s="7">
        <v>9.3186</v>
      </c>
      <c r="AZ20" s="20">
        <v>15.09</v>
      </c>
      <c r="BA20" s="7"/>
      <c r="BB20" s="7">
        <v>9.1714</v>
      </c>
      <c r="BC20" s="20">
        <v>15.23</v>
      </c>
      <c r="BD20" s="7"/>
      <c r="BE20" s="7">
        <v>9.2372</v>
      </c>
      <c r="BF20" s="20">
        <v>15.17</v>
      </c>
      <c r="BG20" s="7"/>
      <c r="BH20" s="22">
        <v>9.151</v>
      </c>
      <c r="BI20" s="23">
        <v>15.27</v>
      </c>
      <c r="BJ20" s="7"/>
      <c r="BK20" s="7">
        <f t="shared" si="0"/>
        <v>9.550225000000001</v>
      </c>
      <c r="BL20" s="7">
        <f t="shared" si="1"/>
        <v>14.969</v>
      </c>
      <c r="BM20" s="11"/>
      <c r="BN20" s="11"/>
      <c r="BO20" s="11"/>
      <c r="BP20" s="11"/>
      <c r="BQ20" s="11"/>
      <c r="BR20" s="11"/>
      <c r="BS20" s="11"/>
      <c r="BT20" s="11"/>
      <c r="BU20" s="11"/>
      <c r="BV20" s="40"/>
    </row>
    <row r="21" spans="1:74" ht="15.75">
      <c r="A21" s="18">
        <v>10</v>
      </c>
      <c r="B21" s="19" t="s">
        <v>32</v>
      </c>
      <c r="C21" s="7">
        <v>7.9845</v>
      </c>
      <c r="D21" s="20">
        <v>18.2</v>
      </c>
      <c r="E21" s="7"/>
      <c r="F21" s="7">
        <v>7.8677</v>
      </c>
      <c r="G21" s="20">
        <v>18.4</v>
      </c>
      <c r="H21" s="7"/>
      <c r="I21" s="7">
        <v>7.91</v>
      </c>
      <c r="J21" s="20">
        <v>18.35</v>
      </c>
      <c r="K21" s="7"/>
      <c r="L21" s="7">
        <v>7.8742</v>
      </c>
      <c r="M21" s="20">
        <v>18.43</v>
      </c>
      <c r="N21" s="7"/>
      <c r="O21" s="7">
        <v>7.8693</v>
      </c>
      <c r="P21" s="20">
        <v>18.35</v>
      </c>
      <c r="Q21" s="7"/>
      <c r="R21" s="7">
        <v>7.8514</v>
      </c>
      <c r="S21" s="20">
        <v>18.42</v>
      </c>
      <c r="T21" s="7"/>
      <c r="U21" s="7">
        <v>7.8573</v>
      </c>
      <c r="V21" s="20">
        <v>18.36</v>
      </c>
      <c r="W21" s="7"/>
      <c r="X21" s="7">
        <v>7.8166</v>
      </c>
      <c r="Y21" s="20">
        <v>18.42</v>
      </c>
      <c r="Z21" s="7"/>
      <c r="AA21" s="7">
        <v>7.8849</v>
      </c>
      <c r="AB21" s="20">
        <v>18.26</v>
      </c>
      <c r="AC21" s="7"/>
      <c r="AD21" s="7">
        <v>7.8349</v>
      </c>
      <c r="AE21" s="7">
        <v>18.38</v>
      </c>
      <c r="AF21" s="7"/>
      <c r="AG21" s="7">
        <v>7.8568</v>
      </c>
      <c r="AH21" s="20">
        <v>18.31</v>
      </c>
      <c r="AI21" s="7"/>
      <c r="AJ21" s="7">
        <v>7.8375</v>
      </c>
      <c r="AK21" s="20">
        <v>18.3</v>
      </c>
      <c r="AL21" s="7"/>
      <c r="AM21" s="7">
        <v>7.7591</v>
      </c>
      <c r="AN21" s="20">
        <v>18.31</v>
      </c>
      <c r="AO21" s="7"/>
      <c r="AP21" s="7">
        <v>7.6876</v>
      </c>
      <c r="AQ21" s="20">
        <v>18.47</v>
      </c>
      <c r="AR21" s="7"/>
      <c r="AS21" s="7">
        <v>7.6396</v>
      </c>
      <c r="AT21" s="20">
        <v>18.45</v>
      </c>
      <c r="AU21" s="7"/>
      <c r="AV21" s="7">
        <v>7.599</v>
      </c>
      <c r="AW21" s="20">
        <v>18.47</v>
      </c>
      <c r="AX21" s="7"/>
      <c r="AY21" s="7">
        <v>7.57</v>
      </c>
      <c r="AZ21" s="20">
        <v>18.58</v>
      </c>
      <c r="BA21" s="7"/>
      <c r="BB21" s="7">
        <v>7.4645</v>
      </c>
      <c r="BC21" s="20">
        <v>18.71</v>
      </c>
      <c r="BD21" s="7"/>
      <c r="BE21" s="7">
        <v>7.5299</v>
      </c>
      <c r="BF21" s="20">
        <v>18.61</v>
      </c>
      <c r="BG21" s="7"/>
      <c r="BH21" s="22">
        <v>7.4748</v>
      </c>
      <c r="BI21" s="23">
        <v>18.7</v>
      </c>
      <c r="BJ21" s="7"/>
      <c r="BK21" s="7">
        <f t="shared" si="0"/>
        <v>7.7584800000000005</v>
      </c>
      <c r="BL21" s="7">
        <f t="shared" si="1"/>
        <v>18.424</v>
      </c>
      <c r="BM21" s="11"/>
      <c r="BN21" s="11"/>
      <c r="BO21" s="11"/>
      <c r="BP21" s="11"/>
      <c r="BQ21" s="11"/>
      <c r="BR21" s="11"/>
      <c r="BS21" s="11"/>
      <c r="BT21" s="11"/>
      <c r="BU21" s="11"/>
      <c r="BV21" s="40"/>
    </row>
    <row r="22" spans="1:74" ht="15.75">
      <c r="A22" s="18">
        <v>11</v>
      </c>
      <c r="B22" s="19" t="s">
        <v>33</v>
      </c>
      <c r="C22" s="7">
        <v>7.969</v>
      </c>
      <c r="D22" s="20">
        <v>18.23</v>
      </c>
      <c r="E22" s="7"/>
      <c r="F22" s="7">
        <v>7.8755</v>
      </c>
      <c r="G22" s="20">
        <v>18.39</v>
      </c>
      <c r="H22" s="7"/>
      <c r="I22" s="7">
        <v>7.9373</v>
      </c>
      <c r="J22" s="20">
        <v>18.29</v>
      </c>
      <c r="K22" s="7"/>
      <c r="L22" s="7">
        <v>7.9309</v>
      </c>
      <c r="M22" s="20">
        <v>18.3</v>
      </c>
      <c r="N22" s="7"/>
      <c r="O22" s="7">
        <v>7.8726</v>
      </c>
      <c r="P22" s="20">
        <v>18.35</v>
      </c>
      <c r="Q22" s="7"/>
      <c r="R22" s="7">
        <v>7.8615</v>
      </c>
      <c r="S22" s="20">
        <v>18.4</v>
      </c>
      <c r="T22" s="7"/>
      <c r="U22" s="7">
        <v>7.8776</v>
      </c>
      <c r="V22" s="20">
        <v>18.31</v>
      </c>
      <c r="W22" s="7"/>
      <c r="X22" s="7">
        <v>7.8399</v>
      </c>
      <c r="Y22" s="20">
        <v>18.37</v>
      </c>
      <c r="Z22" s="7"/>
      <c r="AA22" s="7">
        <v>7.9084</v>
      </c>
      <c r="AB22" s="20">
        <v>18.21</v>
      </c>
      <c r="AC22" s="7"/>
      <c r="AD22" s="7">
        <v>7.8496</v>
      </c>
      <c r="AE22" s="7">
        <v>18.34</v>
      </c>
      <c r="AF22" s="7"/>
      <c r="AG22" s="7">
        <v>7.884</v>
      </c>
      <c r="AH22" s="20">
        <v>18.25</v>
      </c>
      <c r="AI22" s="7"/>
      <c r="AJ22" s="7">
        <v>7.8498</v>
      </c>
      <c r="AK22" s="20">
        <v>18.27</v>
      </c>
      <c r="AL22" s="7"/>
      <c r="AM22" s="7">
        <v>7.7877</v>
      </c>
      <c r="AN22" s="20">
        <v>18.24</v>
      </c>
      <c r="AO22" s="7"/>
      <c r="AP22" s="7">
        <v>7.7644</v>
      </c>
      <c r="AQ22" s="20">
        <v>18.29</v>
      </c>
      <c r="AR22" s="7"/>
      <c r="AS22" s="7">
        <v>7.7104</v>
      </c>
      <c r="AT22" s="20">
        <v>18.28</v>
      </c>
      <c r="AU22" s="7"/>
      <c r="AV22" s="7">
        <v>7.625</v>
      </c>
      <c r="AW22" s="20">
        <v>18.41</v>
      </c>
      <c r="AX22" s="7"/>
      <c r="AY22" s="7">
        <v>7.6476</v>
      </c>
      <c r="AZ22" s="20">
        <v>18.39</v>
      </c>
      <c r="BA22" s="7"/>
      <c r="BB22" s="7">
        <v>7.5165</v>
      </c>
      <c r="BC22" s="20">
        <v>18.58</v>
      </c>
      <c r="BD22" s="7"/>
      <c r="BE22" s="7">
        <v>7.5439</v>
      </c>
      <c r="BF22" s="20">
        <v>18.57</v>
      </c>
      <c r="BG22" s="7"/>
      <c r="BH22" s="22">
        <v>7.4793</v>
      </c>
      <c r="BI22" s="23">
        <v>18.68</v>
      </c>
      <c r="BJ22" s="7"/>
      <c r="BK22" s="7">
        <f t="shared" si="0"/>
        <v>7.786545000000001</v>
      </c>
      <c r="BL22" s="7">
        <f t="shared" si="1"/>
        <v>18.357500000000005</v>
      </c>
      <c r="BM22" s="11"/>
      <c r="BN22" s="11"/>
      <c r="BO22" s="11"/>
      <c r="BP22" s="11"/>
      <c r="BQ22" s="11"/>
      <c r="BR22" s="11"/>
      <c r="BS22" s="11"/>
      <c r="BT22" s="11"/>
      <c r="BU22" s="11"/>
      <c r="BV22" s="40"/>
    </row>
    <row r="23" spans="1:74" ht="15.75">
      <c r="A23" s="18">
        <v>12</v>
      </c>
      <c r="B23" s="19" t="s">
        <v>36</v>
      </c>
      <c r="C23" s="7">
        <f>1/1.29066</f>
        <v>0.7747973904823889</v>
      </c>
      <c r="D23" s="20">
        <v>187.53</v>
      </c>
      <c r="E23" s="7"/>
      <c r="F23" s="7">
        <f>1/1.29075</f>
        <v>0.7747433662599263</v>
      </c>
      <c r="G23" s="20">
        <v>186.89</v>
      </c>
      <c r="H23" s="7"/>
      <c r="I23" s="7">
        <f>1/1.29167</f>
        <v>0.774191550473418</v>
      </c>
      <c r="J23" s="20">
        <v>187.48</v>
      </c>
      <c r="K23" s="7"/>
      <c r="L23" s="7">
        <f>1/1.28873</f>
        <v>0.7759577258230972</v>
      </c>
      <c r="M23" s="20">
        <v>187.06</v>
      </c>
      <c r="N23" s="7"/>
      <c r="O23" s="7">
        <f>1/1.28844</f>
        <v>0.7761323771382447</v>
      </c>
      <c r="P23" s="20">
        <v>186.09</v>
      </c>
      <c r="Q23" s="7"/>
      <c r="R23" s="7">
        <f>1/1.29171</f>
        <v>0.7741675763135689</v>
      </c>
      <c r="S23" s="20">
        <v>186.81</v>
      </c>
      <c r="T23" s="7"/>
      <c r="U23" s="7">
        <f>1/1.29219</f>
        <v>0.773880002166864</v>
      </c>
      <c r="V23" s="20">
        <v>186.38</v>
      </c>
      <c r="W23" s="7"/>
      <c r="X23" s="7">
        <f>1/1.29122</f>
        <v>0.7744613621226437</v>
      </c>
      <c r="Y23" s="20">
        <v>185.94</v>
      </c>
      <c r="Z23" s="7"/>
      <c r="AA23" s="7">
        <f>1/1.2925</f>
        <v>0.7736943907156674</v>
      </c>
      <c r="AB23" s="20">
        <v>186.12</v>
      </c>
      <c r="AC23" s="7"/>
      <c r="AD23" s="7">
        <f>1/1.29005</f>
        <v>0.7751637533428938</v>
      </c>
      <c r="AE23" s="7">
        <v>185.77</v>
      </c>
      <c r="AF23" s="7"/>
      <c r="AG23" s="7">
        <f>1/1.29555</f>
        <v>0.7718729497124773</v>
      </c>
      <c r="AH23" s="20">
        <v>186.41</v>
      </c>
      <c r="AI23" s="7"/>
      <c r="AJ23" s="7">
        <f>1/1.29337</f>
        <v>0.7731739564084524</v>
      </c>
      <c r="AK23" s="20">
        <v>185.48</v>
      </c>
      <c r="AL23" s="7"/>
      <c r="AM23" s="7">
        <f>1/1.29515</f>
        <v>0.7721113384550052</v>
      </c>
      <c r="AN23" s="20">
        <v>183.96</v>
      </c>
      <c r="AO23" s="7"/>
      <c r="AP23" s="7">
        <f>1/1.30117</f>
        <v>0.7685390840551196</v>
      </c>
      <c r="AQ23" s="20">
        <v>184.74</v>
      </c>
      <c r="AR23" s="7"/>
      <c r="AS23" s="7">
        <f>1/1.30195</f>
        <v>0.7680786512538884</v>
      </c>
      <c r="AT23" s="20">
        <v>183.53</v>
      </c>
      <c r="AU23" s="7"/>
      <c r="AV23" s="7">
        <f>1/1.30668</f>
        <v>0.7652983132825175</v>
      </c>
      <c r="AW23" s="20">
        <v>183.39</v>
      </c>
      <c r="AX23" s="7"/>
      <c r="AY23" s="7">
        <f>1/1.31563</f>
        <v>0.7600921231653276</v>
      </c>
      <c r="AZ23" s="20">
        <v>185.03</v>
      </c>
      <c r="BA23" s="7"/>
      <c r="BB23" s="7">
        <f>1/1.31112</f>
        <v>0.7627066935139423</v>
      </c>
      <c r="BC23" s="20">
        <v>183.15</v>
      </c>
      <c r="BD23" s="7"/>
      <c r="BE23" s="7">
        <f>1/1.32533</f>
        <v>0.7545290606867724</v>
      </c>
      <c r="BF23" s="20">
        <v>185.69</v>
      </c>
      <c r="BG23" s="7"/>
      <c r="BH23" s="22">
        <f>1/1.32056</f>
        <v>0.7572544980917187</v>
      </c>
      <c r="BI23" s="23">
        <v>184.55</v>
      </c>
      <c r="BJ23" s="7"/>
      <c r="BK23" s="7">
        <f t="shared" si="0"/>
        <v>0.7700423081731967</v>
      </c>
      <c r="BL23" s="7">
        <f t="shared" si="1"/>
        <v>185.60000000000002</v>
      </c>
      <c r="BM23" s="11"/>
      <c r="BN23" s="11"/>
      <c r="BO23" s="11"/>
      <c r="BP23" s="11"/>
      <c r="BQ23" s="11"/>
      <c r="BR23" s="11"/>
      <c r="BS23" s="11"/>
      <c r="BT23" s="11"/>
      <c r="BU23" s="11"/>
      <c r="BV23" s="40"/>
    </row>
    <row r="24" spans="1:74" ht="16.5" thickBot="1">
      <c r="A24" s="26">
        <v>13</v>
      </c>
      <c r="B24" s="27" t="s">
        <v>38</v>
      </c>
      <c r="C24" s="28">
        <v>1</v>
      </c>
      <c r="D24" s="29">
        <v>145.3</v>
      </c>
      <c r="E24" s="28"/>
      <c r="F24" s="28">
        <v>1</v>
      </c>
      <c r="G24" s="29">
        <v>144.8</v>
      </c>
      <c r="H24" s="28"/>
      <c r="I24" s="28">
        <v>1</v>
      </c>
      <c r="J24" s="29">
        <v>145.14</v>
      </c>
      <c r="K24" s="28"/>
      <c r="L24" s="28">
        <v>1</v>
      </c>
      <c r="M24" s="29">
        <v>145.15</v>
      </c>
      <c r="N24" s="28"/>
      <c r="O24" s="28">
        <v>1</v>
      </c>
      <c r="P24" s="29">
        <v>144.43</v>
      </c>
      <c r="Q24" s="28"/>
      <c r="R24" s="28">
        <v>1</v>
      </c>
      <c r="S24" s="29">
        <v>144.62</v>
      </c>
      <c r="T24" s="28"/>
      <c r="U24" s="28">
        <v>1</v>
      </c>
      <c r="V24" s="29">
        <v>144.24</v>
      </c>
      <c r="W24" s="28"/>
      <c r="X24" s="28">
        <v>1</v>
      </c>
      <c r="Y24" s="29">
        <v>144</v>
      </c>
      <c r="Z24" s="28"/>
      <c r="AA24" s="28">
        <v>1</v>
      </c>
      <c r="AB24" s="29">
        <v>144</v>
      </c>
      <c r="AC24" s="28"/>
      <c r="AD24" s="28">
        <v>1</v>
      </c>
      <c r="AE24" s="28">
        <v>144</v>
      </c>
      <c r="AF24" s="28"/>
      <c r="AG24" s="28">
        <v>1</v>
      </c>
      <c r="AH24" s="29">
        <v>143.89</v>
      </c>
      <c r="AI24" s="28"/>
      <c r="AJ24" s="28">
        <v>1</v>
      </c>
      <c r="AK24" s="29">
        <v>143.41</v>
      </c>
      <c r="AL24" s="28"/>
      <c r="AM24" s="28">
        <v>1</v>
      </c>
      <c r="AN24" s="29">
        <v>142.04</v>
      </c>
      <c r="AO24" s="28"/>
      <c r="AP24" s="28">
        <v>1</v>
      </c>
      <c r="AQ24" s="29">
        <v>141.98</v>
      </c>
      <c r="AR24" s="28"/>
      <c r="AS24" s="28">
        <v>1</v>
      </c>
      <c r="AT24" s="29">
        <v>140.96</v>
      </c>
      <c r="AU24" s="28"/>
      <c r="AV24" s="28">
        <v>1</v>
      </c>
      <c r="AW24" s="29">
        <v>140.35</v>
      </c>
      <c r="AX24" s="28"/>
      <c r="AY24" s="28">
        <v>1</v>
      </c>
      <c r="AZ24" s="29">
        <v>140.64</v>
      </c>
      <c r="BA24" s="28"/>
      <c r="BB24" s="28">
        <v>1</v>
      </c>
      <c r="BC24" s="29">
        <v>139.69</v>
      </c>
      <c r="BD24" s="28"/>
      <c r="BE24" s="28">
        <v>1</v>
      </c>
      <c r="BF24" s="29">
        <v>140.11</v>
      </c>
      <c r="BG24" s="28"/>
      <c r="BH24" s="32">
        <v>1</v>
      </c>
      <c r="BI24" s="33">
        <v>139.75</v>
      </c>
      <c r="BJ24" s="28"/>
      <c r="BK24" s="31">
        <f t="shared" si="0"/>
        <v>1</v>
      </c>
      <c r="BL24" s="31">
        <f t="shared" si="1"/>
        <v>142.92499999999998</v>
      </c>
      <c r="BM24" s="11"/>
      <c r="BN24" s="11"/>
      <c r="BO24" s="11"/>
      <c r="BP24" s="11"/>
      <c r="BQ24" s="11"/>
      <c r="BR24" s="11"/>
      <c r="BS24" s="11"/>
      <c r="BT24" s="11"/>
      <c r="BU24" s="11"/>
      <c r="BV24" s="40"/>
    </row>
    <row r="25" spans="1:74" ht="15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7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H25" s="11"/>
      <c r="BI25" s="11"/>
      <c r="BJ25" s="11"/>
      <c r="BK25" s="35"/>
      <c r="BL25" s="35"/>
      <c r="BM25" s="40"/>
      <c r="BN25" s="43"/>
      <c r="BO25" s="43"/>
      <c r="BP25" s="43"/>
      <c r="BQ25" s="40"/>
      <c r="BR25" s="43"/>
      <c r="BS25" s="43"/>
      <c r="BT25" s="43"/>
      <c r="BU25" s="40"/>
      <c r="BV25" s="40"/>
    </row>
    <row r="26" spans="2:70" ht="15.75">
      <c r="B26" s="36"/>
      <c r="BM26" s="40"/>
      <c r="BN26" s="40"/>
      <c r="BO26" s="40"/>
      <c r="BP26" s="40"/>
      <c r="BQ26" s="40"/>
      <c r="BR26" s="40"/>
    </row>
    <row r="27" ht="15.75">
      <c r="B27" s="36"/>
    </row>
    <row r="28" ht="15.75">
      <c r="B28" s="36"/>
    </row>
    <row r="29" ht="15.75">
      <c r="B29" s="36"/>
    </row>
    <row r="30" ht="15.75">
      <c r="B30" s="36"/>
    </row>
    <row r="31" ht="15.75">
      <c r="B31" s="36"/>
    </row>
    <row r="32" ht="15.75">
      <c r="B32" s="36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32"/>
  <sheetViews>
    <sheetView tabSelected="1" zoomScale="75" zoomScaleNormal="75" zoomScalePageLayoutView="0" workbookViewId="0" topLeftCell="A1">
      <pane xSplit="2" ySplit="10" topLeftCell="AM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V15" sqref="AV15"/>
    </sheetView>
  </sheetViews>
  <sheetFormatPr defaultColWidth="9.140625" defaultRowHeight="12.75"/>
  <cols>
    <col min="1" max="1" width="4.28125" style="10" customWidth="1"/>
    <col min="2" max="2" width="34.00390625" style="10" bestFit="1" customWidth="1"/>
    <col min="3" max="3" width="10.421875" style="10" customWidth="1"/>
    <col min="4" max="4" width="10.7109375" style="10" customWidth="1"/>
    <col min="5" max="5" width="9.140625" style="10" customWidth="1"/>
    <col min="6" max="6" width="10.421875" style="10" customWidth="1"/>
    <col min="7" max="7" width="10.8515625" style="10" customWidth="1"/>
    <col min="8" max="8" width="9.140625" style="10" customWidth="1"/>
    <col min="9" max="9" width="10.421875" style="10" customWidth="1"/>
    <col min="10" max="10" width="11.00390625" style="10" customWidth="1"/>
    <col min="11" max="11" width="9.140625" style="10" customWidth="1"/>
    <col min="12" max="12" width="10.421875" style="10" customWidth="1"/>
    <col min="13" max="13" width="10.8515625" style="10" customWidth="1"/>
    <col min="14" max="14" width="9.140625" style="10" customWidth="1"/>
    <col min="15" max="15" width="10.421875" style="10" customWidth="1"/>
    <col min="16" max="16" width="10.8515625" style="10" customWidth="1"/>
    <col min="17" max="17" width="9.140625" style="10" customWidth="1"/>
    <col min="18" max="18" width="10.421875" style="10" customWidth="1"/>
    <col min="19" max="19" width="11.140625" style="10" customWidth="1"/>
    <col min="20" max="20" width="9.140625" style="10" customWidth="1"/>
    <col min="21" max="22" width="10.421875" style="10" customWidth="1"/>
    <col min="23" max="23" width="9.140625" style="10" customWidth="1"/>
    <col min="24" max="24" width="10.421875" style="10" customWidth="1"/>
    <col min="25" max="25" width="10.57421875" style="10" customWidth="1"/>
    <col min="26" max="26" width="9.140625" style="10" customWidth="1"/>
    <col min="27" max="27" width="10.421875" style="10" customWidth="1"/>
    <col min="28" max="28" width="10.28125" style="10" customWidth="1"/>
    <col min="29" max="29" width="9.140625" style="10" customWidth="1"/>
    <col min="30" max="30" width="10.421875" style="10" customWidth="1"/>
    <col min="31" max="31" width="11.28125" style="10" customWidth="1"/>
    <col min="32" max="32" width="9.140625" style="10" customWidth="1"/>
    <col min="33" max="33" width="10.421875" style="10" customWidth="1"/>
    <col min="34" max="34" width="10.140625" style="10" customWidth="1"/>
    <col min="35" max="35" width="9.140625" style="10" customWidth="1"/>
    <col min="36" max="36" width="10.421875" style="10" customWidth="1"/>
    <col min="37" max="37" width="10.7109375" style="10" customWidth="1"/>
    <col min="38" max="38" width="9.140625" style="10" customWidth="1"/>
    <col min="39" max="39" width="10.421875" style="10" customWidth="1"/>
    <col min="40" max="40" width="10.28125" style="10" customWidth="1"/>
    <col min="41" max="41" width="9.140625" style="10" customWidth="1"/>
    <col min="42" max="42" width="10.421875" style="10" customWidth="1"/>
    <col min="43" max="43" width="10.7109375" style="10" customWidth="1"/>
    <col min="44" max="44" width="9.140625" style="10" customWidth="1"/>
    <col min="45" max="45" width="10.421875" style="10" customWidth="1"/>
    <col min="46" max="46" width="10.140625" style="10" customWidth="1"/>
    <col min="47" max="47" width="9.140625" style="10" customWidth="1"/>
    <col min="48" max="48" width="10.421875" style="10" customWidth="1"/>
    <col min="49" max="49" width="10.140625" style="10" customWidth="1"/>
    <col min="50" max="50" width="9.140625" style="10" customWidth="1"/>
    <col min="51" max="51" width="10.421875" style="10" customWidth="1"/>
    <col min="52" max="52" width="10.28125" style="10" customWidth="1"/>
    <col min="53" max="53" width="9.140625" style="10" customWidth="1"/>
    <col min="54" max="54" width="10.421875" style="10" customWidth="1"/>
    <col min="55" max="55" width="10.140625" style="10" customWidth="1"/>
    <col min="56" max="56" width="9.140625" style="10" customWidth="1"/>
    <col min="57" max="57" width="10.421875" style="10" customWidth="1"/>
    <col min="58" max="58" width="10.28125" style="10" customWidth="1"/>
    <col min="59" max="59" width="9.140625" style="10" customWidth="1"/>
    <col min="60" max="60" width="9.8515625" style="10" customWidth="1"/>
    <col min="61" max="61" width="10.421875" style="10" customWidth="1"/>
    <col min="62" max="62" width="9.140625" style="10" customWidth="1"/>
    <col min="63" max="63" width="11.57421875" style="10" customWidth="1"/>
    <col min="64" max="64" width="11.8515625" style="10" customWidth="1"/>
    <col min="65" max="65" width="9.140625" style="10" customWidth="1"/>
    <col min="66" max="66" width="10.421875" style="10" customWidth="1"/>
    <col min="67" max="67" width="13.00390625" style="10" customWidth="1"/>
    <col min="68" max="71" width="9.140625" style="10" customWidth="1"/>
    <col min="72" max="72" width="9.7109375" style="10" customWidth="1"/>
    <col min="73" max="73" width="10.28125" style="10" customWidth="1"/>
    <col min="74" max="16384" width="9.140625" style="10" customWidth="1"/>
  </cols>
  <sheetData>
    <row r="1" spans="1:66" ht="15.75">
      <c r="A1" s="6"/>
      <c r="B1" s="4" t="s">
        <v>84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8" t="s">
        <v>1</v>
      </c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9"/>
      <c r="BI1" s="9"/>
      <c r="BJ1" s="9"/>
      <c r="BK1" s="9"/>
      <c r="BL1" s="9"/>
      <c r="BM1" s="9"/>
      <c r="BN1" s="9"/>
    </row>
    <row r="2" spans="1:66" ht="15.75">
      <c r="A2" s="7"/>
      <c r="B2" s="5" t="s">
        <v>169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11"/>
      <c r="BI2" s="11"/>
      <c r="BJ2" s="11"/>
      <c r="BK2" s="11"/>
      <c r="BL2" s="11"/>
      <c r="BM2" s="11"/>
      <c r="BN2" s="11"/>
    </row>
    <row r="3" spans="1:73" ht="15.75">
      <c r="A3" s="8" t="s">
        <v>2</v>
      </c>
      <c r="B3" s="7"/>
      <c r="C3" s="6" t="s">
        <v>170</v>
      </c>
      <c r="D3" s="12"/>
      <c r="E3" s="12"/>
      <c r="F3" s="6" t="s">
        <v>171</v>
      </c>
      <c r="G3" s="12"/>
      <c r="H3" s="12"/>
      <c r="I3" s="6" t="s">
        <v>172</v>
      </c>
      <c r="J3" s="12"/>
      <c r="K3" s="12"/>
      <c r="L3" s="6" t="s">
        <v>173</v>
      </c>
      <c r="M3" s="12"/>
      <c r="N3" s="12"/>
      <c r="O3" s="6" t="s">
        <v>189</v>
      </c>
      <c r="P3" s="12"/>
      <c r="Q3" s="12"/>
      <c r="R3" s="6" t="s">
        <v>174</v>
      </c>
      <c r="S3" s="12"/>
      <c r="T3" s="12"/>
      <c r="U3" s="6" t="s">
        <v>175</v>
      </c>
      <c r="V3" s="12"/>
      <c r="W3" s="12"/>
      <c r="X3" s="6" t="s">
        <v>176</v>
      </c>
      <c r="Y3" s="12"/>
      <c r="Z3" s="12"/>
      <c r="AA3" s="6" t="s">
        <v>177</v>
      </c>
      <c r="AB3" s="12"/>
      <c r="AC3" s="12"/>
      <c r="AD3" s="6" t="s">
        <v>190</v>
      </c>
      <c r="AE3" s="12"/>
      <c r="AF3" s="12"/>
      <c r="AG3" s="6" t="s">
        <v>178</v>
      </c>
      <c r="AH3" s="12"/>
      <c r="AI3" s="12"/>
      <c r="AJ3" s="6" t="s">
        <v>179</v>
      </c>
      <c r="AK3" s="12"/>
      <c r="AL3" s="12"/>
      <c r="AM3" s="6" t="s">
        <v>180</v>
      </c>
      <c r="AN3" s="12"/>
      <c r="AO3" s="12"/>
      <c r="AP3" s="6" t="s">
        <v>181</v>
      </c>
      <c r="AQ3" s="12"/>
      <c r="AR3" s="12"/>
      <c r="AS3" s="6" t="s">
        <v>191</v>
      </c>
      <c r="AT3" s="12"/>
      <c r="AU3" s="12"/>
      <c r="AV3" s="6" t="s">
        <v>182</v>
      </c>
      <c r="AW3" s="12"/>
      <c r="AX3" s="12"/>
      <c r="AY3" s="6" t="s">
        <v>183</v>
      </c>
      <c r="AZ3" s="12"/>
      <c r="BA3" s="12"/>
      <c r="BB3" s="6" t="s">
        <v>184</v>
      </c>
      <c r="BC3" s="12"/>
      <c r="BD3" s="12"/>
      <c r="BE3" s="6" t="s">
        <v>185</v>
      </c>
      <c r="BF3" s="12"/>
      <c r="BG3" s="12"/>
      <c r="BH3" s="6" t="s">
        <v>192</v>
      </c>
      <c r="BI3" s="12"/>
      <c r="BJ3" s="12"/>
      <c r="BK3" s="6" t="s">
        <v>186</v>
      </c>
      <c r="BL3" s="12"/>
      <c r="BM3" s="12"/>
      <c r="BN3" s="6" t="s">
        <v>187</v>
      </c>
      <c r="BO3" s="12"/>
      <c r="BP3" s="12"/>
      <c r="BQ3" s="6" t="s">
        <v>188</v>
      </c>
      <c r="BR3" s="12"/>
      <c r="BS3" s="6"/>
      <c r="BT3" s="6" t="s">
        <v>40</v>
      </c>
      <c r="BU3" s="6"/>
    </row>
    <row r="4" spans="1:73" ht="16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</row>
    <row r="5" spans="1:73" ht="16.5" thickTop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</row>
    <row r="6" spans="1:73" ht="15.75">
      <c r="A6" s="12"/>
      <c r="B6" s="7"/>
      <c r="C6" s="14" t="s">
        <v>4</v>
      </c>
      <c r="D6" s="14" t="s">
        <v>4</v>
      </c>
      <c r="E6" s="14"/>
      <c r="F6" s="14" t="s">
        <v>4</v>
      </c>
      <c r="G6" s="14" t="s">
        <v>4</v>
      </c>
      <c r="H6" s="14"/>
      <c r="I6" s="14" t="s">
        <v>4</v>
      </c>
      <c r="J6" s="14" t="s">
        <v>4</v>
      </c>
      <c r="K6" s="14"/>
      <c r="L6" s="14" t="s">
        <v>4</v>
      </c>
      <c r="M6" s="14" t="s">
        <v>4</v>
      </c>
      <c r="N6" s="14"/>
      <c r="O6" s="14" t="s">
        <v>4</v>
      </c>
      <c r="P6" s="14" t="s">
        <v>4</v>
      </c>
      <c r="Q6" s="14"/>
      <c r="R6" s="14" t="s">
        <v>4</v>
      </c>
      <c r="S6" s="14" t="s">
        <v>4</v>
      </c>
      <c r="T6" s="14"/>
      <c r="U6" s="14" t="s">
        <v>4</v>
      </c>
      <c r="V6" s="14" t="s">
        <v>4</v>
      </c>
      <c r="W6" s="14"/>
      <c r="X6" s="14" t="s">
        <v>4</v>
      </c>
      <c r="Y6" s="14" t="s">
        <v>4</v>
      </c>
      <c r="Z6" s="14"/>
      <c r="AA6" s="14" t="s">
        <v>4</v>
      </c>
      <c r="AB6" s="14" t="s">
        <v>4</v>
      </c>
      <c r="AC6" s="14"/>
      <c r="AD6" s="14" t="s">
        <v>4</v>
      </c>
      <c r="AE6" s="14" t="s">
        <v>4</v>
      </c>
      <c r="AF6" s="14"/>
      <c r="AG6" s="14" t="s">
        <v>4</v>
      </c>
      <c r="AH6" s="14" t="s">
        <v>4</v>
      </c>
      <c r="AI6" s="14"/>
      <c r="AJ6" s="14" t="s">
        <v>4</v>
      </c>
      <c r="AK6" s="14" t="s">
        <v>4</v>
      </c>
      <c r="AL6" s="14"/>
      <c r="AM6" s="14" t="s">
        <v>4</v>
      </c>
      <c r="AN6" s="14" t="s">
        <v>4</v>
      </c>
      <c r="AO6" s="14"/>
      <c r="AP6" s="14" t="s">
        <v>4</v>
      </c>
      <c r="AQ6" s="14" t="s">
        <v>4</v>
      </c>
      <c r="AR6" s="14"/>
      <c r="AS6" s="14" t="s">
        <v>4</v>
      </c>
      <c r="AT6" s="14" t="s">
        <v>4</v>
      </c>
      <c r="AU6" s="14"/>
      <c r="AV6" s="14" t="s">
        <v>4</v>
      </c>
      <c r="AW6" s="14" t="s">
        <v>4</v>
      </c>
      <c r="AX6" s="14"/>
      <c r="AY6" s="14" t="s">
        <v>4</v>
      </c>
      <c r="AZ6" s="14" t="s">
        <v>4</v>
      </c>
      <c r="BA6" s="14"/>
      <c r="BB6" s="14" t="s">
        <v>4</v>
      </c>
      <c r="BC6" s="14" t="s">
        <v>4</v>
      </c>
      <c r="BD6" s="14"/>
      <c r="BE6" s="14" t="s">
        <v>4</v>
      </c>
      <c r="BF6" s="14" t="s">
        <v>4</v>
      </c>
      <c r="BG6" s="14"/>
      <c r="BH6" s="14" t="s">
        <v>4</v>
      </c>
      <c r="BI6" s="14" t="s">
        <v>4</v>
      </c>
      <c r="BJ6" s="14"/>
      <c r="BK6" s="14" t="s">
        <v>4</v>
      </c>
      <c r="BL6" s="14" t="s">
        <v>4</v>
      </c>
      <c r="BM6" s="14"/>
      <c r="BN6" s="14" t="s">
        <v>4</v>
      </c>
      <c r="BO6" s="14" t="s">
        <v>4</v>
      </c>
      <c r="BP6" s="14"/>
      <c r="BQ6" s="14" t="s">
        <v>4</v>
      </c>
      <c r="BR6" s="14" t="s">
        <v>4</v>
      </c>
      <c r="BS6" s="14"/>
      <c r="BT6" s="14" t="s">
        <v>4</v>
      </c>
      <c r="BU6" s="14" t="s">
        <v>4</v>
      </c>
    </row>
    <row r="7" spans="1:73" ht="15.75">
      <c r="A7" s="7"/>
      <c r="B7" s="15" t="s">
        <v>6</v>
      </c>
      <c r="C7" s="14" t="s">
        <v>7</v>
      </c>
      <c r="D7" s="14" t="s">
        <v>7</v>
      </c>
      <c r="E7" s="14"/>
      <c r="F7" s="14" t="s">
        <v>7</v>
      </c>
      <c r="G7" s="14" t="s">
        <v>7</v>
      </c>
      <c r="H7" s="14"/>
      <c r="I7" s="14" t="s">
        <v>7</v>
      </c>
      <c r="J7" s="14" t="s">
        <v>7</v>
      </c>
      <c r="K7" s="14"/>
      <c r="L7" s="14" t="s">
        <v>7</v>
      </c>
      <c r="M7" s="14" t="s">
        <v>7</v>
      </c>
      <c r="N7" s="14"/>
      <c r="O7" s="14" t="s">
        <v>7</v>
      </c>
      <c r="P7" s="14" t="s">
        <v>7</v>
      </c>
      <c r="Q7" s="14"/>
      <c r="R7" s="14" t="s">
        <v>7</v>
      </c>
      <c r="S7" s="14" t="s">
        <v>7</v>
      </c>
      <c r="T7" s="14"/>
      <c r="U7" s="14" t="s">
        <v>7</v>
      </c>
      <c r="V7" s="14" t="s">
        <v>7</v>
      </c>
      <c r="W7" s="14"/>
      <c r="X7" s="14" t="s">
        <v>7</v>
      </c>
      <c r="Y7" s="14" t="s">
        <v>7</v>
      </c>
      <c r="Z7" s="14"/>
      <c r="AA7" s="14" t="s">
        <v>7</v>
      </c>
      <c r="AB7" s="14" t="s">
        <v>7</v>
      </c>
      <c r="AC7" s="14"/>
      <c r="AD7" s="14" t="s">
        <v>7</v>
      </c>
      <c r="AE7" s="14" t="s">
        <v>7</v>
      </c>
      <c r="AF7" s="14"/>
      <c r="AG7" s="14" t="s">
        <v>7</v>
      </c>
      <c r="AH7" s="14" t="s">
        <v>7</v>
      </c>
      <c r="AI7" s="14"/>
      <c r="AJ7" s="14" t="s">
        <v>7</v>
      </c>
      <c r="AK7" s="14" t="s">
        <v>7</v>
      </c>
      <c r="AL7" s="14"/>
      <c r="AM7" s="14" t="s">
        <v>7</v>
      </c>
      <c r="AN7" s="14" t="s">
        <v>7</v>
      </c>
      <c r="AO7" s="14"/>
      <c r="AP7" s="14" t="s">
        <v>7</v>
      </c>
      <c r="AQ7" s="14" t="s">
        <v>7</v>
      </c>
      <c r="AR7" s="14"/>
      <c r="AS7" s="14" t="s">
        <v>7</v>
      </c>
      <c r="AT7" s="14" t="s">
        <v>7</v>
      </c>
      <c r="AU7" s="14"/>
      <c r="AV7" s="14" t="s">
        <v>7</v>
      </c>
      <c r="AW7" s="14" t="s">
        <v>7</v>
      </c>
      <c r="AX7" s="14"/>
      <c r="AY7" s="14" t="s">
        <v>7</v>
      </c>
      <c r="AZ7" s="14" t="s">
        <v>7</v>
      </c>
      <c r="BA7" s="14"/>
      <c r="BB7" s="14" t="s">
        <v>7</v>
      </c>
      <c r="BC7" s="14" t="s">
        <v>7</v>
      </c>
      <c r="BD7" s="14"/>
      <c r="BE7" s="14" t="s">
        <v>7</v>
      </c>
      <c r="BF7" s="14" t="s">
        <v>7</v>
      </c>
      <c r="BG7" s="14"/>
      <c r="BH7" s="14" t="s">
        <v>7</v>
      </c>
      <c r="BI7" s="14" t="s">
        <v>7</v>
      </c>
      <c r="BJ7" s="14"/>
      <c r="BK7" s="14" t="s">
        <v>7</v>
      </c>
      <c r="BL7" s="14" t="s">
        <v>7</v>
      </c>
      <c r="BM7" s="14"/>
      <c r="BN7" s="14" t="s">
        <v>7</v>
      </c>
      <c r="BO7" s="14" t="s">
        <v>7</v>
      </c>
      <c r="BP7" s="14"/>
      <c r="BQ7" s="14" t="s">
        <v>7</v>
      </c>
      <c r="BR7" s="14" t="s">
        <v>7</v>
      </c>
      <c r="BS7" s="14"/>
      <c r="BT7" s="14" t="s">
        <v>7</v>
      </c>
      <c r="BU7" s="14" t="s">
        <v>7</v>
      </c>
    </row>
    <row r="8" spans="1:73" ht="15.75">
      <c r="A8" s="7"/>
      <c r="B8" s="7"/>
      <c r="C8" s="14" t="s">
        <v>11</v>
      </c>
      <c r="D8" s="14" t="s">
        <v>10</v>
      </c>
      <c r="E8" s="14"/>
      <c r="F8" s="14" t="s">
        <v>11</v>
      </c>
      <c r="G8" s="14" t="s">
        <v>10</v>
      </c>
      <c r="H8" s="14"/>
      <c r="I8" s="14" t="s">
        <v>11</v>
      </c>
      <c r="J8" s="14" t="s">
        <v>10</v>
      </c>
      <c r="K8" s="14"/>
      <c r="L8" s="14" t="s">
        <v>11</v>
      </c>
      <c r="M8" s="14" t="s">
        <v>10</v>
      </c>
      <c r="N8" s="14"/>
      <c r="O8" s="14" t="s">
        <v>11</v>
      </c>
      <c r="P8" s="14" t="s">
        <v>10</v>
      </c>
      <c r="Q8" s="14"/>
      <c r="R8" s="14" t="s">
        <v>11</v>
      </c>
      <c r="S8" s="14" t="s">
        <v>10</v>
      </c>
      <c r="T8" s="14"/>
      <c r="U8" s="14" t="s">
        <v>11</v>
      </c>
      <c r="V8" s="14" t="s">
        <v>10</v>
      </c>
      <c r="W8" s="14"/>
      <c r="X8" s="14" t="s">
        <v>11</v>
      </c>
      <c r="Y8" s="14" t="s">
        <v>10</v>
      </c>
      <c r="Z8" s="14"/>
      <c r="AA8" s="14" t="s">
        <v>11</v>
      </c>
      <c r="AB8" s="14" t="s">
        <v>10</v>
      </c>
      <c r="AC8" s="14"/>
      <c r="AD8" s="14" t="s">
        <v>11</v>
      </c>
      <c r="AE8" s="14" t="s">
        <v>10</v>
      </c>
      <c r="AF8" s="14"/>
      <c r="AG8" s="14" t="s">
        <v>11</v>
      </c>
      <c r="AH8" s="14" t="s">
        <v>10</v>
      </c>
      <c r="AI8" s="14"/>
      <c r="AJ8" s="14" t="s">
        <v>11</v>
      </c>
      <c r="AK8" s="14" t="s">
        <v>10</v>
      </c>
      <c r="AL8" s="14"/>
      <c r="AM8" s="14" t="s">
        <v>11</v>
      </c>
      <c r="AN8" s="14" t="s">
        <v>10</v>
      </c>
      <c r="AO8" s="14"/>
      <c r="AP8" s="14" t="s">
        <v>11</v>
      </c>
      <c r="AQ8" s="14" t="s">
        <v>10</v>
      </c>
      <c r="AR8" s="14"/>
      <c r="AS8" s="14" t="s">
        <v>11</v>
      </c>
      <c r="AT8" s="14" t="s">
        <v>10</v>
      </c>
      <c r="AU8" s="14"/>
      <c r="AV8" s="14" t="s">
        <v>11</v>
      </c>
      <c r="AW8" s="14" t="s">
        <v>10</v>
      </c>
      <c r="AX8" s="14"/>
      <c r="AY8" s="14" t="s">
        <v>11</v>
      </c>
      <c r="AZ8" s="14" t="s">
        <v>10</v>
      </c>
      <c r="BA8" s="14"/>
      <c r="BB8" s="14" t="s">
        <v>11</v>
      </c>
      <c r="BC8" s="14" t="s">
        <v>10</v>
      </c>
      <c r="BD8" s="14"/>
      <c r="BE8" s="14" t="s">
        <v>11</v>
      </c>
      <c r="BF8" s="14" t="s">
        <v>10</v>
      </c>
      <c r="BG8" s="14"/>
      <c r="BH8" s="14" t="s">
        <v>11</v>
      </c>
      <c r="BI8" s="14" t="s">
        <v>10</v>
      </c>
      <c r="BJ8" s="14"/>
      <c r="BK8" s="14" t="s">
        <v>11</v>
      </c>
      <c r="BL8" s="14" t="s">
        <v>10</v>
      </c>
      <c r="BM8" s="14"/>
      <c r="BN8" s="14" t="s">
        <v>11</v>
      </c>
      <c r="BO8" s="14" t="s">
        <v>10</v>
      </c>
      <c r="BP8" s="14"/>
      <c r="BQ8" s="14" t="s">
        <v>11</v>
      </c>
      <c r="BR8" s="14" t="s">
        <v>10</v>
      </c>
      <c r="BS8" s="14"/>
      <c r="BT8" s="14" t="s">
        <v>11</v>
      </c>
      <c r="BU8" s="14" t="s">
        <v>10</v>
      </c>
    </row>
    <row r="9" spans="1:73" ht="15.75">
      <c r="A9" s="7"/>
      <c r="B9" s="7"/>
      <c r="C9" s="7"/>
      <c r="D9" s="14" t="s">
        <v>14</v>
      </c>
      <c r="E9" s="7"/>
      <c r="F9" s="7"/>
      <c r="G9" s="14" t="s">
        <v>14</v>
      </c>
      <c r="H9" s="7"/>
      <c r="I9" s="7"/>
      <c r="J9" s="14" t="s">
        <v>14</v>
      </c>
      <c r="K9" s="7"/>
      <c r="L9" s="7"/>
      <c r="M9" s="14" t="s">
        <v>14</v>
      </c>
      <c r="N9" s="7"/>
      <c r="O9" s="7"/>
      <c r="P9" s="14" t="s">
        <v>14</v>
      </c>
      <c r="Q9" s="7"/>
      <c r="R9" s="7"/>
      <c r="S9" s="14" t="s">
        <v>14</v>
      </c>
      <c r="T9" s="7"/>
      <c r="U9" s="7"/>
      <c r="V9" s="14" t="s">
        <v>14</v>
      </c>
      <c r="W9" s="8" t="s">
        <v>15</v>
      </c>
      <c r="X9" s="7"/>
      <c r="Y9" s="14" t="s">
        <v>14</v>
      </c>
      <c r="Z9" s="8" t="s">
        <v>15</v>
      </c>
      <c r="AA9" s="7"/>
      <c r="AB9" s="14" t="s">
        <v>14</v>
      </c>
      <c r="AC9" s="7"/>
      <c r="AD9" s="7"/>
      <c r="AE9" s="14" t="s">
        <v>14</v>
      </c>
      <c r="AF9" s="7"/>
      <c r="AG9" s="7"/>
      <c r="AH9" s="14" t="s">
        <v>14</v>
      </c>
      <c r="AI9" s="7"/>
      <c r="AJ9" s="7"/>
      <c r="AK9" s="14" t="s">
        <v>14</v>
      </c>
      <c r="AL9" s="7"/>
      <c r="AM9" s="7"/>
      <c r="AN9" s="14" t="s">
        <v>14</v>
      </c>
      <c r="AO9" s="7"/>
      <c r="AP9" s="7"/>
      <c r="AQ9" s="14" t="s">
        <v>14</v>
      </c>
      <c r="AR9" s="7"/>
      <c r="AS9" s="7"/>
      <c r="AT9" s="14" t="s">
        <v>14</v>
      </c>
      <c r="AU9" s="7"/>
      <c r="AV9" s="7"/>
      <c r="AW9" s="14" t="s">
        <v>14</v>
      </c>
      <c r="AX9" s="7"/>
      <c r="AY9" s="7"/>
      <c r="AZ9" s="14" t="s">
        <v>14</v>
      </c>
      <c r="BA9" s="7"/>
      <c r="BB9" s="7"/>
      <c r="BC9" s="14" t="s">
        <v>14</v>
      </c>
      <c r="BD9" s="7"/>
      <c r="BE9" s="7"/>
      <c r="BF9" s="14" t="s">
        <v>14</v>
      </c>
      <c r="BG9" s="7"/>
      <c r="BH9" s="7"/>
      <c r="BI9" s="14" t="s">
        <v>14</v>
      </c>
      <c r="BJ9" s="7"/>
      <c r="BK9" s="7"/>
      <c r="BL9" s="14" t="s">
        <v>14</v>
      </c>
      <c r="BM9" s="7"/>
      <c r="BN9" s="7"/>
      <c r="BO9" s="14" t="s">
        <v>14</v>
      </c>
      <c r="BP9" s="7"/>
      <c r="BQ9" s="7"/>
      <c r="BR9" s="14" t="s">
        <v>14</v>
      </c>
      <c r="BS9" s="7"/>
      <c r="BT9" s="7"/>
      <c r="BU9" s="14" t="s">
        <v>14</v>
      </c>
    </row>
    <row r="10" spans="1:73" ht="16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6.5" thickTop="1">
      <c r="A11" s="16" t="s">
        <v>2</v>
      </c>
      <c r="B11" s="13"/>
      <c r="C11" s="17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</row>
    <row r="12" spans="1:73" ht="15.75">
      <c r="A12" s="18">
        <v>1</v>
      </c>
      <c r="B12" s="19" t="s">
        <v>17</v>
      </c>
      <c r="C12" s="7">
        <v>119.87</v>
      </c>
      <c r="D12" s="20">
        <v>116.52</v>
      </c>
      <c r="E12" s="7"/>
      <c r="F12" s="7">
        <v>120.68</v>
      </c>
      <c r="G12" s="20">
        <v>116.06</v>
      </c>
      <c r="H12" s="7"/>
      <c r="I12" s="7">
        <v>120.25</v>
      </c>
      <c r="J12" s="20">
        <v>116.61</v>
      </c>
      <c r="K12" s="7"/>
      <c r="L12" s="7">
        <v>120.1</v>
      </c>
      <c r="M12" s="20">
        <v>117.04</v>
      </c>
      <c r="N12" s="7"/>
      <c r="O12" s="7">
        <v>120.56</v>
      </c>
      <c r="P12" s="20">
        <v>116.75</v>
      </c>
      <c r="Q12" s="7"/>
      <c r="R12" s="7">
        <v>118.71</v>
      </c>
      <c r="S12" s="20">
        <v>117.84</v>
      </c>
      <c r="T12" s="7"/>
      <c r="U12" s="7">
        <v>118.54</v>
      </c>
      <c r="V12" s="20">
        <v>117.79</v>
      </c>
      <c r="W12" s="7"/>
      <c r="X12" s="7">
        <v>117.88</v>
      </c>
      <c r="Y12" s="20">
        <v>117.93</v>
      </c>
      <c r="Z12" s="7"/>
      <c r="AA12" s="7">
        <v>117.13</v>
      </c>
      <c r="AB12" s="20">
        <v>118.96</v>
      </c>
      <c r="AC12" s="7"/>
      <c r="AD12" s="7">
        <v>116.92</v>
      </c>
      <c r="AE12" s="7">
        <v>118.95</v>
      </c>
      <c r="AF12" s="7"/>
      <c r="AG12" s="7">
        <v>116.01</v>
      </c>
      <c r="AH12" s="20">
        <v>119.57</v>
      </c>
      <c r="AI12" s="7"/>
      <c r="AJ12" s="7">
        <v>116.41</v>
      </c>
      <c r="AK12" s="20">
        <v>117.93</v>
      </c>
      <c r="AL12" s="7"/>
      <c r="AM12" s="7">
        <v>116.35</v>
      </c>
      <c r="AN12" s="20">
        <v>117.86</v>
      </c>
      <c r="AO12" s="7"/>
      <c r="AP12" s="7">
        <v>117.28</v>
      </c>
      <c r="AQ12" s="20">
        <v>117.25</v>
      </c>
      <c r="AR12" s="7"/>
      <c r="AS12" s="7">
        <v>116.02</v>
      </c>
      <c r="AT12" s="20">
        <v>118.03</v>
      </c>
      <c r="AU12" s="7"/>
      <c r="AV12" s="7">
        <v>116.16</v>
      </c>
      <c r="AW12" s="20">
        <v>117.99</v>
      </c>
      <c r="AX12" s="7"/>
      <c r="AY12" s="7">
        <v>117.59</v>
      </c>
      <c r="AZ12" s="20">
        <v>116.96</v>
      </c>
      <c r="BA12" s="7"/>
      <c r="BB12" s="7">
        <v>117.23</v>
      </c>
      <c r="BC12" s="20">
        <v>117.06</v>
      </c>
      <c r="BD12" s="7"/>
      <c r="BE12" s="7">
        <v>116.4</v>
      </c>
      <c r="BF12" s="20">
        <v>117.67</v>
      </c>
      <c r="BG12" s="7"/>
      <c r="BH12" s="22">
        <v>117.44</v>
      </c>
      <c r="BI12" s="23">
        <v>116.67</v>
      </c>
      <c r="BJ12" s="7"/>
      <c r="BK12" s="22">
        <v>119.44</v>
      </c>
      <c r="BL12" s="23">
        <v>115.27</v>
      </c>
      <c r="BM12" s="7"/>
      <c r="BN12" s="22">
        <v>119.43</v>
      </c>
      <c r="BO12" s="23">
        <v>115.6</v>
      </c>
      <c r="BP12" s="7"/>
      <c r="BQ12" s="22">
        <v>120.03</v>
      </c>
      <c r="BR12" s="23">
        <v>115.1</v>
      </c>
      <c r="BS12" s="7"/>
      <c r="BT12" s="7">
        <f aca="true" t="shared" si="0" ref="BT12:BT24">(+L12+O12+R12+U12+X12+AA12+AD12+AG12+AJ12+AM12+AP12+AS12+AV12+AY12+BB12+BE12+BH12+BK12+BN12+BQ12)/20</f>
        <v>117.78150000000001</v>
      </c>
      <c r="BU12" s="23">
        <f aca="true" t="shared" si="1" ref="BU12:BU24">(+M12+P12+S12+V12+Y12+AB12+AE12+AH12+AK12+AN12+AQ12+AT12+AW12+AZ12+BC12+BF12+BI12+BL12+BO12+BR12)/20</f>
        <v>117.41100000000002</v>
      </c>
    </row>
    <row r="13" spans="1:73" ht="15.75">
      <c r="A13" s="18">
        <v>2</v>
      </c>
      <c r="B13" s="19" t="s">
        <v>18</v>
      </c>
      <c r="C13" s="7">
        <f>1/1.5305</f>
        <v>0.6533812479581836</v>
      </c>
      <c r="D13" s="20">
        <v>213.78</v>
      </c>
      <c r="E13" s="7"/>
      <c r="F13" s="7">
        <f>1/1.5253</f>
        <v>0.6556087327083197</v>
      </c>
      <c r="G13" s="20">
        <v>213.64</v>
      </c>
      <c r="H13" s="7"/>
      <c r="I13" s="7">
        <f>1/1.5242</f>
        <v>0.6560818790185015</v>
      </c>
      <c r="J13" s="20">
        <v>213.73</v>
      </c>
      <c r="K13" s="7"/>
      <c r="L13" s="7">
        <f>1/1.5241</f>
        <v>0.6561249261859458</v>
      </c>
      <c r="M13" s="20">
        <v>214.24</v>
      </c>
      <c r="N13" s="7"/>
      <c r="O13" s="7">
        <f>1/1.5165</f>
        <v>0.6594131223211342</v>
      </c>
      <c r="P13" s="20">
        <v>213.46</v>
      </c>
      <c r="Q13" s="7"/>
      <c r="R13" s="7">
        <f>1/1.5318</f>
        <v>0.6528267397832616</v>
      </c>
      <c r="S13" s="20">
        <v>214.27</v>
      </c>
      <c r="T13" s="7"/>
      <c r="U13" s="7">
        <f>1/1.5424</f>
        <v>0.6483402489626556</v>
      </c>
      <c r="V13" s="20">
        <v>215.37</v>
      </c>
      <c r="W13" s="7"/>
      <c r="X13" s="7">
        <f>1/1.5496</f>
        <v>0.6453278265358802</v>
      </c>
      <c r="Y13" s="20">
        <v>215.43</v>
      </c>
      <c r="Z13" s="7"/>
      <c r="AA13" s="7">
        <f>1/1.543</f>
        <v>0.6480881399870383</v>
      </c>
      <c r="AB13" s="20">
        <v>215</v>
      </c>
      <c r="AC13" s="7"/>
      <c r="AD13" s="7">
        <f>1/1.5491</f>
        <v>0.6455361177457879</v>
      </c>
      <c r="AE13" s="7">
        <v>215.44</v>
      </c>
      <c r="AF13" s="7"/>
      <c r="AG13" s="7">
        <f>1/1.5564</f>
        <v>0.6425083526085839</v>
      </c>
      <c r="AH13" s="20">
        <v>215.89</v>
      </c>
      <c r="AI13" s="7"/>
      <c r="AJ13" s="7">
        <f>1/1.5711</f>
        <v>0.6364967220418815</v>
      </c>
      <c r="AK13" s="20">
        <v>215.69</v>
      </c>
      <c r="AL13" s="7"/>
      <c r="AM13" s="7">
        <f>1/1.5658</f>
        <v>0.6386511687316387</v>
      </c>
      <c r="AN13" s="20">
        <v>214.72</v>
      </c>
      <c r="AO13" s="7"/>
      <c r="AP13" s="7">
        <f>1/1.5619</f>
        <v>0.6402458544080927</v>
      </c>
      <c r="AQ13" s="20">
        <v>214.79</v>
      </c>
      <c r="AR13" s="7"/>
      <c r="AS13" s="7">
        <f>1/1.5784</f>
        <v>0.6335529650278763</v>
      </c>
      <c r="AT13" s="20">
        <v>216.15</v>
      </c>
      <c r="AU13" s="7"/>
      <c r="AV13" s="7">
        <f>1/1.576</f>
        <v>0.6345177664974619</v>
      </c>
      <c r="AW13" s="20">
        <v>216</v>
      </c>
      <c r="AX13" s="7"/>
      <c r="AY13" s="7">
        <f>1/1.5637</f>
        <v>0.6395088571976721</v>
      </c>
      <c r="AZ13" s="20">
        <v>215.07</v>
      </c>
      <c r="BA13" s="7"/>
      <c r="BB13" s="7">
        <f>1/1.5647</f>
        <v>0.6391001469930339</v>
      </c>
      <c r="BC13" s="20">
        <v>214.73</v>
      </c>
      <c r="BD13" s="7"/>
      <c r="BE13" s="7">
        <f>1/1.5751</f>
        <v>0.6348803250587265</v>
      </c>
      <c r="BF13" s="20">
        <v>215.73</v>
      </c>
      <c r="BG13" s="7"/>
      <c r="BH13" s="22">
        <f>1/1.5772</f>
        <v>0.63403499873193</v>
      </c>
      <c r="BI13" s="23">
        <v>216.1</v>
      </c>
      <c r="BJ13" s="7"/>
      <c r="BK13" s="22">
        <f>1/1.5657</f>
        <v>0.6386919588682378</v>
      </c>
      <c r="BL13" s="23">
        <v>215.56</v>
      </c>
      <c r="BM13" s="7"/>
      <c r="BN13" s="22">
        <f>1/1.5635</f>
        <v>0.6395906619763352</v>
      </c>
      <c r="BO13" s="23">
        <v>215.87</v>
      </c>
      <c r="BP13" s="7"/>
      <c r="BQ13" s="22">
        <f>1/1.5655</f>
        <v>0.6387735547748323</v>
      </c>
      <c r="BR13" s="23">
        <v>216.28</v>
      </c>
      <c r="BS13" s="7"/>
      <c r="BT13" s="7">
        <f t="shared" si="0"/>
        <v>0.6423105227219004</v>
      </c>
      <c r="BU13" s="23">
        <f t="shared" si="1"/>
        <v>215.2895</v>
      </c>
    </row>
    <row r="14" spans="1:73" ht="15.75">
      <c r="A14" s="18">
        <v>3</v>
      </c>
      <c r="B14" s="19" t="s">
        <v>19</v>
      </c>
      <c r="C14" s="7">
        <v>1.483</v>
      </c>
      <c r="D14" s="20">
        <v>94.19</v>
      </c>
      <c r="E14" s="7"/>
      <c r="F14" s="7">
        <v>1.4973</v>
      </c>
      <c r="G14" s="20">
        <v>93.55</v>
      </c>
      <c r="H14" s="7"/>
      <c r="I14" s="7">
        <v>1.4933</v>
      </c>
      <c r="J14" s="20">
        <v>93.9</v>
      </c>
      <c r="K14" s="7"/>
      <c r="L14" s="7">
        <v>1.5006</v>
      </c>
      <c r="M14" s="20">
        <v>93.67</v>
      </c>
      <c r="N14" s="7"/>
      <c r="O14" s="7">
        <v>1.5059</v>
      </c>
      <c r="P14" s="20">
        <v>93.47</v>
      </c>
      <c r="Q14" s="7"/>
      <c r="R14" s="7">
        <v>1.4908</v>
      </c>
      <c r="S14" s="20">
        <v>93.83</v>
      </c>
      <c r="T14" s="7"/>
      <c r="U14" s="7">
        <v>1.4872</v>
      </c>
      <c r="V14" s="20">
        <v>93.89</v>
      </c>
      <c r="W14" s="7"/>
      <c r="X14" s="7">
        <v>1.4836</v>
      </c>
      <c r="Y14" s="20">
        <v>93.7</v>
      </c>
      <c r="Z14" s="7"/>
      <c r="AA14" s="7">
        <v>1.4888</v>
      </c>
      <c r="AB14" s="20">
        <v>93.59</v>
      </c>
      <c r="AC14" s="7"/>
      <c r="AD14" s="7">
        <v>1.4858</v>
      </c>
      <c r="AE14" s="7">
        <v>93.6</v>
      </c>
      <c r="AF14" s="7"/>
      <c r="AG14" s="7">
        <v>1.474</v>
      </c>
      <c r="AH14" s="20">
        <v>94.1</v>
      </c>
      <c r="AI14" s="7"/>
      <c r="AJ14" s="7">
        <v>1.4585</v>
      </c>
      <c r="AK14" s="20">
        <v>94.13</v>
      </c>
      <c r="AL14" s="7"/>
      <c r="AM14" s="7">
        <v>1.4532</v>
      </c>
      <c r="AN14" s="20">
        <v>94.36</v>
      </c>
      <c r="AO14" s="7"/>
      <c r="AP14" s="7">
        <v>1.4573</v>
      </c>
      <c r="AQ14" s="20">
        <v>94.36</v>
      </c>
      <c r="AR14" s="7"/>
      <c r="AS14" s="7">
        <v>1.4432</v>
      </c>
      <c r="AT14" s="20">
        <v>94.89</v>
      </c>
      <c r="AU14" s="7"/>
      <c r="AV14" s="7">
        <v>1.4399</v>
      </c>
      <c r="AW14" s="20">
        <v>95.18</v>
      </c>
      <c r="AX14" s="7"/>
      <c r="AY14" s="7">
        <v>1.47</v>
      </c>
      <c r="AZ14" s="20">
        <v>93.56</v>
      </c>
      <c r="BA14" s="7"/>
      <c r="BB14" s="7">
        <v>1.4674</v>
      </c>
      <c r="BC14" s="20">
        <v>93.52</v>
      </c>
      <c r="BD14" s="7"/>
      <c r="BE14" s="7">
        <v>1.4489</v>
      </c>
      <c r="BF14" s="20">
        <v>94.53</v>
      </c>
      <c r="BG14" s="7"/>
      <c r="BH14" s="22">
        <v>1.4474</v>
      </c>
      <c r="BI14" s="23">
        <v>94.66</v>
      </c>
      <c r="BJ14" s="7"/>
      <c r="BK14" s="22">
        <v>1.474</v>
      </c>
      <c r="BL14" s="23">
        <v>93.4</v>
      </c>
      <c r="BM14" s="7"/>
      <c r="BN14" s="22">
        <v>1.4837</v>
      </c>
      <c r="BO14" s="23">
        <v>93.06</v>
      </c>
      <c r="BP14" s="7"/>
      <c r="BQ14" s="22">
        <v>1.4853</v>
      </c>
      <c r="BR14" s="23">
        <v>93.02</v>
      </c>
      <c r="BS14" s="7"/>
      <c r="BT14" s="7">
        <f t="shared" si="0"/>
        <v>1.4722750000000002</v>
      </c>
      <c r="BU14" s="23">
        <f t="shared" si="1"/>
        <v>93.92600000000002</v>
      </c>
    </row>
    <row r="15" spans="1:73" ht="15.75">
      <c r="A15" s="18">
        <v>4</v>
      </c>
      <c r="B15" s="19" t="s">
        <v>24</v>
      </c>
      <c r="C15" s="7">
        <f>1/0.991</f>
        <v>1.0090817356205852</v>
      </c>
      <c r="D15" s="20">
        <v>138.42</v>
      </c>
      <c r="E15" s="7"/>
      <c r="F15" s="7">
        <f>1/0.9798</f>
        <v>1.0206164523372117</v>
      </c>
      <c r="G15" s="20">
        <v>137.24</v>
      </c>
      <c r="H15" s="7"/>
      <c r="I15" s="7">
        <f>1/0.979</f>
        <v>1.0214504596527068</v>
      </c>
      <c r="J15" s="20">
        <v>137.28</v>
      </c>
      <c r="K15" s="7"/>
      <c r="L15" s="7">
        <f>1/0.9759</f>
        <v>1.0246951531919255</v>
      </c>
      <c r="M15" s="20">
        <v>137.18</v>
      </c>
      <c r="N15" s="7"/>
      <c r="O15" s="7">
        <f>1/0.9732</f>
        <v>1.0275380189066996</v>
      </c>
      <c r="P15" s="20">
        <v>136.99</v>
      </c>
      <c r="Q15" s="7"/>
      <c r="R15" s="7">
        <f>1/0.9846</f>
        <v>1.015640869388584</v>
      </c>
      <c r="S15" s="20">
        <v>137.73</v>
      </c>
      <c r="T15" s="7"/>
      <c r="U15" s="7">
        <f>1/0.9888</f>
        <v>1.0113268608414239</v>
      </c>
      <c r="V15" s="20">
        <v>138.07</v>
      </c>
      <c r="W15" s="7"/>
      <c r="X15" s="7">
        <f>1/0.9928</f>
        <v>1.0072522159548751</v>
      </c>
      <c r="Y15" s="20">
        <v>138.02</v>
      </c>
      <c r="Z15" s="7"/>
      <c r="AA15" s="7">
        <f>1/0.9849</f>
        <v>1.015331505736623</v>
      </c>
      <c r="AB15" s="20">
        <v>137.23</v>
      </c>
      <c r="AC15" s="7"/>
      <c r="AD15" s="7">
        <f>1/0.9868</f>
        <v>1.0133765707336846</v>
      </c>
      <c r="AE15" s="7">
        <v>137.24</v>
      </c>
      <c r="AF15" s="7"/>
      <c r="AG15" s="7">
        <f>1/0.9962</f>
        <v>1.003814495081309</v>
      </c>
      <c r="AH15" s="20">
        <v>138.18</v>
      </c>
      <c r="AI15" s="7"/>
      <c r="AJ15" s="7">
        <f>1/1.0062</f>
        <v>0.9938382031405287</v>
      </c>
      <c r="AK15" s="20">
        <v>138.14</v>
      </c>
      <c r="AL15" s="7"/>
      <c r="AM15" s="24">
        <f>1/1.0085</f>
        <v>0.991571641051066</v>
      </c>
      <c r="AN15" s="20">
        <v>138.29</v>
      </c>
      <c r="AO15" s="7"/>
      <c r="AP15" s="24">
        <f>1/1.0042</f>
        <v>0.9958175662218681</v>
      </c>
      <c r="AQ15" s="20">
        <v>138.09</v>
      </c>
      <c r="AR15" s="7"/>
      <c r="AS15" s="7">
        <f>1/1.014</f>
        <v>0.9861932938856016</v>
      </c>
      <c r="AT15" s="20">
        <v>138.86</v>
      </c>
      <c r="AU15" s="7"/>
      <c r="AV15" s="7">
        <f>1/1.0117</f>
        <v>0.9884353069091627</v>
      </c>
      <c r="AW15" s="20">
        <v>138.66</v>
      </c>
      <c r="AX15" s="7"/>
      <c r="AY15" s="7">
        <f>1/0.9889</f>
        <v>1.0112245929821013</v>
      </c>
      <c r="AZ15" s="20">
        <v>136.01</v>
      </c>
      <c r="BA15" s="7"/>
      <c r="BB15" s="7">
        <f>1/0.989</f>
        <v>1.0111223458038423</v>
      </c>
      <c r="BC15" s="20">
        <v>135.72</v>
      </c>
      <c r="BD15" s="7"/>
      <c r="BE15" s="7">
        <v>1.0006</v>
      </c>
      <c r="BF15" s="20">
        <v>137.04</v>
      </c>
      <c r="BG15" s="7"/>
      <c r="BH15" s="22">
        <v>1</v>
      </c>
      <c r="BI15" s="23">
        <v>137.02</v>
      </c>
      <c r="BJ15" s="7"/>
      <c r="BK15" s="22">
        <f>1/0.9851</f>
        <v>1.015125367982946</v>
      </c>
      <c r="BL15" s="23">
        <v>135.62</v>
      </c>
      <c r="BM15" s="7"/>
      <c r="BN15" s="22">
        <f>1/0.983</f>
        <v>1.017293997965412</v>
      </c>
      <c r="BO15" s="23">
        <v>135.72</v>
      </c>
      <c r="BP15" s="7"/>
      <c r="BQ15" s="22">
        <f>1/0.9792</f>
        <v>1.0212418300653596</v>
      </c>
      <c r="BR15" s="23">
        <v>135.28</v>
      </c>
      <c r="BS15" s="7"/>
      <c r="BT15" s="7">
        <f t="shared" si="0"/>
        <v>1.0075719917921506</v>
      </c>
      <c r="BU15" s="23">
        <f t="shared" si="1"/>
        <v>137.25449999999998</v>
      </c>
    </row>
    <row r="16" spans="1:73" ht="15.75">
      <c r="A16" s="18">
        <v>5</v>
      </c>
      <c r="B16" s="19" t="s">
        <v>25</v>
      </c>
      <c r="C16" s="7">
        <v>312.3</v>
      </c>
      <c r="D16" s="20">
        <v>43621.09</v>
      </c>
      <c r="E16" s="7"/>
      <c r="F16" s="7">
        <v>312.9</v>
      </c>
      <c r="G16" s="20">
        <v>43826.73</v>
      </c>
      <c r="H16" s="7"/>
      <c r="I16" s="7">
        <v>312.75</v>
      </c>
      <c r="J16" s="20">
        <v>43854.78</v>
      </c>
      <c r="K16" s="7"/>
      <c r="L16" s="7">
        <v>310.75</v>
      </c>
      <c r="M16" s="20">
        <v>43681.16</v>
      </c>
      <c r="N16" s="7"/>
      <c r="O16" s="7">
        <v>311</v>
      </c>
      <c r="P16" s="20">
        <v>43776.17</v>
      </c>
      <c r="Q16" s="7"/>
      <c r="R16" s="7">
        <v>312.65</v>
      </c>
      <c r="S16" s="20">
        <v>43734.26</v>
      </c>
      <c r="T16" s="7"/>
      <c r="U16" s="7">
        <v>312.5</v>
      </c>
      <c r="V16" s="20">
        <v>43634.77</v>
      </c>
      <c r="W16" s="7"/>
      <c r="X16" s="7">
        <v>316</v>
      </c>
      <c r="Y16" s="20">
        <v>43930.32</v>
      </c>
      <c r="Z16" s="7"/>
      <c r="AA16" s="7">
        <v>314.5</v>
      </c>
      <c r="AB16" s="20">
        <v>43821.64</v>
      </c>
      <c r="AC16" s="7"/>
      <c r="AD16" s="7">
        <v>316</v>
      </c>
      <c r="AE16" s="7">
        <v>43947.7</v>
      </c>
      <c r="AF16" s="7"/>
      <c r="AG16" s="7">
        <v>316.25</v>
      </c>
      <c r="AH16" s="20">
        <v>43866.64</v>
      </c>
      <c r="AI16" s="7"/>
      <c r="AJ16" s="7">
        <v>318.45</v>
      </c>
      <c r="AK16" s="20">
        <v>43718.61</v>
      </c>
      <c r="AL16" s="7"/>
      <c r="AM16" s="7">
        <v>317.6</v>
      </c>
      <c r="AN16" s="20">
        <v>43551.89</v>
      </c>
      <c r="AO16" s="7"/>
      <c r="AP16" s="7">
        <v>316.35</v>
      </c>
      <c r="AQ16" s="20">
        <v>43503.07</v>
      </c>
      <c r="AR16" s="7"/>
      <c r="AS16" s="7">
        <v>319.25</v>
      </c>
      <c r="AT16" s="20">
        <v>43717.9</v>
      </c>
      <c r="AU16" s="7"/>
      <c r="AV16" s="7">
        <v>324</v>
      </c>
      <c r="AW16" s="20">
        <v>44405.21</v>
      </c>
      <c r="AX16" s="7"/>
      <c r="AY16" s="7">
        <v>319.95</v>
      </c>
      <c r="AZ16" s="20">
        <v>44005.12</v>
      </c>
      <c r="BA16" s="7"/>
      <c r="BB16" s="7">
        <v>313.25</v>
      </c>
      <c r="BC16" s="20">
        <v>42988.67</v>
      </c>
      <c r="BD16" s="7"/>
      <c r="BE16" s="7">
        <v>310.1</v>
      </c>
      <c r="BF16" s="20">
        <v>42472.07</v>
      </c>
      <c r="BG16" s="7"/>
      <c r="BH16" s="22">
        <v>308.65</v>
      </c>
      <c r="BI16" s="23">
        <v>42290.26</v>
      </c>
      <c r="BJ16" s="7"/>
      <c r="BK16" s="22">
        <v>302.8</v>
      </c>
      <c r="BL16" s="23">
        <v>41688.18</v>
      </c>
      <c r="BM16" s="7"/>
      <c r="BN16" s="22">
        <v>304.25</v>
      </c>
      <c r="BO16" s="23">
        <v>42006.66</v>
      </c>
      <c r="BP16" s="7"/>
      <c r="BQ16" s="22">
        <v>305.4</v>
      </c>
      <c r="BR16" s="23">
        <v>42192.73</v>
      </c>
      <c r="BS16" s="7"/>
      <c r="BT16" s="7">
        <f t="shared" si="0"/>
        <v>313.48499999999996</v>
      </c>
      <c r="BU16" s="23">
        <f t="shared" si="1"/>
        <v>43346.6515</v>
      </c>
    </row>
    <row r="17" spans="1:73" ht="15.75">
      <c r="A17" s="18">
        <v>6</v>
      </c>
      <c r="B17" s="25" t="s">
        <v>26</v>
      </c>
      <c r="C17" s="7">
        <v>4.81</v>
      </c>
      <c r="D17" s="20">
        <v>671.85</v>
      </c>
      <c r="E17" s="7"/>
      <c r="F17" s="7">
        <v>4.85</v>
      </c>
      <c r="G17" s="20">
        <v>679.32</v>
      </c>
      <c r="H17" s="7"/>
      <c r="I17" s="7">
        <v>4.92</v>
      </c>
      <c r="J17" s="20">
        <v>689.9</v>
      </c>
      <c r="K17" s="7"/>
      <c r="L17" s="7">
        <v>4.91</v>
      </c>
      <c r="M17" s="20">
        <v>690.18</v>
      </c>
      <c r="N17" s="7"/>
      <c r="O17" s="7">
        <v>4.9</v>
      </c>
      <c r="P17" s="20">
        <v>689.72</v>
      </c>
      <c r="Q17" s="7"/>
      <c r="R17" s="7">
        <v>4.94</v>
      </c>
      <c r="S17" s="20">
        <v>691.02</v>
      </c>
      <c r="T17" s="7"/>
      <c r="U17" s="7">
        <v>4.96</v>
      </c>
      <c r="V17" s="20">
        <v>692.57</v>
      </c>
      <c r="W17" s="7"/>
      <c r="X17" s="7">
        <v>5.04</v>
      </c>
      <c r="Y17" s="20">
        <v>700.66</v>
      </c>
      <c r="Z17" s="7"/>
      <c r="AA17" s="7">
        <v>4.9</v>
      </c>
      <c r="AB17" s="20">
        <v>682.75</v>
      </c>
      <c r="AC17" s="7"/>
      <c r="AD17" s="7">
        <v>5.07</v>
      </c>
      <c r="AE17" s="7">
        <v>705.11</v>
      </c>
      <c r="AF17" s="7"/>
      <c r="AG17" s="7">
        <v>5.04</v>
      </c>
      <c r="AH17" s="20">
        <v>699.09</v>
      </c>
      <c r="AI17" s="7"/>
      <c r="AJ17" s="7">
        <v>5.07</v>
      </c>
      <c r="AK17" s="20">
        <v>696.04</v>
      </c>
      <c r="AL17" s="7"/>
      <c r="AM17" s="7">
        <v>5</v>
      </c>
      <c r="AN17" s="20">
        <v>685.64</v>
      </c>
      <c r="AO17" s="7"/>
      <c r="AP17" s="7">
        <v>4.97</v>
      </c>
      <c r="AQ17" s="20">
        <v>683.45</v>
      </c>
      <c r="AR17" s="7"/>
      <c r="AS17" s="7">
        <v>5.01</v>
      </c>
      <c r="AT17" s="20">
        <v>686.07</v>
      </c>
      <c r="AU17" s="7"/>
      <c r="AV17" s="7">
        <v>5.05</v>
      </c>
      <c r="AW17" s="20">
        <v>692.12</v>
      </c>
      <c r="AX17" s="7"/>
      <c r="AY17" s="7">
        <v>4.99</v>
      </c>
      <c r="AZ17" s="20">
        <v>686.31</v>
      </c>
      <c r="BA17" s="7"/>
      <c r="BB17" s="7">
        <v>4.87</v>
      </c>
      <c r="BC17" s="20">
        <v>668.33</v>
      </c>
      <c r="BD17" s="7"/>
      <c r="BE17" s="7">
        <v>4.85</v>
      </c>
      <c r="BF17" s="20">
        <v>664.27</v>
      </c>
      <c r="BG17" s="7"/>
      <c r="BH17" s="22">
        <v>4.84</v>
      </c>
      <c r="BI17" s="23">
        <v>663.16</v>
      </c>
      <c r="BJ17" s="7"/>
      <c r="BK17" s="22">
        <v>4.66</v>
      </c>
      <c r="BL17" s="23">
        <v>641.57</v>
      </c>
      <c r="BM17" s="7"/>
      <c r="BN17" s="22">
        <v>4.64</v>
      </c>
      <c r="BO17" s="23">
        <v>640.63</v>
      </c>
      <c r="BP17" s="7"/>
      <c r="BQ17" s="22">
        <v>4.66</v>
      </c>
      <c r="BR17" s="23">
        <v>643.81</v>
      </c>
      <c r="BS17" s="7"/>
      <c r="BT17" s="7">
        <f t="shared" si="0"/>
        <v>4.9185</v>
      </c>
      <c r="BU17" s="23">
        <f t="shared" si="1"/>
        <v>680.1249999999999</v>
      </c>
    </row>
    <row r="18" spans="1:73" ht="15.75">
      <c r="A18" s="18">
        <v>7</v>
      </c>
      <c r="B18" s="19" t="s">
        <v>27</v>
      </c>
      <c r="C18" s="7">
        <f>1/0.5608</f>
        <v>1.783166904422254</v>
      </c>
      <c r="D18" s="20">
        <v>78.33</v>
      </c>
      <c r="E18" s="7"/>
      <c r="F18" s="7">
        <f>1/0.5613</f>
        <v>1.7815784785319793</v>
      </c>
      <c r="G18" s="20">
        <v>78.62</v>
      </c>
      <c r="H18" s="7"/>
      <c r="I18" s="7">
        <f>1/0.558</f>
        <v>1.7921146953405016</v>
      </c>
      <c r="J18" s="20">
        <v>78.24</v>
      </c>
      <c r="K18" s="7"/>
      <c r="L18" s="7">
        <f>1/0.5555</f>
        <v>1.8001800180018002</v>
      </c>
      <c r="M18" s="20">
        <v>78.08</v>
      </c>
      <c r="N18" s="7"/>
      <c r="O18" s="7">
        <f>1/0.5564</f>
        <v>1.7972681524083394</v>
      </c>
      <c r="P18" s="20">
        <v>78.32</v>
      </c>
      <c r="Q18" s="7"/>
      <c r="R18" s="7">
        <f>1/0.563</f>
        <v>1.7761989342806397</v>
      </c>
      <c r="S18" s="20">
        <v>78.75</v>
      </c>
      <c r="T18" s="7"/>
      <c r="U18" s="7">
        <f>1/0.5649</f>
        <v>1.7702248185519562</v>
      </c>
      <c r="V18" s="20">
        <v>78.88</v>
      </c>
      <c r="W18" s="7"/>
      <c r="X18" s="7">
        <f>1/0.5688</f>
        <v>1.7580872011251758</v>
      </c>
      <c r="Y18" s="20">
        <v>79.07</v>
      </c>
      <c r="Z18" s="7"/>
      <c r="AA18" s="7">
        <f>1/0.5596</f>
        <v>1.7869907076483202</v>
      </c>
      <c r="AB18" s="20">
        <v>77.97</v>
      </c>
      <c r="AC18" s="7"/>
      <c r="AD18" s="7">
        <f>1/0.5597</f>
        <v>1.7866714311238163</v>
      </c>
      <c r="AE18" s="7">
        <v>77.84</v>
      </c>
      <c r="AF18" s="7"/>
      <c r="AG18" s="7">
        <f>1/0.5621</f>
        <v>1.7790428749332858</v>
      </c>
      <c r="AH18" s="20">
        <v>77.97</v>
      </c>
      <c r="AI18" s="7"/>
      <c r="AJ18" s="7">
        <f>1/0.5621</f>
        <v>1.7790428749332858</v>
      </c>
      <c r="AK18" s="20">
        <v>77.17</v>
      </c>
      <c r="AL18" s="7"/>
      <c r="AM18" s="7">
        <f>1/0.5544</f>
        <v>1.8037518037518037</v>
      </c>
      <c r="AN18" s="20">
        <v>76.02</v>
      </c>
      <c r="AO18" s="7"/>
      <c r="AP18" s="7">
        <f>1/0.5513</f>
        <v>1.8138944313440957</v>
      </c>
      <c r="AQ18" s="20">
        <v>75.81</v>
      </c>
      <c r="AR18" s="7"/>
      <c r="AS18" s="7">
        <f>1/0.5555</f>
        <v>1.8001800180018002</v>
      </c>
      <c r="AT18" s="20">
        <v>76.07</v>
      </c>
      <c r="AU18" s="7"/>
      <c r="AV18" s="7">
        <f>1/0.5543</f>
        <v>1.8040772145047808</v>
      </c>
      <c r="AW18" s="20">
        <v>75.97</v>
      </c>
      <c r="AX18" s="7"/>
      <c r="AY18" s="7">
        <f>1/0.5415</f>
        <v>1.8467220683287167</v>
      </c>
      <c r="AZ18" s="20">
        <v>74.48</v>
      </c>
      <c r="BA18" s="7"/>
      <c r="BB18" s="7">
        <f>1/0.5381</f>
        <v>1.858390633711206</v>
      </c>
      <c r="BC18" s="20">
        <v>73.85</v>
      </c>
      <c r="BD18" s="7"/>
      <c r="BE18" s="7">
        <f>1/0.543</f>
        <v>1.8416206261510129</v>
      </c>
      <c r="BF18" s="20">
        <v>74.37</v>
      </c>
      <c r="BG18" s="7"/>
      <c r="BH18" s="22">
        <f>1/0.5392</f>
        <v>1.8545994065281899</v>
      </c>
      <c r="BI18" s="23">
        <v>73.88</v>
      </c>
      <c r="BJ18" s="7"/>
      <c r="BK18" s="22">
        <f>1/0.5381</f>
        <v>1.858390633711206</v>
      </c>
      <c r="BL18" s="23">
        <v>74.08</v>
      </c>
      <c r="BM18" s="7"/>
      <c r="BN18" s="22">
        <f>1/0.5445</f>
        <v>1.8365472910927456</v>
      </c>
      <c r="BO18" s="23">
        <v>75.18</v>
      </c>
      <c r="BP18" s="7"/>
      <c r="BQ18" s="22">
        <f>1/0.5461</f>
        <v>1.8311664530305805</v>
      </c>
      <c r="BR18" s="23">
        <v>75.45</v>
      </c>
      <c r="BS18" s="7"/>
      <c r="BT18" s="7">
        <f t="shared" si="0"/>
        <v>1.8091523796581377</v>
      </c>
      <c r="BU18" s="23">
        <f t="shared" si="1"/>
        <v>76.4605</v>
      </c>
    </row>
    <row r="19" spans="1:73" ht="15.75">
      <c r="A19" s="18">
        <v>8</v>
      </c>
      <c r="B19" s="19" t="s">
        <v>28</v>
      </c>
      <c r="C19" s="7">
        <v>1.5166</v>
      </c>
      <c r="D19" s="20">
        <v>92.1</v>
      </c>
      <c r="E19" s="7"/>
      <c r="F19" s="7">
        <v>1.5257</v>
      </c>
      <c r="G19" s="20">
        <v>91.8</v>
      </c>
      <c r="H19" s="7"/>
      <c r="I19" s="7">
        <v>1.5301</v>
      </c>
      <c r="J19" s="20">
        <v>91.64</v>
      </c>
      <c r="K19" s="7"/>
      <c r="L19" s="7">
        <v>1.5335</v>
      </c>
      <c r="M19" s="20">
        <v>91.66</v>
      </c>
      <c r="N19" s="7"/>
      <c r="O19" s="7">
        <v>1.5295</v>
      </c>
      <c r="P19" s="20">
        <v>92.03</v>
      </c>
      <c r="Q19" s="7"/>
      <c r="R19" s="7">
        <v>1.5184</v>
      </c>
      <c r="S19" s="20">
        <v>92.12</v>
      </c>
      <c r="T19" s="7"/>
      <c r="U19" s="7">
        <v>1.5229</v>
      </c>
      <c r="V19" s="20">
        <v>91.69</v>
      </c>
      <c r="W19" s="7"/>
      <c r="X19" s="7">
        <v>1.5166</v>
      </c>
      <c r="Y19" s="20">
        <v>91.67</v>
      </c>
      <c r="Z19" s="7"/>
      <c r="AA19" s="7">
        <v>1.5212</v>
      </c>
      <c r="AB19" s="20">
        <v>91.6</v>
      </c>
      <c r="AC19" s="7"/>
      <c r="AD19" s="7">
        <v>1.5246</v>
      </c>
      <c r="AE19" s="7">
        <v>91.22</v>
      </c>
      <c r="AF19" s="7"/>
      <c r="AG19" s="7">
        <v>1.5371</v>
      </c>
      <c r="AH19" s="20">
        <v>90.24</v>
      </c>
      <c r="AI19" s="7"/>
      <c r="AJ19" s="7">
        <v>1.5365</v>
      </c>
      <c r="AK19" s="20">
        <v>89.35</v>
      </c>
      <c r="AL19" s="7"/>
      <c r="AM19" s="7">
        <v>1.5418</v>
      </c>
      <c r="AN19" s="20">
        <v>88.94</v>
      </c>
      <c r="AO19" s="7"/>
      <c r="AP19" s="7">
        <v>1.5397</v>
      </c>
      <c r="AQ19" s="20">
        <v>89.31</v>
      </c>
      <c r="AR19" s="7"/>
      <c r="AS19" s="7">
        <v>1.5363</v>
      </c>
      <c r="AT19" s="20">
        <v>89.14</v>
      </c>
      <c r="AU19" s="7"/>
      <c r="AV19" s="7">
        <v>1.5543</v>
      </c>
      <c r="AW19" s="20">
        <v>88.18</v>
      </c>
      <c r="AX19" s="7"/>
      <c r="AY19" s="7">
        <v>1.5759</v>
      </c>
      <c r="AZ19" s="20">
        <v>87.28</v>
      </c>
      <c r="BA19" s="7"/>
      <c r="BB19" s="7">
        <v>1.5805</v>
      </c>
      <c r="BC19" s="20">
        <v>86.83</v>
      </c>
      <c r="BD19" s="7"/>
      <c r="BE19" s="7">
        <v>1.5643</v>
      </c>
      <c r="BF19" s="20">
        <v>87.56</v>
      </c>
      <c r="BG19" s="7"/>
      <c r="BH19" s="22">
        <v>1.5729</v>
      </c>
      <c r="BI19" s="23">
        <v>87.11</v>
      </c>
      <c r="BJ19" s="7"/>
      <c r="BK19" s="22">
        <v>1.5763</v>
      </c>
      <c r="BL19" s="23">
        <v>87.34</v>
      </c>
      <c r="BM19" s="7"/>
      <c r="BN19" s="22">
        <v>1.5683</v>
      </c>
      <c r="BO19" s="23">
        <v>88.04</v>
      </c>
      <c r="BP19" s="7"/>
      <c r="BQ19" s="22">
        <v>1.575</v>
      </c>
      <c r="BR19" s="23">
        <v>87.72</v>
      </c>
      <c r="BS19" s="7"/>
      <c r="BT19" s="7">
        <f t="shared" si="0"/>
        <v>1.5462800000000003</v>
      </c>
      <c r="BU19" s="23">
        <f t="shared" si="1"/>
        <v>89.45149999999998</v>
      </c>
    </row>
    <row r="20" spans="1:73" ht="15.75">
      <c r="A20" s="18">
        <v>9</v>
      </c>
      <c r="B20" s="19" t="s">
        <v>31</v>
      </c>
      <c r="C20" s="7">
        <v>9.1611</v>
      </c>
      <c r="D20" s="20">
        <v>15.25</v>
      </c>
      <c r="E20" s="7"/>
      <c r="F20" s="7">
        <v>9.2632</v>
      </c>
      <c r="G20" s="20">
        <v>15.12</v>
      </c>
      <c r="H20" s="7"/>
      <c r="I20" s="7">
        <v>9.2857</v>
      </c>
      <c r="J20" s="20">
        <v>15.1</v>
      </c>
      <c r="K20" s="7"/>
      <c r="L20" s="7">
        <v>9.3439</v>
      </c>
      <c r="M20" s="20">
        <v>15.04</v>
      </c>
      <c r="N20" s="7"/>
      <c r="O20" s="7">
        <v>9.3827</v>
      </c>
      <c r="P20" s="20">
        <v>15</v>
      </c>
      <c r="Q20" s="7"/>
      <c r="R20" s="7">
        <v>9.3038</v>
      </c>
      <c r="S20" s="20">
        <v>15.03</v>
      </c>
      <c r="T20" s="7"/>
      <c r="U20" s="7">
        <v>9.2678</v>
      </c>
      <c r="V20" s="20">
        <v>15.07</v>
      </c>
      <c r="W20" s="7"/>
      <c r="X20" s="7">
        <v>9.353</v>
      </c>
      <c r="Y20" s="20">
        <v>14.86</v>
      </c>
      <c r="Z20" s="7"/>
      <c r="AA20" s="7">
        <v>9.4131</v>
      </c>
      <c r="AB20" s="20">
        <v>14.8</v>
      </c>
      <c r="AC20" s="7"/>
      <c r="AD20" s="7">
        <v>9.3486</v>
      </c>
      <c r="AE20" s="7">
        <v>14.88</v>
      </c>
      <c r="AF20" s="7"/>
      <c r="AG20" s="7">
        <v>9.2305</v>
      </c>
      <c r="AH20" s="20">
        <v>15.03</v>
      </c>
      <c r="AI20" s="7"/>
      <c r="AJ20" s="7">
        <v>9.224</v>
      </c>
      <c r="AK20" s="20">
        <v>14.88</v>
      </c>
      <c r="AL20" s="7"/>
      <c r="AM20" s="7">
        <v>9.2435</v>
      </c>
      <c r="AN20" s="20">
        <v>14.84</v>
      </c>
      <c r="AO20" s="7"/>
      <c r="AP20" s="7">
        <v>9.231</v>
      </c>
      <c r="AQ20" s="20">
        <v>14.9</v>
      </c>
      <c r="AR20" s="7"/>
      <c r="AS20" s="7">
        <v>9.2135</v>
      </c>
      <c r="AT20" s="20">
        <v>14.86</v>
      </c>
      <c r="AU20" s="7"/>
      <c r="AV20" s="7">
        <v>9.346</v>
      </c>
      <c r="AW20" s="20">
        <v>14.66</v>
      </c>
      <c r="AX20" s="7"/>
      <c r="AY20" s="7">
        <v>9.5377</v>
      </c>
      <c r="AZ20" s="20">
        <v>14.42</v>
      </c>
      <c r="BA20" s="7"/>
      <c r="BB20" s="7">
        <v>9.6642</v>
      </c>
      <c r="BC20" s="20">
        <v>14.2</v>
      </c>
      <c r="BD20" s="7"/>
      <c r="BE20" s="7">
        <v>9.4015</v>
      </c>
      <c r="BF20" s="20">
        <v>14.57</v>
      </c>
      <c r="BG20" s="7"/>
      <c r="BH20" s="22">
        <v>9.45</v>
      </c>
      <c r="BI20" s="23">
        <v>14.5</v>
      </c>
      <c r="BJ20" s="7"/>
      <c r="BK20" s="22">
        <v>9.4125</v>
      </c>
      <c r="BL20" s="23">
        <v>14.63</v>
      </c>
      <c r="BM20" s="7"/>
      <c r="BN20" s="22">
        <v>9.3944</v>
      </c>
      <c r="BO20" s="23">
        <v>14.7</v>
      </c>
      <c r="BP20" s="7"/>
      <c r="BQ20" s="22">
        <v>9.4342</v>
      </c>
      <c r="BR20" s="23">
        <v>14.64</v>
      </c>
      <c r="BS20" s="7"/>
      <c r="BT20" s="7">
        <f t="shared" si="0"/>
        <v>9.359794999999998</v>
      </c>
      <c r="BU20" s="23">
        <f t="shared" si="1"/>
        <v>14.775499999999997</v>
      </c>
    </row>
    <row r="21" spans="1:73" ht="15.75">
      <c r="A21" s="18">
        <v>10</v>
      </c>
      <c r="B21" s="19" t="s">
        <v>32</v>
      </c>
      <c r="C21" s="7">
        <v>7.491</v>
      </c>
      <c r="D21" s="20">
        <v>18.65</v>
      </c>
      <c r="E21" s="7"/>
      <c r="F21" s="7">
        <v>7.5142</v>
      </c>
      <c r="G21" s="20">
        <v>18.64</v>
      </c>
      <c r="H21" s="7"/>
      <c r="I21" s="7">
        <v>7.5271</v>
      </c>
      <c r="J21" s="20">
        <v>18.63</v>
      </c>
      <c r="K21" s="7"/>
      <c r="L21" s="7">
        <v>7.499</v>
      </c>
      <c r="M21" s="20">
        <v>18.74</v>
      </c>
      <c r="N21" s="7"/>
      <c r="O21" s="7">
        <v>7.507</v>
      </c>
      <c r="P21" s="20">
        <v>18.75</v>
      </c>
      <c r="Q21" s="7"/>
      <c r="R21" s="7">
        <v>7.4175</v>
      </c>
      <c r="S21" s="20">
        <v>18.86</v>
      </c>
      <c r="T21" s="7"/>
      <c r="U21" s="7">
        <v>7.3805</v>
      </c>
      <c r="V21" s="20">
        <v>18.92</v>
      </c>
      <c r="W21" s="7"/>
      <c r="X21" s="7">
        <v>7.3514</v>
      </c>
      <c r="Y21" s="20">
        <v>18.91</v>
      </c>
      <c r="Z21" s="7"/>
      <c r="AA21" s="7">
        <v>7.3921</v>
      </c>
      <c r="AB21" s="20">
        <v>18.85</v>
      </c>
      <c r="AC21" s="7"/>
      <c r="AD21" s="7">
        <v>7.4326</v>
      </c>
      <c r="AE21" s="7">
        <v>18.71</v>
      </c>
      <c r="AF21" s="7"/>
      <c r="AG21" s="7">
        <v>7.3786</v>
      </c>
      <c r="AH21" s="20">
        <v>18.8</v>
      </c>
      <c r="AI21" s="7"/>
      <c r="AJ21" s="7">
        <v>7.3147</v>
      </c>
      <c r="AK21" s="20">
        <v>18.77</v>
      </c>
      <c r="AL21" s="7"/>
      <c r="AM21" s="7">
        <v>7.3185</v>
      </c>
      <c r="AN21" s="20">
        <v>18.74</v>
      </c>
      <c r="AO21" s="7"/>
      <c r="AP21" s="7">
        <v>7.3501</v>
      </c>
      <c r="AQ21" s="20">
        <v>18.71</v>
      </c>
      <c r="AR21" s="7"/>
      <c r="AS21" s="7">
        <v>7.3318</v>
      </c>
      <c r="AT21" s="20">
        <v>18.68</v>
      </c>
      <c r="AU21" s="7"/>
      <c r="AV21" s="7">
        <v>7.3907</v>
      </c>
      <c r="AW21" s="20">
        <v>18.54</v>
      </c>
      <c r="AX21" s="7"/>
      <c r="AY21" s="7">
        <v>7.6436</v>
      </c>
      <c r="AZ21" s="20">
        <v>17.99</v>
      </c>
      <c r="BA21" s="7"/>
      <c r="BB21" s="7">
        <v>7.6307</v>
      </c>
      <c r="BC21" s="20">
        <v>17.98</v>
      </c>
      <c r="BD21" s="7"/>
      <c r="BE21" s="7">
        <v>7.5436</v>
      </c>
      <c r="BF21" s="20">
        <v>18.16</v>
      </c>
      <c r="BG21" s="7"/>
      <c r="BH21" s="22">
        <v>7.5813</v>
      </c>
      <c r="BI21" s="23">
        <v>18.07</v>
      </c>
      <c r="BJ21" s="7"/>
      <c r="BK21" s="22">
        <v>7.6098</v>
      </c>
      <c r="BL21" s="23">
        <v>18.09</v>
      </c>
      <c r="BM21" s="7"/>
      <c r="BN21" s="22">
        <v>7.6339</v>
      </c>
      <c r="BO21" s="23">
        <v>18.09</v>
      </c>
      <c r="BP21" s="7"/>
      <c r="BQ21" s="22">
        <v>7.5866</v>
      </c>
      <c r="BR21" s="23">
        <v>18.21</v>
      </c>
      <c r="BS21" s="7"/>
      <c r="BT21" s="7">
        <f t="shared" si="0"/>
        <v>7.464700000000001</v>
      </c>
      <c r="BU21" s="23">
        <f t="shared" si="1"/>
        <v>18.5285</v>
      </c>
    </row>
    <row r="22" spans="1:73" ht="15.75">
      <c r="A22" s="18">
        <v>11</v>
      </c>
      <c r="B22" s="19" t="s">
        <v>33</v>
      </c>
      <c r="C22" s="7">
        <v>7.4909</v>
      </c>
      <c r="D22" s="20">
        <v>18.65</v>
      </c>
      <c r="E22" s="7"/>
      <c r="F22" s="7">
        <v>7.5768</v>
      </c>
      <c r="G22" s="20">
        <v>18.49</v>
      </c>
      <c r="H22" s="7"/>
      <c r="I22" s="7">
        <v>7.585</v>
      </c>
      <c r="J22" s="20">
        <v>18.49</v>
      </c>
      <c r="K22" s="7"/>
      <c r="L22" s="7">
        <v>7.6096</v>
      </c>
      <c r="M22" s="20">
        <v>18.47</v>
      </c>
      <c r="N22" s="7"/>
      <c r="O22" s="7">
        <v>7.6297</v>
      </c>
      <c r="P22" s="20">
        <v>18.45</v>
      </c>
      <c r="Q22" s="7"/>
      <c r="R22" s="7">
        <v>7.542</v>
      </c>
      <c r="S22" s="20">
        <v>18.55</v>
      </c>
      <c r="T22" s="7"/>
      <c r="U22" s="7">
        <v>7.5065</v>
      </c>
      <c r="V22" s="20">
        <v>18.6</v>
      </c>
      <c r="W22" s="7"/>
      <c r="X22" s="7">
        <v>7.479</v>
      </c>
      <c r="Y22" s="20">
        <v>18.59</v>
      </c>
      <c r="Z22" s="7"/>
      <c r="AA22" s="7">
        <v>7.5372</v>
      </c>
      <c r="AB22" s="20">
        <v>18.49</v>
      </c>
      <c r="AC22" s="7"/>
      <c r="AD22" s="7">
        <v>7.5258</v>
      </c>
      <c r="AE22" s="7">
        <v>18.48</v>
      </c>
      <c r="AF22" s="7"/>
      <c r="AG22" s="7">
        <v>7.4558</v>
      </c>
      <c r="AH22" s="20">
        <v>18.6</v>
      </c>
      <c r="AI22" s="7"/>
      <c r="AJ22" s="7">
        <v>7.3806</v>
      </c>
      <c r="AK22" s="20">
        <v>18.6</v>
      </c>
      <c r="AL22" s="7"/>
      <c r="AM22" s="7">
        <v>7.3646</v>
      </c>
      <c r="AN22" s="20">
        <v>18.62</v>
      </c>
      <c r="AO22" s="7"/>
      <c r="AP22" s="7">
        <v>7.3987</v>
      </c>
      <c r="AQ22" s="20">
        <v>18.59</v>
      </c>
      <c r="AR22" s="7"/>
      <c r="AS22" s="7">
        <v>7.3279</v>
      </c>
      <c r="AT22" s="20">
        <v>18.69</v>
      </c>
      <c r="AU22" s="7"/>
      <c r="AV22" s="7">
        <v>7.3438</v>
      </c>
      <c r="AW22" s="20">
        <v>18.66</v>
      </c>
      <c r="AX22" s="7"/>
      <c r="AY22" s="7">
        <v>7.5109</v>
      </c>
      <c r="AZ22" s="20">
        <v>18.31</v>
      </c>
      <c r="BA22" s="7"/>
      <c r="BB22" s="7">
        <v>7.5146</v>
      </c>
      <c r="BC22" s="20">
        <v>18.26</v>
      </c>
      <c r="BD22" s="7"/>
      <c r="BE22" s="7">
        <v>7.4267</v>
      </c>
      <c r="BF22" s="20">
        <v>18.44</v>
      </c>
      <c r="BG22" s="7"/>
      <c r="BH22" s="22">
        <v>7.4305</v>
      </c>
      <c r="BI22" s="23">
        <v>18.44</v>
      </c>
      <c r="BJ22" s="7"/>
      <c r="BK22" s="22">
        <v>7.544</v>
      </c>
      <c r="BL22" s="23">
        <v>18.25</v>
      </c>
      <c r="BM22" s="7"/>
      <c r="BN22" s="22">
        <v>7.5587</v>
      </c>
      <c r="BO22" s="23">
        <v>18.27</v>
      </c>
      <c r="BP22" s="7"/>
      <c r="BQ22" s="22">
        <v>7.5854</v>
      </c>
      <c r="BR22" s="23">
        <v>18.21</v>
      </c>
      <c r="BS22" s="7"/>
      <c r="BT22" s="7">
        <f t="shared" si="0"/>
        <v>7.4836</v>
      </c>
      <c r="BU22" s="23">
        <f t="shared" si="1"/>
        <v>18.478499999999997</v>
      </c>
    </row>
    <row r="23" spans="1:73" ht="15.75">
      <c r="A23" s="18">
        <v>12</v>
      </c>
      <c r="B23" s="19" t="s">
        <v>36</v>
      </c>
      <c r="C23" s="7">
        <f>1/1.33046</f>
        <v>0.7516197405408656</v>
      </c>
      <c r="D23" s="20">
        <v>185.83</v>
      </c>
      <c r="E23" s="7"/>
      <c r="F23" s="7">
        <f>1/1.32431</f>
        <v>0.7551102083349064</v>
      </c>
      <c r="G23" s="20">
        <v>185.49</v>
      </c>
      <c r="H23" s="7"/>
      <c r="I23" s="7">
        <f>1/1.32024</f>
        <v>0.7574380415681997</v>
      </c>
      <c r="J23" s="20">
        <v>185.13</v>
      </c>
      <c r="K23" s="7"/>
      <c r="L23" s="7">
        <f>1/1.31909</f>
        <v>0.7580983860085362</v>
      </c>
      <c r="M23" s="20">
        <v>185.42</v>
      </c>
      <c r="N23" s="7"/>
      <c r="O23" s="7">
        <f>1/1.31909</f>
        <v>0.7580983860085362</v>
      </c>
      <c r="P23" s="20">
        <v>185.67</v>
      </c>
      <c r="Q23" s="7"/>
      <c r="R23" s="7">
        <f>1/1.31511</f>
        <v>0.7603926667731217</v>
      </c>
      <c r="S23" s="20">
        <v>183.96</v>
      </c>
      <c r="T23" s="7"/>
      <c r="U23" s="7">
        <f>1/1.32396</f>
        <v>0.7553098280914831</v>
      </c>
      <c r="V23" s="20">
        <v>184.87</v>
      </c>
      <c r="W23" s="7"/>
      <c r="X23" s="7">
        <f>1/1.32835</f>
        <v>0.7528136409831747</v>
      </c>
      <c r="Y23" s="20">
        <v>184.67</v>
      </c>
      <c r="Z23" s="7"/>
      <c r="AA23" s="7">
        <f>1/1.33177</f>
        <v>0.7508804072775329</v>
      </c>
      <c r="AB23" s="20">
        <v>185.57</v>
      </c>
      <c r="AC23" s="7"/>
      <c r="AD23" s="7">
        <f>1/1.32772</f>
        <v>0.7531708492754496</v>
      </c>
      <c r="AE23" s="7">
        <v>184.65</v>
      </c>
      <c r="AF23" s="7"/>
      <c r="AG23" s="7">
        <f>1/1.32955</f>
        <v>0.7521341807378437</v>
      </c>
      <c r="AH23" s="20">
        <v>184.42</v>
      </c>
      <c r="AI23" s="7"/>
      <c r="AJ23" s="7">
        <f>1/1.33644</f>
        <v>0.7482565622100505</v>
      </c>
      <c r="AK23" s="20">
        <v>183.47</v>
      </c>
      <c r="AL23" s="7"/>
      <c r="AM23" s="7">
        <f>1/1.34484</f>
        <v>0.7435828797477767</v>
      </c>
      <c r="AN23" s="20">
        <v>184.42</v>
      </c>
      <c r="AO23" s="7"/>
      <c r="AP23" s="7">
        <f>1/1.34035</f>
        <v>0.7460737866975045</v>
      </c>
      <c r="AQ23" s="20">
        <v>184.32</v>
      </c>
      <c r="AR23" s="7"/>
      <c r="AS23" s="7">
        <f>1/1.33893</f>
        <v>0.7468650340197023</v>
      </c>
      <c r="AT23" s="20">
        <v>183.35</v>
      </c>
      <c r="AU23" s="7"/>
      <c r="AV23" s="7">
        <f>1/1.34527</f>
        <v>0.7433452020783932</v>
      </c>
      <c r="AW23" s="20">
        <v>184.37</v>
      </c>
      <c r="AX23" s="7"/>
      <c r="AY23" s="7">
        <f>1/1.34241</f>
        <v>0.7449288965368255</v>
      </c>
      <c r="AZ23" s="20">
        <v>184.63</v>
      </c>
      <c r="BA23" s="7"/>
      <c r="BB23" s="7">
        <f>1/1.3148</f>
        <v>0.76057195010648</v>
      </c>
      <c r="BC23" s="20">
        <v>180.44</v>
      </c>
      <c r="BD23" s="7"/>
      <c r="BE23" s="7">
        <f>1/1.33232</f>
        <v>0.7505704335294824</v>
      </c>
      <c r="BF23" s="20">
        <v>182.48</v>
      </c>
      <c r="BG23" s="7"/>
      <c r="BH23" s="22">
        <f>1/1.33771</f>
        <v>0.7475461796652488</v>
      </c>
      <c r="BI23" s="23">
        <v>183.29</v>
      </c>
      <c r="BJ23" s="7"/>
      <c r="BK23" s="22">
        <f>1/1.381</f>
        <v>0.724112961622013</v>
      </c>
      <c r="BL23" s="23">
        <v>190.13</v>
      </c>
      <c r="BM23" s="7"/>
      <c r="BN23" s="22">
        <f>1/1.32453</f>
        <v>0.7549847870565408</v>
      </c>
      <c r="BO23" s="23">
        <v>182.87</v>
      </c>
      <c r="BP23" s="7"/>
      <c r="BQ23" s="22">
        <f>1/1.32551</f>
        <v>0.7544265980641414</v>
      </c>
      <c r="BR23" s="23">
        <v>183.13</v>
      </c>
      <c r="BS23" s="7"/>
      <c r="BT23" s="7">
        <f t="shared" si="0"/>
        <v>0.7503081808244918</v>
      </c>
      <c r="BU23" s="23">
        <f t="shared" si="1"/>
        <v>184.3065</v>
      </c>
    </row>
    <row r="24" spans="1:73" ht="16.5" thickBot="1">
      <c r="A24" s="26">
        <v>13</v>
      </c>
      <c r="B24" s="27" t="s">
        <v>38</v>
      </c>
      <c r="C24" s="28">
        <v>1</v>
      </c>
      <c r="D24" s="29">
        <v>139.68</v>
      </c>
      <c r="E24" s="28"/>
      <c r="F24" s="28">
        <v>1</v>
      </c>
      <c r="G24" s="29">
        <v>140.07</v>
      </c>
      <c r="H24" s="28"/>
      <c r="I24" s="28">
        <v>1</v>
      </c>
      <c r="J24" s="29">
        <v>140.22</v>
      </c>
      <c r="K24" s="28"/>
      <c r="L24" s="28">
        <v>1</v>
      </c>
      <c r="M24" s="29">
        <v>140.57</v>
      </c>
      <c r="N24" s="28"/>
      <c r="O24" s="28">
        <v>1</v>
      </c>
      <c r="P24" s="29">
        <v>140.76</v>
      </c>
      <c r="Q24" s="28"/>
      <c r="R24" s="28">
        <v>1</v>
      </c>
      <c r="S24" s="29">
        <v>139.88</v>
      </c>
      <c r="T24" s="28"/>
      <c r="U24" s="28">
        <v>1</v>
      </c>
      <c r="V24" s="29">
        <v>139.63</v>
      </c>
      <c r="W24" s="28"/>
      <c r="X24" s="28">
        <v>1</v>
      </c>
      <c r="Y24" s="29">
        <v>139.02</v>
      </c>
      <c r="Z24" s="28"/>
      <c r="AA24" s="28">
        <v>1</v>
      </c>
      <c r="AB24" s="29">
        <v>139.34</v>
      </c>
      <c r="AC24" s="28"/>
      <c r="AD24" s="28">
        <v>1</v>
      </c>
      <c r="AE24" s="28">
        <v>139.08</v>
      </c>
      <c r="AF24" s="28"/>
      <c r="AG24" s="28">
        <v>1</v>
      </c>
      <c r="AH24" s="29">
        <v>138.71</v>
      </c>
      <c r="AI24" s="28"/>
      <c r="AJ24" s="28">
        <v>1</v>
      </c>
      <c r="AK24" s="29">
        <v>137.29</v>
      </c>
      <c r="AL24" s="28"/>
      <c r="AM24" s="28">
        <v>1</v>
      </c>
      <c r="AN24" s="29">
        <v>137.13</v>
      </c>
      <c r="AO24" s="28"/>
      <c r="AP24" s="28">
        <v>1</v>
      </c>
      <c r="AQ24" s="29">
        <v>137.52</v>
      </c>
      <c r="AR24" s="28"/>
      <c r="AS24" s="28">
        <v>1</v>
      </c>
      <c r="AT24" s="29">
        <v>136.94</v>
      </c>
      <c r="AU24" s="28"/>
      <c r="AV24" s="28">
        <v>1</v>
      </c>
      <c r="AW24" s="29">
        <v>137.05</v>
      </c>
      <c r="AX24" s="28"/>
      <c r="AY24" s="28">
        <v>1</v>
      </c>
      <c r="AZ24" s="29">
        <v>137.54</v>
      </c>
      <c r="BA24" s="28"/>
      <c r="BB24" s="28">
        <v>1</v>
      </c>
      <c r="BC24" s="29">
        <v>137.23</v>
      </c>
      <c r="BD24" s="28"/>
      <c r="BE24" s="28">
        <v>1</v>
      </c>
      <c r="BF24" s="29">
        <v>136.96</v>
      </c>
      <c r="BG24" s="28"/>
      <c r="BH24" s="32">
        <v>1</v>
      </c>
      <c r="BI24" s="33">
        <v>137.02</v>
      </c>
      <c r="BJ24" s="28"/>
      <c r="BK24" s="32">
        <v>1</v>
      </c>
      <c r="BL24" s="33">
        <v>137.68</v>
      </c>
      <c r="BM24" s="28"/>
      <c r="BN24" s="32">
        <v>1</v>
      </c>
      <c r="BO24" s="33">
        <v>138.07</v>
      </c>
      <c r="BP24" s="28"/>
      <c r="BQ24" s="32">
        <v>1</v>
      </c>
      <c r="BR24" s="33">
        <v>138.16</v>
      </c>
      <c r="BS24" s="28"/>
      <c r="BT24" s="31">
        <f t="shared" si="0"/>
        <v>1</v>
      </c>
      <c r="BU24" s="34">
        <f t="shared" si="1"/>
        <v>138.27899999999997</v>
      </c>
    </row>
    <row r="25" spans="1:73" ht="15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7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35"/>
      <c r="BU25" s="35"/>
    </row>
    <row r="26" spans="2:69" ht="15.75">
      <c r="B26" s="36"/>
      <c r="BM26" s="40"/>
      <c r="BN26" s="40"/>
      <c r="BO26" s="40"/>
      <c r="BP26" s="40"/>
      <c r="BQ26" s="40"/>
    </row>
    <row r="27" ht="15.75">
      <c r="B27" s="36"/>
    </row>
    <row r="28" ht="15.75">
      <c r="B28" s="36"/>
    </row>
    <row r="29" ht="15.75">
      <c r="B29" s="36"/>
    </row>
    <row r="30" ht="15.75">
      <c r="B30" s="36"/>
    </row>
    <row r="31" ht="15.75">
      <c r="B31" s="36"/>
    </row>
    <row r="32" ht="15.75">
      <c r="B32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32"/>
  <sheetViews>
    <sheetView zoomScale="75" zoomScaleNormal="75" zoomScalePageLayoutView="0" workbookViewId="0" topLeftCell="A1">
      <pane xSplit="2" ySplit="10" topLeftCell="BI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P6" sqref="BP6"/>
    </sheetView>
  </sheetViews>
  <sheetFormatPr defaultColWidth="9.140625" defaultRowHeight="12.75"/>
  <cols>
    <col min="1" max="1" width="4.28125" style="10" customWidth="1"/>
    <col min="2" max="2" width="34.00390625" style="10" bestFit="1" customWidth="1"/>
    <col min="3" max="3" width="10.421875" style="10" customWidth="1"/>
    <col min="4" max="4" width="10.7109375" style="10" customWidth="1"/>
    <col min="5" max="5" width="9.140625" style="10" customWidth="1"/>
    <col min="6" max="6" width="10.421875" style="10" customWidth="1"/>
    <col min="7" max="7" width="10.8515625" style="10" customWidth="1"/>
    <col min="8" max="8" width="9.140625" style="10" customWidth="1"/>
    <col min="9" max="9" width="10.421875" style="10" customWidth="1"/>
    <col min="10" max="10" width="11.00390625" style="10" customWidth="1"/>
    <col min="11" max="11" width="9.140625" style="10" customWidth="1"/>
    <col min="12" max="12" width="10.421875" style="10" customWidth="1"/>
    <col min="13" max="13" width="10.8515625" style="10" customWidth="1"/>
    <col min="14" max="14" width="9.140625" style="10" customWidth="1"/>
    <col min="15" max="15" width="10.421875" style="10" customWidth="1"/>
    <col min="16" max="16" width="10.8515625" style="10" customWidth="1"/>
    <col min="17" max="17" width="9.140625" style="10" customWidth="1"/>
    <col min="18" max="18" width="10.421875" style="10" customWidth="1"/>
    <col min="19" max="19" width="11.140625" style="10" customWidth="1"/>
    <col min="20" max="20" width="9.140625" style="10" customWidth="1"/>
    <col min="21" max="22" width="10.421875" style="10" customWidth="1"/>
    <col min="23" max="23" width="9.140625" style="10" customWidth="1"/>
    <col min="24" max="24" width="10.421875" style="10" customWidth="1"/>
    <col min="25" max="25" width="10.57421875" style="10" customWidth="1"/>
    <col min="26" max="26" width="9.140625" style="10" customWidth="1"/>
    <col min="27" max="27" width="10.421875" style="10" customWidth="1"/>
    <col min="28" max="28" width="10.28125" style="10" customWidth="1"/>
    <col min="29" max="29" width="9.140625" style="10" customWidth="1"/>
    <col min="30" max="30" width="10.421875" style="10" customWidth="1"/>
    <col min="31" max="31" width="11.28125" style="10" customWidth="1"/>
    <col min="32" max="32" width="9.140625" style="10" customWidth="1"/>
    <col min="33" max="33" width="10.421875" style="10" customWidth="1"/>
    <col min="34" max="34" width="10.140625" style="10" customWidth="1"/>
    <col min="35" max="35" width="9.140625" style="10" customWidth="1"/>
    <col min="36" max="36" width="10.421875" style="10" customWidth="1"/>
    <col min="37" max="37" width="10.7109375" style="10" customWidth="1"/>
    <col min="38" max="38" width="9.140625" style="10" customWidth="1"/>
    <col min="39" max="39" width="10.421875" style="10" customWidth="1"/>
    <col min="40" max="40" width="10.28125" style="10" customWidth="1"/>
    <col min="41" max="41" width="9.140625" style="10" customWidth="1"/>
    <col min="42" max="42" width="10.421875" style="10" customWidth="1"/>
    <col min="43" max="43" width="10.7109375" style="10" customWidth="1"/>
    <col min="44" max="44" width="9.140625" style="10" customWidth="1"/>
    <col min="45" max="45" width="10.421875" style="10" customWidth="1"/>
    <col min="46" max="46" width="10.140625" style="10" customWidth="1"/>
    <col min="47" max="47" width="9.140625" style="10" customWidth="1"/>
    <col min="48" max="48" width="10.421875" style="10" customWidth="1"/>
    <col min="49" max="49" width="10.140625" style="10" customWidth="1"/>
    <col min="50" max="50" width="9.140625" style="10" customWidth="1"/>
    <col min="51" max="51" width="10.421875" style="10" customWidth="1"/>
    <col min="52" max="52" width="10.28125" style="10" customWidth="1"/>
    <col min="53" max="53" width="9.140625" style="10" customWidth="1"/>
    <col min="54" max="54" width="10.421875" style="10" customWidth="1"/>
    <col min="55" max="55" width="10.140625" style="10" customWidth="1"/>
    <col min="56" max="56" width="9.140625" style="10" customWidth="1"/>
    <col min="57" max="57" width="10.421875" style="10" customWidth="1"/>
    <col min="58" max="58" width="10.28125" style="10" customWidth="1"/>
    <col min="59" max="59" width="9.140625" style="10" customWidth="1"/>
    <col min="60" max="60" width="9.8515625" style="10" customWidth="1"/>
    <col min="61" max="61" width="10.421875" style="10" customWidth="1"/>
    <col min="62" max="62" width="9.140625" style="10" customWidth="1"/>
    <col min="63" max="63" width="11.57421875" style="10" customWidth="1"/>
    <col min="64" max="64" width="11.8515625" style="10" customWidth="1"/>
    <col min="65" max="65" width="9.140625" style="10" customWidth="1"/>
    <col min="66" max="66" width="10.421875" style="10" customWidth="1"/>
    <col min="67" max="67" width="13.00390625" style="10" customWidth="1"/>
    <col min="68" max="69" width="9.140625" style="10" customWidth="1"/>
    <col min="70" max="70" width="10.8515625" style="10" customWidth="1"/>
    <col min="71" max="16384" width="9.140625" style="10" customWidth="1"/>
  </cols>
  <sheetData>
    <row r="1" spans="1:66" ht="15.75">
      <c r="A1" s="6"/>
      <c r="B1" s="4" t="s">
        <v>84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8" t="s">
        <v>1</v>
      </c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9"/>
      <c r="BI1" s="9"/>
      <c r="BJ1" s="9"/>
      <c r="BK1" s="9"/>
      <c r="BL1" s="9"/>
      <c r="BM1" s="9"/>
      <c r="BN1" s="9"/>
    </row>
    <row r="2" spans="1:66" ht="15.75">
      <c r="A2" s="7"/>
      <c r="B2" s="5" t="s">
        <v>194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11"/>
      <c r="BI2" s="11"/>
      <c r="BJ2" s="11"/>
      <c r="BK2" s="11"/>
      <c r="BL2" s="11"/>
      <c r="BM2" s="11"/>
      <c r="BN2" s="11"/>
    </row>
    <row r="3" spans="1:74" ht="15.75">
      <c r="A3" s="8" t="s">
        <v>2</v>
      </c>
      <c r="B3" s="7"/>
      <c r="C3" s="6" t="s">
        <v>193</v>
      </c>
      <c r="D3" s="12"/>
      <c r="E3" s="12"/>
      <c r="F3" s="6" t="s">
        <v>195</v>
      </c>
      <c r="G3" s="12"/>
      <c r="H3" s="12"/>
      <c r="I3" s="6" t="s">
        <v>196</v>
      </c>
      <c r="J3" s="12"/>
      <c r="K3" s="12"/>
      <c r="L3" s="6" t="s">
        <v>197</v>
      </c>
      <c r="M3" s="12"/>
      <c r="N3" s="12"/>
      <c r="O3" s="6" t="s">
        <v>198</v>
      </c>
      <c r="P3" s="12"/>
      <c r="Q3" s="12"/>
      <c r="R3" s="6" t="s">
        <v>199</v>
      </c>
      <c r="S3" s="12"/>
      <c r="T3" s="12"/>
      <c r="U3" s="6" t="s">
        <v>200</v>
      </c>
      <c r="V3" s="12"/>
      <c r="W3" s="12"/>
      <c r="X3" s="6" t="s">
        <v>201</v>
      </c>
      <c r="Y3" s="12"/>
      <c r="Z3" s="12"/>
      <c r="AA3" s="6" t="s">
        <v>202</v>
      </c>
      <c r="AB3" s="12"/>
      <c r="AC3" s="12"/>
      <c r="AD3" s="6" t="s">
        <v>203</v>
      </c>
      <c r="AE3" s="12"/>
      <c r="AF3" s="12"/>
      <c r="AG3" s="6" t="s">
        <v>204</v>
      </c>
      <c r="AH3" s="12"/>
      <c r="AI3" s="12"/>
      <c r="AJ3" s="6" t="s">
        <v>205</v>
      </c>
      <c r="AK3" s="12"/>
      <c r="AL3" s="12"/>
      <c r="AM3" s="6" t="s">
        <v>206</v>
      </c>
      <c r="AN3" s="12"/>
      <c r="AO3" s="12"/>
      <c r="AP3" s="6" t="s">
        <v>207</v>
      </c>
      <c r="AQ3" s="12"/>
      <c r="AR3" s="12"/>
      <c r="AS3" s="6" t="s">
        <v>208</v>
      </c>
      <c r="AT3" s="12"/>
      <c r="AU3" s="12"/>
      <c r="AV3" s="6" t="s">
        <v>209</v>
      </c>
      <c r="AW3" s="12"/>
      <c r="AX3" s="12"/>
      <c r="AY3" s="6" t="s">
        <v>210</v>
      </c>
      <c r="AZ3" s="12"/>
      <c r="BA3" s="12"/>
      <c r="BB3" s="6" t="s">
        <v>211</v>
      </c>
      <c r="BC3" s="12"/>
      <c r="BD3" s="12"/>
      <c r="BE3" s="6" t="s">
        <v>212</v>
      </c>
      <c r="BF3" s="12"/>
      <c r="BG3" s="12"/>
      <c r="BH3" s="6" t="s">
        <v>213</v>
      </c>
      <c r="BI3" s="12"/>
      <c r="BJ3" s="12"/>
      <c r="BK3" s="6" t="s">
        <v>214</v>
      </c>
      <c r="BL3" s="12"/>
      <c r="BM3" s="12"/>
      <c r="BN3" s="6" t="s">
        <v>215</v>
      </c>
      <c r="BO3" s="12"/>
      <c r="BP3" s="6"/>
      <c r="BQ3" s="6" t="s">
        <v>40</v>
      </c>
      <c r="BR3" s="6"/>
      <c r="BS3" s="6"/>
      <c r="BT3" s="48"/>
      <c r="BU3" s="48"/>
      <c r="BV3" s="49"/>
    </row>
    <row r="4" spans="1:74" ht="16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50"/>
      <c r="BT4" s="50"/>
      <c r="BU4" s="50"/>
      <c r="BV4" s="50"/>
    </row>
    <row r="5" spans="1:74" ht="16.5" thickTop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50"/>
      <c r="BT5" s="50"/>
      <c r="BU5" s="50"/>
      <c r="BV5" s="50"/>
    </row>
    <row r="6" spans="1:74" ht="15.75">
      <c r="A6" s="12"/>
      <c r="B6" s="7"/>
      <c r="C6" s="14" t="s">
        <v>4</v>
      </c>
      <c r="D6" s="14" t="s">
        <v>4</v>
      </c>
      <c r="E6" s="14"/>
      <c r="F6" s="14" t="s">
        <v>4</v>
      </c>
      <c r="G6" s="14" t="s">
        <v>4</v>
      </c>
      <c r="H6" s="14"/>
      <c r="I6" s="14" t="s">
        <v>4</v>
      </c>
      <c r="J6" s="14" t="s">
        <v>4</v>
      </c>
      <c r="K6" s="14"/>
      <c r="L6" s="14" t="s">
        <v>4</v>
      </c>
      <c r="M6" s="14" t="s">
        <v>4</v>
      </c>
      <c r="N6" s="14"/>
      <c r="O6" s="14" t="s">
        <v>4</v>
      </c>
      <c r="P6" s="14" t="s">
        <v>4</v>
      </c>
      <c r="Q6" s="14"/>
      <c r="R6" s="14" t="s">
        <v>4</v>
      </c>
      <c r="S6" s="14" t="s">
        <v>4</v>
      </c>
      <c r="T6" s="14"/>
      <c r="U6" s="14" t="s">
        <v>4</v>
      </c>
      <c r="V6" s="14" t="s">
        <v>4</v>
      </c>
      <c r="W6" s="14"/>
      <c r="X6" s="14" t="s">
        <v>4</v>
      </c>
      <c r="Y6" s="14" t="s">
        <v>4</v>
      </c>
      <c r="Z6" s="14"/>
      <c r="AA6" s="14" t="s">
        <v>4</v>
      </c>
      <c r="AB6" s="14" t="s">
        <v>4</v>
      </c>
      <c r="AC6" s="14"/>
      <c r="AD6" s="14" t="s">
        <v>4</v>
      </c>
      <c r="AE6" s="14" t="s">
        <v>4</v>
      </c>
      <c r="AF6" s="14"/>
      <c r="AG6" s="14" t="s">
        <v>4</v>
      </c>
      <c r="AH6" s="14" t="s">
        <v>4</v>
      </c>
      <c r="AI6" s="14"/>
      <c r="AJ6" s="14" t="s">
        <v>4</v>
      </c>
      <c r="AK6" s="14" t="s">
        <v>4</v>
      </c>
      <c r="AL6" s="14"/>
      <c r="AM6" s="14" t="s">
        <v>4</v>
      </c>
      <c r="AN6" s="14" t="s">
        <v>4</v>
      </c>
      <c r="AO6" s="14"/>
      <c r="AP6" s="14" t="s">
        <v>4</v>
      </c>
      <c r="AQ6" s="14" t="s">
        <v>4</v>
      </c>
      <c r="AR6" s="14"/>
      <c r="AS6" s="14" t="s">
        <v>4</v>
      </c>
      <c r="AT6" s="14" t="s">
        <v>4</v>
      </c>
      <c r="AU6" s="14"/>
      <c r="AV6" s="14" t="s">
        <v>4</v>
      </c>
      <c r="AW6" s="14" t="s">
        <v>4</v>
      </c>
      <c r="AX6" s="14"/>
      <c r="AY6" s="14" t="s">
        <v>4</v>
      </c>
      <c r="AZ6" s="14" t="s">
        <v>4</v>
      </c>
      <c r="BA6" s="14"/>
      <c r="BB6" s="14" t="s">
        <v>4</v>
      </c>
      <c r="BC6" s="14" t="s">
        <v>4</v>
      </c>
      <c r="BD6" s="14"/>
      <c r="BE6" s="14" t="s">
        <v>4</v>
      </c>
      <c r="BF6" s="14" t="s">
        <v>4</v>
      </c>
      <c r="BG6" s="14"/>
      <c r="BH6" s="14" t="s">
        <v>4</v>
      </c>
      <c r="BI6" s="14" t="s">
        <v>4</v>
      </c>
      <c r="BJ6" s="14"/>
      <c r="BK6" s="14" t="s">
        <v>4</v>
      </c>
      <c r="BL6" s="14" t="s">
        <v>4</v>
      </c>
      <c r="BM6" s="14"/>
      <c r="BN6" s="14" t="s">
        <v>4</v>
      </c>
      <c r="BO6" s="14" t="s">
        <v>4</v>
      </c>
      <c r="BP6" s="14"/>
      <c r="BQ6" s="14" t="s">
        <v>4</v>
      </c>
      <c r="BR6" s="14" t="s">
        <v>4</v>
      </c>
      <c r="BS6" s="51"/>
      <c r="BT6" s="51"/>
      <c r="BU6" s="51"/>
      <c r="BV6" s="51"/>
    </row>
    <row r="7" spans="1:74" ht="15.75">
      <c r="A7" s="7"/>
      <c r="B7" s="15" t="s">
        <v>6</v>
      </c>
      <c r="C7" s="14" t="s">
        <v>7</v>
      </c>
      <c r="D7" s="14" t="s">
        <v>7</v>
      </c>
      <c r="E7" s="14"/>
      <c r="F7" s="14" t="s">
        <v>7</v>
      </c>
      <c r="G7" s="14" t="s">
        <v>7</v>
      </c>
      <c r="H7" s="14"/>
      <c r="I7" s="14" t="s">
        <v>7</v>
      </c>
      <c r="J7" s="14" t="s">
        <v>7</v>
      </c>
      <c r="K7" s="14"/>
      <c r="L7" s="14" t="s">
        <v>7</v>
      </c>
      <c r="M7" s="14" t="s">
        <v>7</v>
      </c>
      <c r="N7" s="14"/>
      <c r="O7" s="14" t="s">
        <v>7</v>
      </c>
      <c r="P7" s="14" t="s">
        <v>7</v>
      </c>
      <c r="Q7" s="14"/>
      <c r="R7" s="14" t="s">
        <v>7</v>
      </c>
      <c r="S7" s="14" t="s">
        <v>7</v>
      </c>
      <c r="T7" s="14"/>
      <c r="U7" s="14" t="s">
        <v>7</v>
      </c>
      <c r="V7" s="14" t="s">
        <v>7</v>
      </c>
      <c r="W7" s="14"/>
      <c r="X7" s="14" t="s">
        <v>7</v>
      </c>
      <c r="Y7" s="14" t="s">
        <v>7</v>
      </c>
      <c r="Z7" s="14"/>
      <c r="AA7" s="14" t="s">
        <v>7</v>
      </c>
      <c r="AB7" s="14" t="s">
        <v>7</v>
      </c>
      <c r="AC7" s="14"/>
      <c r="AD7" s="14" t="s">
        <v>7</v>
      </c>
      <c r="AE7" s="14" t="s">
        <v>7</v>
      </c>
      <c r="AF7" s="14"/>
      <c r="AG7" s="14" t="s">
        <v>7</v>
      </c>
      <c r="AH7" s="14" t="s">
        <v>7</v>
      </c>
      <c r="AI7" s="14"/>
      <c r="AJ7" s="14" t="s">
        <v>7</v>
      </c>
      <c r="AK7" s="14" t="s">
        <v>7</v>
      </c>
      <c r="AL7" s="14"/>
      <c r="AM7" s="14" t="s">
        <v>7</v>
      </c>
      <c r="AN7" s="14" t="s">
        <v>7</v>
      </c>
      <c r="AO7" s="14"/>
      <c r="AP7" s="14" t="s">
        <v>7</v>
      </c>
      <c r="AQ7" s="14" t="s">
        <v>7</v>
      </c>
      <c r="AR7" s="14"/>
      <c r="AS7" s="14" t="s">
        <v>7</v>
      </c>
      <c r="AT7" s="14" t="s">
        <v>7</v>
      </c>
      <c r="AU7" s="14"/>
      <c r="AV7" s="14" t="s">
        <v>7</v>
      </c>
      <c r="AW7" s="14" t="s">
        <v>7</v>
      </c>
      <c r="AX7" s="14"/>
      <c r="AY7" s="14" t="s">
        <v>7</v>
      </c>
      <c r="AZ7" s="14" t="s">
        <v>7</v>
      </c>
      <c r="BA7" s="14"/>
      <c r="BB7" s="14" t="s">
        <v>7</v>
      </c>
      <c r="BC7" s="14" t="s">
        <v>7</v>
      </c>
      <c r="BD7" s="14"/>
      <c r="BE7" s="14" t="s">
        <v>7</v>
      </c>
      <c r="BF7" s="14" t="s">
        <v>7</v>
      </c>
      <c r="BG7" s="14"/>
      <c r="BH7" s="14" t="s">
        <v>7</v>
      </c>
      <c r="BI7" s="14" t="s">
        <v>7</v>
      </c>
      <c r="BJ7" s="14"/>
      <c r="BK7" s="14" t="s">
        <v>7</v>
      </c>
      <c r="BL7" s="14" t="s">
        <v>7</v>
      </c>
      <c r="BM7" s="14"/>
      <c r="BN7" s="14" t="s">
        <v>7</v>
      </c>
      <c r="BO7" s="14" t="s">
        <v>7</v>
      </c>
      <c r="BP7" s="14"/>
      <c r="BQ7" s="14" t="s">
        <v>7</v>
      </c>
      <c r="BR7" s="14" t="s">
        <v>7</v>
      </c>
      <c r="BS7" s="51"/>
      <c r="BT7" s="51"/>
      <c r="BU7" s="51"/>
      <c r="BV7" s="51"/>
    </row>
    <row r="8" spans="1:74" ht="15.75">
      <c r="A8" s="7"/>
      <c r="B8" s="7"/>
      <c r="C8" s="14" t="s">
        <v>11</v>
      </c>
      <c r="D8" s="14" t="s">
        <v>10</v>
      </c>
      <c r="E8" s="14"/>
      <c r="F8" s="14" t="s">
        <v>11</v>
      </c>
      <c r="G8" s="14" t="s">
        <v>10</v>
      </c>
      <c r="H8" s="14"/>
      <c r="I8" s="14" t="s">
        <v>11</v>
      </c>
      <c r="J8" s="14" t="s">
        <v>10</v>
      </c>
      <c r="K8" s="14"/>
      <c r="L8" s="14" t="s">
        <v>11</v>
      </c>
      <c r="M8" s="14" t="s">
        <v>10</v>
      </c>
      <c r="N8" s="14"/>
      <c r="O8" s="14" t="s">
        <v>11</v>
      </c>
      <c r="P8" s="14" t="s">
        <v>10</v>
      </c>
      <c r="Q8" s="14"/>
      <c r="R8" s="14" t="s">
        <v>11</v>
      </c>
      <c r="S8" s="14" t="s">
        <v>10</v>
      </c>
      <c r="T8" s="14"/>
      <c r="U8" s="14" t="s">
        <v>11</v>
      </c>
      <c r="V8" s="14" t="s">
        <v>10</v>
      </c>
      <c r="W8" s="14"/>
      <c r="X8" s="14" t="s">
        <v>11</v>
      </c>
      <c r="Y8" s="14" t="s">
        <v>10</v>
      </c>
      <c r="Z8" s="14"/>
      <c r="AA8" s="14" t="s">
        <v>11</v>
      </c>
      <c r="AB8" s="14" t="s">
        <v>10</v>
      </c>
      <c r="AC8" s="14"/>
      <c r="AD8" s="14" t="s">
        <v>11</v>
      </c>
      <c r="AE8" s="14" t="s">
        <v>10</v>
      </c>
      <c r="AF8" s="14"/>
      <c r="AG8" s="14" t="s">
        <v>11</v>
      </c>
      <c r="AH8" s="14" t="s">
        <v>10</v>
      </c>
      <c r="AI8" s="14"/>
      <c r="AJ8" s="14" t="s">
        <v>11</v>
      </c>
      <c r="AK8" s="14" t="s">
        <v>10</v>
      </c>
      <c r="AL8" s="14"/>
      <c r="AM8" s="14" t="s">
        <v>11</v>
      </c>
      <c r="AN8" s="14" t="s">
        <v>10</v>
      </c>
      <c r="AO8" s="14"/>
      <c r="AP8" s="14" t="s">
        <v>11</v>
      </c>
      <c r="AQ8" s="14" t="s">
        <v>10</v>
      </c>
      <c r="AR8" s="14"/>
      <c r="AS8" s="14" t="s">
        <v>11</v>
      </c>
      <c r="AT8" s="14" t="s">
        <v>10</v>
      </c>
      <c r="AU8" s="14"/>
      <c r="AV8" s="14" t="s">
        <v>11</v>
      </c>
      <c r="AW8" s="14" t="s">
        <v>10</v>
      </c>
      <c r="AX8" s="14"/>
      <c r="AY8" s="14" t="s">
        <v>11</v>
      </c>
      <c r="AZ8" s="14" t="s">
        <v>10</v>
      </c>
      <c r="BA8" s="14"/>
      <c r="BB8" s="14" t="s">
        <v>11</v>
      </c>
      <c r="BC8" s="14" t="s">
        <v>10</v>
      </c>
      <c r="BD8" s="14"/>
      <c r="BE8" s="14" t="s">
        <v>11</v>
      </c>
      <c r="BF8" s="14" t="s">
        <v>10</v>
      </c>
      <c r="BG8" s="14"/>
      <c r="BH8" s="14" t="s">
        <v>11</v>
      </c>
      <c r="BI8" s="14" t="s">
        <v>10</v>
      </c>
      <c r="BJ8" s="14"/>
      <c r="BK8" s="14" t="s">
        <v>11</v>
      </c>
      <c r="BL8" s="14" t="s">
        <v>10</v>
      </c>
      <c r="BM8" s="14"/>
      <c r="BN8" s="14" t="s">
        <v>11</v>
      </c>
      <c r="BO8" s="14" t="s">
        <v>10</v>
      </c>
      <c r="BP8" s="14"/>
      <c r="BQ8" s="14" t="s">
        <v>11</v>
      </c>
      <c r="BR8" s="14" t="s">
        <v>10</v>
      </c>
      <c r="BS8" s="51"/>
      <c r="BT8" s="51"/>
      <c r="BU8" s="51"/>
      <c r="BV8" s="51"/>
    </row>
    <row r="9" spans="1:74" ht="15.75">
      <c r="A9" s="7"/>
      <c r="B9" s="7"/>
      <c r="C9" s="7"/>
      <c r="D9" s="14" t="s">
        <v>14</v>
      </c>
      <c r="E9" s="7"/>
      <c r="F9" s="7"/>
      <c r="G9" s="14" t="s">
        <v>14</v>
      </c>
      <c r="H9" s="7"/>
      <c r="I9" s="7"/>
      <c r="J9" s="14" t="s">
        <v>14</v>
      </c>
      <c r="K9" s="7"/>
      <c r="L9" s="7"/>
      <c r="M9" s="14" t="s">
        <v>14</v>
      </c>
      <c r="N9" s="7"/>
      <c r="O9" s="7"/>
      <c r="P9" s="14" t="s">
        <v>14</v>
      </c>
      <c r="Q9" s="7"/>
      <c r="R9" s="7"/>
      <c r="S9" s="14" t="s">
        <v>14</v>
      </c>
      <c r="T9" s="7"/>
      <c r="U9" s="7"/>
      <c r="V9" s="14" t="s">
        <v>14</v>
      </c>
      <c r="W9" s="8" t="s">
        <v>15</v>
      </c>
      <c r="X9" s="7"/>
      <c r="Y9" s="14" t="s">
        <v>14</v>
      </c>
      <c r="Z9" s="8" t="s">
        <v>15</v>
      </c>
      <c r="AA9" s="7"/>
      <c r="AB9" s="14" t="s">
        <v>14</v>
      </c>
      <c r="AC9" s="7"/>
      <c r="AD9" s="7"/>
      <c r="AE9" s="14" t="s">
        <v>14</v>
      </c>
      <c r="AF9" s="7"/>
      <c r="AG9" s="7"/>
      <c r="AH9" s="14" t="s">
        <v>14</v>
      </c>
      <c r="AI9" s="7"/>
      <c r="AJ9" s="7"/>
      <c r="AK9" s="14" t="s">
        <v>14</v>
      </c>
      <c r="AL9" s="7"/>
      <c r="AM9" s="7"/>
      <c r="AN9" s="14" t="s">
        <v>14</v>
      </c>
      <c r="AO9" s="7"/>
      <c r="AP9" s="7"/>
      <c r="AQ9" s="14" t="s">
        <v>14</v>
      </c>
      <c r="AR9" s="7"/>
      <c r="AS9" s="7"/>
      <c r="AT9" s="14" t="s">
        <v>14</v>
      </c>
      <c r="AU9" s="7"/>
      <c r="AV9" s="7"/>
      <c r="AW9" s="14" t="s">
        <v>14</v>
      </c>
      <c r="AX9" s="7"/>
      <c r="AY9" s="7"/>
      <c r="AZ9" s="14" t="s">
        <v>14</v>
      </c>
      <c r="BA9" s="7"/>
      <c r="BB9" s="7"/>
      <c r="BC9" s="14" t="s">
        <v>14</v>
      </c>
      <c r="BD9" s="7"/>
      <c r="BE9" s="7"/>
      <c r="BF9" s="14" t="s">
        <v>14</v>
      </c>
      <c r="BG9" s="7"/>
      <c r="BH9" s="7"/>
      <c r="BI9" s="14" t="s">
        <v>14</v>
      </c>
      <c r="BJ9" s="7"/>
      <c r="BK9" s="7"/>
      <c r="BL9" s="14" t="s">
        <v>14</v>
      </c>
      <c r="BM9" s="7"/>
      <c r="BN9" s="7"/>
      <c r="BO9" s="14" t="s">
        <v>14</v>
      </c>
      <c r="BP9" s="7"/>
      <c r="BQ9" s="7"/>
      <c r="BR9" s="14" t="s">
        <v>14</v>
      </c>
      <c r="BS9" s="50"/>
      <c r="BT9" s="50"/>
      <c r="BU9" s="50"/>
      <c r="BV9" s="51"/>
    </row>
    <row r="10" spans="1:74" ht="16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50"/>
      <c r="BT10" s="50"/>
      <c r="BU10" s="50"/>
      <c r="BV10" s="50"/>
    </row>
    <row r="11" spans="1:74" ht="16.5" thickTop="1">
      <c r="A11" s="16" t="s">
        <v>2</v>
      </c>
      <c r="B11" s="13"/>
      <c r="C11" s="17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50"/>
      <c r="BT11" s="50"/>
      <c r="BU11" s="50"/>
      <c r="BV11" s="50"/>
    </row>
    <row r="12" spans="1:74" ht="15.75">
      <c r="A12" s="18">
        <v>1</v>
      </c>
      <c r="B12" s="19" t="s">
        <v>17</v>
      </c>
      <c r="C12" s="7">
        <v>120.22</v>
      </c>
      <c r="D12" s="20">
        <v>115.18</v>
      </c>
      <c r="E12" s="7"/>
      <c r="F12" s="7">
        <v>118.86</v>
      </c>
      <c r="G12" s="20">
        <v>115.68</v>
      </c>
      <c r="H12" s="7"/>
      <c r="I12" s="7">
        <v>118.97</v>
      </c>
      <c r="J12" s="20">
        <v>115.13</v>
      </c>
      <c r="K12" s="7"/>
      <c r="L12" s="7">
        <v>120.67</v>
      </c>
      <c r="M12" s="20">
        <v>113.78</v>
      </c>
      <c r="N12" s="7"/>
      <c r="O12" s="7">
        <v>120.8</v>
      </c>
      <c r="P12" s="20">
        <v>113.6</v>
      </c>
      <c r="Q12" s="7"/>
      <c r="R12" s="7">
        <v>121.01</v>
      </c>
      <c r="S12" s="20">
        <v>113.47</v>
      </c>
      <c r="T12" s="7"/>
      <c r="U12" s="7">
        <v>120.37</v>
      </c>
      <c r="V12" s="20">
        <v>114.15</v>
      </c>
      <c r="W12" s="7"/>
      <c r="X12" s="7">
        <v>119.25</v>
      </c>
      <c r="Y12" s="20">
        <v>115.41</v>
      </c>
      <c r="Z12" s="7"/>
      <c r="AA12" s="7">
        <v>118.91</v>
      </c>
      <c r="AB12" s="20">
        <v>115.63</v>
      </c>
      <c r="AC12" s="7"/>
      <c r="AD12" s="7">
        <v>116.98</v>
      </c>
      <c r="AE12" s="7">
        <v>117.39</v>
      </c>
      <c r="AF12" s="7"/>
      <c r="AG12" s="7">
        <v>117.43</v>
      </c>
      <c r="AH12" s="20">
        <v>117.22</v>
      </c>
      <c r="AI12" s="7"/>
      <c r="AJ12" s="7">
        <v>117.44</v>
      </c>
      <c r="AK12" s="20">
        <v>117.01</v>
      </c>
      <c r="AL12" s="7"/>
      <c r="AM12" s="7">
        <v>118.35</v>
      </c>
      <c r="AN12" s="20">
        <v>115.84</v>
      </c>
      <c r="AO12" s="7"/>
      <c r="AP12" s="7">
        <v>118.89</v>
      </c>
      <c r="AQ12" s="20">
        <v>115.57</v>
      </c>
      <c r="AR12" s="7"/>
      <c r="AS12" s="7">
        <v>118.08</v>
      </c>
      <c r="AT12" s="20">
        <v>116.4</v>
      </c>
      <c r="AU12" s="7"/>
      <c r="AV12" s="7">
        <v>119.09</v>
      </c>
      <c r="AW12" s="20">
        <v>115.69</v>
      </c>
      <c r="AX12" s="7"/>
      <c r="AY12" s="7">
        <v>120.08</v>
      </c>
      <c r="AZ12" s="20">
        <v>115.25</v>
      </c>
      <c r="BA12" s="7"/>
      <c r="BB12" s="7">
        <v>119.73</v>
      </c>
      <c r="BC12" s="20">
        <v>115.97</v>
      </c>
      <c r="BD12" s="7"/>
      <c r="BE12" s="7">
        <v>118.42</v>
      </c>
      <c r="BF12" s="20">
        <v>118.43</v>
      </c>
      <c r="BG12" s="7"/>
      <c r="BH12" s="22">
        <v>118.42</v>
      </c>
      <c r="BI12" s="23">
        <v>118.43</v>
      </c>
      <c r="BJ12" s="7"/>
      <c r="BK12" s="22">
        <v>117.86</v>
      </c>
      <c r="BL12" s="23">
        <v>118.92</v>
      </c>
      <c r="BM12" s="7"/>
      <c r="BN12" s="22">
        <v>118</v>
      </c>
      <c r="BO12" s="23">
        <v>118.73</v>
      </c>
      <c r="BP12" s="7"/>
      <c r="BQ12" s="7">
        <f aca="true" t="shared" si="0" ref="BQ12:BQ24">(C12+F12+I12+L12+O12+R12+U12+X12+AA12+AD12+AG12+AJ12+AM12+AP12+AS12+AV12+AY12+BB12+BE12+BH12+BK12+BN12)/22</f>
        <v>118.99227272727272</v>
      </c>
      <c r="BR12" s="7">
        <f aca="true" t="shared" si="1" ref="BR12:BR24">(D12+G12+J12+M12+P12+S12+V12+Y12+AB12+AE12+AH12+AK12+AN12+AQ12+AT12+AW12+AZ12+BC12+BF12+BI12+BL12+BO12)/22</f>
        <v>116.03999999999998</v>
      </c>
      <c r="BS12" s="50"/>
      <c r="BT12" s="50"/>
      <c r="BU12" s="54"/>
      <c r="BV12" s="54"/>
    </row>
    <row r="13" spans="1:74" ht="15.75">
      <c r="A13" s="18">
        <v>2</v>
      </c>
      <c r="B13" s="19" t="s">
        <v>18</v>
      </c>
      <c r="C13" s="7">
        <f>1/1.5515</f>
        <v>0.6445375443119561</v>
      </c>
      <c r="D13" s="20">
        <v>214.83</v>
      </c>
      <c r="E13" s="7"/>
      <c r="F13" s="7">
        <f>1/1.5686</f>
        <v>0.6375111564452378</v>
      </c>
      <c r="G13" s="20">
        <v>215.68</v>
      </c>
      <c r="H13" s="7"/>
      <c r="I13" s="7">
        <f>1/1.5632</f>
        <v>0.6397134083930399</v>
      </c>
      <c r="J13" s="20">
        <v>214.11</v>
      </c>
      <c r="K13" s="7"/>
      <c r="L13" s="7">
        <f>1/1.543</f>
        <v>0.6480881399870383</v>
      </c>
      <c r="M13" s="20">
        <v>211.84</v>
      </c>
      <c r="N13" s="7"/>
      <c r="O13" s="7">
        <f>1/1.536</f>
        <v>0.6510416666666666</v>
      </c>
      <c r="P13" s="20">
        <v>210.78</v>
      </c>
      <c r="Q13" s="7"/>
      <c r="R13" s="7">
        <f>1/1.5292</f>
        <v>0.6539366989275439</v>
      </c>
      <c r="S13" s="20">
        <v>209.98</v>
      </c>
      <c r="T13" s="7"/>
      <c r="U13" s="7">
        <f>1/1.5314</f>
        <v>0.6529972574115188</v>
      </c>
      <c r="V13" s="20">
        <v>210.41</v>
      </c>
      <c r="W13" s="7"/>
      <c r="X13" s="7">
        <f>1/1.5251</f>
        <v>0.655694708543702</v>
      </c>
      <c r="Y13" s="20">
        <v>209.9</v>
      </c>
      <c r="Z13" s="7"/>
      <c r="AA13" s="7">
        <f>1/1.5317</f>
        <v>0.6528693608408958</v>
      </c>
      <c r="AB13" s="20">
        <v>210.6</v>
      </c>
      <c r="AC13" s="7"/>
      <c r="AD13" s="7">
        <f>1/1.5437</f>
        <v>0.6477942605428516</v>
      </c>
      <c r="AE13" s="7">
        <v>211.98</v>
      </c>
      <c r="AF13" s="7"/>
      <c r="AG13" s="7">
        <f>1/1.5318</f>
        <v>0.6528267397832616</v>
      </c>
      <c r="AH13" s="20">
        <v>210.85</v>
      </c>
      <c r="AI13" s="7"/>
      <c r="AJ13" s="7">
        <f>1/1.534</f>
        <v>0.651890482398957</v>
      </c>
      <c r="AK13" s="20">
        <v>210.79</v>
      </c>
      <c r="AL13" s="7"/>
      <c r="AM13" s="7">
        <f>1/1.5396</f>
        <v>0.6495193556767991</v>
      </c>
      <c r="AN13" s="20">
        <v>211.08</v>
      </c>
      <c r="AO13" s="7"/>
      <c r="AP13" s="7">
        <f>1/1.5269</f>
        <v>0.6549217368524461</v>
      </c>
      <c r="AQ13" s="20">
        <v>209.8</v>
      </c>
      <c r="AR13" s="7"/>
      <c r="AS13" s="7">
        <f>1/1.5277</f>
        <v>0.6545787785559992</v>
      </c>
      <c r="AT13" s="20">
        <v>209.98</v>
      </c>
      <c r="AU13" s="7"/>
      <c r="AV13" s="7">
        <f>1/1.5292</f>
        <v>0.6539366989275439</v>
      </c>
      <c r="AW13" s="20">
        <v>210.68</v>
      </c>
      <c r="AX13" s="7"/>
      <c r="AY13" s="7">
        <f>1/1.5191</f>
        <v>0.6582845105654664</v>
      </c>
      <c r="AZ13" s="20">
        <v>210.22</v>
      </c>
      <c r="BA13" s="7"/>
      <c r="BB13" s="7">
        <f>1/1.5205</f>
        <v>0.6576783952647156</v>
      </c>
      <c r="BC13" s="20">
        <v>211.12</v>
      </c>
      <c r="BD13" s="7"/>
      <c r="BE13" s="7">
        <f>1/1.5349</f>
        <v>0.651508241579256</v>
      </c>
      <c r="BF13" s="20">
        <v>215.26</v>
      </c>
      <c r="BG13" s="7"/>
      <c r="BH13" s="22">
        <f>1/1.5349</f>
        <v>0.651508241579256</v>
      </c>
      <c r="BI13" s="23">
        <v>215.26</v>
      </c>
      <c r="BJ13" s="7"/>
      <c r="BK13" s="22">
        <f>1/1.541</f>
        <v>0.6489292667099287</v>
      </c>
      <c r="BL13" s="23">
        <v>215.98</v>
      </c>
      <c r="BM13" s="7"/>
      <c r="BN13" s="22">
        <f>1/1.5513</f>
        <v>0.6446206407529169</v>
      </c>
      <c r="BO13" s="23">
        <v>217.33</v>
      </c>
      <c r="BP13" s="7"/>
      <c r="BQ13" s="7">
        <f t="shared" si="0"/>
        <v>0.6506539677598636</v>
      </c>
      <c r="BR13" s="7">
        <f t="shared" si="1"/>
        <v>212.20272727272723</v>
      </c>
      <c r="BS13" s="50"/>
      <c r="BT13" s="50"/>
      <c r="BU13" s="54"/>
      <c r="BV13" s="54"/>
    </row>
    <row r="14" spans="1:74" ht="15.75">
      <c r="A14" s="18">
        <v>3</v>
      </c>
      <c r="B14" s="19" t="s">
        <v>19</v>
      </c>
      <c r="C14" s="7">
        <v>1.4909</v>
      </c>
      <c r="D14" s="20">
        <v>92.88</v>
      </c>
      <c r="E14" s="7"/>
      <c r="F14" s="7">
        <v>1.4664</v>
      </c>
      <c r="G14" s="20">
        <v>93.77</v>
      </c>
      <c r="H14" s="7"/>
      <c r="I14" s="7">
        <v>1.4757</v>
      </c>
      <c r="J14" s="20">
        <v>92.82</v>
      </c>
      <c r="K14" s="7"/>
      <c r="L14" s="7">
        <v>1.5007</v>
      </c>
      <c r="M14" s="20">
        <v>91.49</v>
      </c>
      <c r="N14" s="7"/>
      <c r="O14" s="7">
        <v>1.5072</v>
      </c>
      <c r="P14" s="20">
        <v>91.05</v>
      </c>
      <c r="Q14" s="7"/>
      <c r="R14" s="7">
        <v>1.5091</v>
      </c>
      <c r="S14" s="20">
        <v>90.99</v>
      </c>
      <c r="T14" s="7"/>
      <c r="U14" s="7">
        <v>1.4999</v>
      </c>
      <c r="V14" s="20">
        <v>91.61</v>
      </c>
      <c r="W14" s="7"/>
      <c r="X14" s="7">
        <v>1.4971</v>
      </c>
      <c r="Y14" s="20">
        <v>91.93</v>
      </c>
      <c r="Z14" s="7"/>
      <c r="AA14" s="7">
        <v>1.4948</v>
      </c>
      <c r="AB14" s="20">
        <v>91.98</v>
      </c>
      <c r="AC14" s="7"/>
      <c r="AD14" s="7">
        <v>1.4759</v>
      </c>
      <c r="AE14" s="7">
        <v>93.04</v>
      </c>
      <c r="AF14" s="7"/>
      <c r="AG14" s="7">
        <v>1.4994</v>
      </c>
      <c r="AH14" s="20">
        <v>91.8</v>
      </c>
      <c r="AI14" s="7"/>
      <c r="AJ14" s="7">
        <v>1.4923</v>
      </c>
      <c r="AK14" s="20">
        <v>92.08</v>
      </c>
      <c r="AL14" s="7"/>
      <c r="AM14" s="7">
        <v>1.4918</v>
      </c>
      <c r="AN14" s="20">
        <v>91.9</v>
      </c>
      <c r="AO14" s="7"/>
      <c r="AP14" s="7">
        <v>1.4998</v>
      </c>
      <c r="AQ14" s="20">
        <v>91.61</v>
      </c>
      <c r="AR14" s="7"/>
      <c r="AS14" s="7">
        <v>1.4982</v>
      </c>
      <c r="AT14" s="20">
        <v>91.74</v>
      </c>
      <c r="AU14" s="7"/>
      <c r="AV14" s="7">
        <v>1.5036</v>
      </c>
      <c r="AW14" s="20">
        <v>91.63</v>
      </c>
      <c r="AX14" s="7"/>
      <c r="AY14" s="7">
        <v>1.5202</v>
      </c>
      <c r="AZ14" s="20">
        <v>91.03</v>
      </c>
      <c r="BA14" s="7"/>
      <c r="BB14" s="7">
        <v>1.516</v>
      </c>
      <c r="BC14" s="20">
        <v>91.59</v>
      </c>
      <c r="BD14" s="7"/>
      <c r="BE14" s="7">
        <v>1.496</v>
      </c>
      <c r="BF14" s="20">
        <v>93.75</v>
      </c>
      <c r="BG14" s="7"/>
      <c r="BH14" s="22">
        <v>1.496</v>
      </c>
      <c r="BI14" s="23">
        <v>93.75</v>
      </c>
      <c r="BJ14" s="7"/>
      <c r="BK14" s="22">
        <v>1.4937</v>
      </c>
      <c r="BL14" s="23">
        <v>93.83</v>
      </c>
      <c r="BM14" s="7"/>
      <c r="BN14" s="22">
        <v>1.4902</v>
      </c>
      <c r="BO14" s="23">
        <v>94.01</v>
      </c>
      <c r="BP14" s="7"/>
      <c r="BQ14" s="7">
        <f t="shared" si="0"/>
        <v>1.496131818181818</v>
      </c>
      <c r="BR14" s="7">
        <f t="shared" si="1"/>
        <v>92.28545454545453</v>
      </c>
      <c r="BS14" s="50"/>
      <c r="BT14" s="50"/>
      <c r="BU14" s="54"/>
      <c r="BV14" s="54"/>
    </row>
    <row r="15" spans="1:74" ht="15.75">
      <c r="A15" s="18">
        <v>4</v>
      </c>
      <c r="B15" s="19" t="s">
        <v>24</v>
      </c>
      <c r="C15" s="7">
        <f>1/0.9733</f>
        <v>1.0274324463166546</v>
      </c>
      <c r="D15" s="20">
        <v>134.77</v>
      </c>
      <c r="E15" s="7"/>
      <c r="F15" s="7">
        <f>1/0.9883</f>
        <v>1.0118385105737124</v>
      </c>
      <c r="G15" s="20">
        <v>135.89</v>
      </c>
      <c r="H15" s="7"/>
      <c r="I15" s="7">
        <f>1/0.9852</f>
        <v>1.0150223304912709</v>
      </c>
      <c r="J15" s="20">
        <v>134.94</v>
      </c>
      <c r="K15" s="7"/>
      <c r="L15" s="7">
        <f>1/0.9686</f>
        <v>1.0324179227751393</v>
      </c>
      <c r="M15" s="20">
        <v>132.98</v>
      </c>
      <c r="N15" s="7"/>
      <c r="O15" s="7">
        <f>1/0.9674</f>
        <v>1.0336985734959685</v>
      </c>
      <c r="P15" s="20">
        <v>132.75</v>
      </c>
      <c r="Q15" s="7"/>
      <c r="R15" s="7">
        <f>1/0.9689</f>
        <v>1.0320982557539478</v>
      </c>
      <c r="S15" s="20">
        <v>133.04</v>
      </c>
      <c r="T15" s="7"/>
      <c r="U15" s="7">
        <f>1/0.9736</f>
        <v>1.0271158586688578</v>
      </c>
      <c r="V15" s="20">
        <v>133.77</v>
      </c>
      <c r="W15" s="7"/>
      <c r="X15" s="7">
        <f>1/0.9744</f>
        <v>1.026272577996716</v>
      </c>
      <c r="Y15" s="20">
        <v>134.11</v>
      </c>
      <c r="Z15" s="7"/>
      <c r="AA15" s="7">
        <f>1/0.979</f>
        <v>1.0214504596527068</v>
      </c>
      <c r="AB15" s="20">
        <v>134.61</v>
      </c>
      <c r="AC15" s="7"/>
      <c r="AD15" s="7">
        <f>1/0.9888</f>
        <v>1.0113268608414239</v>
      </c>
      <c r="AE15" s="7">
        <v>135.78</v>
      </c>
      <c r="AF15" s="7"/>
      <c r="AG15" s="7">
        <f>1/0.9755</f>
        <v>1.0251153254741159</v>
      </c>
      <c r="AH15" s="20">
        <v>134.28</v>
      </c>
      <c r="AI15" s="7"/>
      <c r="AJ15" s="7">
        <f>1/0.9811</f>
        <v>1.0192640913260627</v>
      </c>
      <c r="AK15" s="20">
        <v>134.82</v>
      </c>
      <c r="AL15" s="7"/>
      <c r="AM15" s="24">
        <f>1/0.983</f>
        <v>1.017293997965412</v>
      </c>
      <c r="AN15" s="20">
        <v>134.77</v>
      </c>
      <c r="AO15" s="7"/>
      <c r="AP15" s="24">
        <f>1/0.9786</f>
        <v>1.0218679746576742</v>
      </c>
      <c r="AQ15" s="20">
        <v>134.46</v>
      </c>
      <c r="AR15" s="7"/>
      <c r="AS15" s="7">
        <f>1/0.981</f>
        <v>1.019367991845056</v>
      </c>
      <c r="AT15" s="20">
        <v>134.83</v>
      </c>
      <c r="AU15" s="7"/>
      <c r="AV15" s="7">
        <f>1/0.9771</f>
        <v>1.0234367004400777</v>
      </c>
      <c r="AW15" s="20">
        <v>134.62</v>
      </c>
      <c r="AX15" s="7"/>
      <c r="AY15" s="7">
        <f>1/0.968</f>
        <v>1.0330578512396695</v>
      </c>
      <c r="AZ15" s="20">
        <v>133.96</v>
      </c>
      <c r="BA15" s="7"/>
      <c r="BB15" s="7">
        <f>1/0.9703</f>
        <v>1.0306090899721736</v>
      </c>
      <c r="BC15" s="20">
        <v>134.73</v>
      </c>
      <c r="BD15" s="7"/>
      <c r="BE15" s="7">
        <f>1/0.9806</f>
        <v>1.0197838058331634</v>
      </c>
      <c r="BF15" s="20">
        <v>137.52</v>
      </c>
      <c r="BG15" s="7"/>
      <c r="BH15" s="22">
        <f>1/0.9806</f>
        <v>1.0197838058331634</v>
      </c>
      <c r="BI15" s="23">
        <v>137.52</v>
      </c>
      <c r="BJ15" s="7"/>
      <c r="BK15" s="22">
        <f>1/0.9844</f>
        <v>1.0158472165786265</v>
      </c>
      <c r="BL15" s="23">
        <v>137.97</v>
      </c>
      <c r="BM15" s="7"/>
      <c r="BN15" s="22">
        <f>1/0.9851</f>
        <v>1.015125367982946</v>
      </c>
      <c r="BO15" s="23">
        <v>138.01</v>
      </c>
      <c r="BP15" s="7"/>
      <c r="BQ15" s="7">
        <f t="shared" si="0"/>
        <v>1.0226921370779338</v>
      </c>
      <c r="BR15" s="7">
        <f t="shared" si="1"/>
        <v>135.00590909090909</v>
      </c>
      <c r="BS15" s="50"/>
      <c r="BT15" s="50"/>
      <c r="BU15" s="54"/>
      <c r="BV15" s="54"/>
    </row>
    <row r="16" spans="1:74" ht="15.75">
      <c r="A16" s="18">
        <v>5</v>
      </c>
      <c r="B16" s="19" t="s">
        <v>25</v>
      </c>
      <c r="C16" s="7">
        <v>300.6</v>
      </c>
      <c r="D16" s="20">
        <v>41623.52</v>
      </c>
      <c r="E16" s="7"/>
      <c r="F16" s="7">
        <v>306.35</v>
      </c>
      <c r="G16" s="20">
        <v>42122.93</v>
      </c>
      <c r="H16" s="7"/>
      <c r="I16" s="7">
        <v>307.7</v>
      </c>
      <c r="J16" s="20">
        <v>42145.86</v>
      </c>
      <c r="K16" s="7"/>
      <c r="L16" s="7">
        <v>305.4</v>
      </c>
      <c r="M16" s="20">
        <v>41929.32</v>
      </c>
      <c r="N16" s="7"/>
      <c r="O16" s="7">
        <v>308.5</v>
      </c>
      <c r="P16" s="20">
        <v>42333.72</v>
      </c>
      <c r="Q16" s="7"/>
      <c r="R16" s="7">
        <v>312.8</v>
      </c>
      <c r="S16" s="20">
        <v>42950.76</v>
      </c>
      <c r="T16" s="7"/>
      <c r="U16" s="7">
        <v>309.5</v>
      </c>
      <c r="V16" s="20">
        <v>42524.91</v>
      </c>
      <c r="W16" s="7"/>
      <c r="X16" s="7">
        <v>316.5</v>
      </c>
      <c r="Y16" s="20">
        <v>43560.29</v>
      </c>
      <c r="Z16" s="7"/>
      <c r="AA16" s="7">
        <v>314.6</v>
      </c>
      <c r="AB16" s="20">
        <v>43255.73</v>
      </c>
      <c r="AC16" s="7"/>
      <c r="AD16" s="7">
        <v>316.1</v>
      </c>
      <c r="AE16" s="7">
        <v>43407.05</v>
      </c>
      <c r="AF16" s="7"/>
      <c r="AG16" s="7">
        <v>312.75</v>
      </c>
      <c r="AH16" s="20">
        <v>43050.43</v>
      </c>
      <c r="AI16" s="7"/>
      <c r="AJ16" s="7">
        <v>314.5</v>
      </c>
      <c r="AK16" s="20">
        <v>43216.62</v>
      </c>
      <c r="AL16" s="7"/>
      <c r="AM16" s="7">
        <v>313</v>
      </c>
      <c r="AN16" s="20">
        <v>42911.91</v>
      </c>
      <c r="AO16" s="7"/>
      <c r="AP16" s="7">
        <v>307.75</v>
      </c>
      <c r="AQ16" s="20">
        <v>42284.85</v>
      </c>
      <c r="AR16" s="7"/>
      <c r="AS16" s="7">
        <v>308.2</v>
      </c>
      <c r="AT16" s="20">
        <v>42360.93</v>
      </c>
      <c r="AU16" s="7"/>
      <c r="AV16" s="7">
        <v>306.4</v>
      </c>
      <c r="AW16" s="20">
        <v>42213.69</v>
      </c>
      <c r="AX16" s="7"/>
      <c r="AY16" s="7">
        <v>305.9</v>
      </c>
      <c r="AZ16" s="20">
        <v>42332.55</v>
      </c>
      <c r="BA16" s="7"/>
      <c r="BB16" s="7">
        <v>307.1</v>
      </c>
      <c r="BC16" s="20">
        <v>42641.22</v>
      </c>
      <c r="BD16" s="7"/>
      <c r="BE16" s="7">
        <v>310.8</v>
      </c>
      <c r="BF16" s="20">
        <v>43587.95</v>
      </c>
      <c r="BG16" s="7"/>
      <c r="BH16" s="22">
        <v>310.8</v>
      </c>
      <c r="BI16" s="23">
        <v>43587.95</v>
      </c>
      <c r="BJ16" s="7"/>
      <c r="BK16" s="22">
        <v>310.6</v>
      </c>
      <c r="BL16" s="23">
        <v>43532.73</v>
      </c>
      <c r="BM16" s="7"/>
      <c r="BN16" s="22">
        <v>312.9</v>
      </c>
      <c r="BO16" s="23">
        <v>43836.12</v>
      </c>
      <c r="BP16" s="7"/>
      <c r="BQ16" s="7">
        <f t="shared" si="0"/>
        <v>309.9431818181818</v>
      </c>
      <c r="BR16" s="7">
        <f t="shared" si="1"/>
        <v>42791.410909090904</v>
      </c>
      <c r="BS16" s="50"/>
      <c r="BT16" s="50"/>
      <c r="BU16" s="54"/>
      <c r="BV16" s="54"/>
    </row>
    <row r="17" spans="1:74" ht="15.75">
      <c r="A17" s="18">
        <v>6</v>
      </c>
      <c r="B17" s="25" t="s">
        <v>26</v>
      </c>
      <c r="C17" s="7">
        <v>4.55</v>
      </c>
      <c r="D17" s="20">
        <v>630.03</v>
      </c>
      <c r="E17" s="7"/>
      <c r="F17" s="7">
        <v>4.62</v>
      </c>
      <c r="G17" s="20">
        <v>635.25</v>
      </c>
      <c r="H17" s="7"/>
      <c r="I17" s="7">
        <v>4.62</v>
      </c>
      <c r="J17" s="20">
        <v>632.8</v>
      </c>
      <c r="K17" s="7"/>
      <c r="L17" s="7">
        <v>4.6</v>
      </c>
      <c r="M17" s="20">
        <v>631.55</v>
      </c>
      <c r="N17" s="7"/>
      <c r="O17" s="7">
        <v>4.62</v>
      </c>
      <c r="P17" s="20">
        <v>633.98</v>
      </c>
      <c r="Q17" s="7"/>
      <c r="R17" s="7">
        <v>4.67</v>
      </c>
      <c r="S17" s="20">
        <v>641.24</v>
      </c>
      <c r="T17" s="7"/>
      <c r="U17" s="7">
        <v>4.62</v>
      </c>
      <c r="V17" s="20">
        <v>634.78</v>
      </c>
      <c r="W17" s="7"/>
      <c r="X17" s="7">
        <v>4.71</v>
      </c>
      <c r="Y17" s="20">
        <v>648.24</v>
      </c>
      <c r="Z17" s="7"/>
      <c r="AA17" s="7">
        <v>4.61</v>
      </c>
      <c r="AB17" s="20">
        <v>633.85</v>
      </c>
      <c r="AC17" s="7"/>
      <c r="AD17" s="7">
        <v>4.64</v>
      </c>
      <c r="AE17" s="7">
        <v>637.17</v>
      </c>
      <c r="AF17" s="7"/>
      <c r="AG17" s="7">
        <v>4.48</v>
      </c>
      <c r="AH17" s="20">
        <v>616.68</v>
      </c>
      <c r="AI17" s="7"/>
      <c r="AJ17" s="7">
        <v>4.52</v>
      </c>
      <c r="AK17" s="20">
        <v>621.11</v>
      </c>
      <c r="AL17" s="7"/>
      <c r="AM17" s="7">
        <v>4.49</v>
      </c>
      <c r="AN17" s="20">
        <v>615.57</v>
      </c>
      <c r="AO17" s="7"/>
      <c r="AP17" s="7">
        <v>4.43</v>
      </c>
      <c r="AQ17" s="20">
        <v>608.68</v>
      </c>
      <c r="AR17" s="7"/>
      <c r="AS17" s="7">
        <v>4.43</v>
      </c>
      <c r="AT17" s="20">
        <v>608.89</v>
      </c>
      <c r="AU17" s="7"/>
      <c r="AV17" s="7">
        <v>4.42</v>
      </c>
      <c r="AW17" s="20">
        <v>608.96</v>
      </c>
      <c r="AX17" s="7"/>
      <c r="AY17" s="7">
        <v>4.45</v>
      </c>
      <c r="AZ17" s="20">
        <v>615.82</v>
      </c>
      <c r="BA17" s="7"/>
      <c r="BB17" s="7">
        <v>4.43</v>
      </c>
      <c r="BC17" s="20">
        <v>615.11</v>
      </c>
      <c r="BD17" s="7"/>
      <c r="BE17" s="7">
        <v>4.49</v>
      </c>
      <c r="BF17" s="20">
        <v>629.7</v>
      </c>
      <c r="BG17" s="7"/>
      <c r="BH17" s="22">
        <v>4.49</v>
      </c>
      <c r="BI17" s="23">
        <v>629.7</v>
      </c>
      <c r="BJ17" s="7"/>
      <c r="BK17" s="22">
        <v>4.5</v>
      </c>
      <c r="BL17" s="23">
        <v>630.71</v>
      </c>
      <c r="BM17" s="7"/>
      <c r="BN17" s="22">
        <v>4.53</v>
      </c>
      <c r="BO17" s="23">
        <v>634.64</v>
      </c>
      <c r="BP17" s="7"/>
      <c r="BQ17" s="7">
        <f t="shared" si="0"/>
        <v>4.541818181818181</v>
      </c>
      <c r="BR17" s="7">
        <f t="shared" si="1"/>
        <v>627.0209090909091</v>
      </c>
      <c r="BS17" s="50"/>
      <c r="BT17" s="50"/>
      <c r="BU17" s="54"/>
      <c r="BV17" s="54"/>
    </row>
    <row r="18" spans="1:74" ht="15.75">
      <c r="A18" s="18">
        <v>7</v>
      </c>
      <c r="B18" s="19" t="s">
        <v>27</v>
      </c>
      <c r="C18" s="7">
        <f>1/0.5384</f>
        <v>1.8573551263001487</v>
      </c>
      <c r="D18" s="20">
        <v>74.55</v>
      </c>
      <c r="E18" s="7"/>
      <c r="F18" s="7">
        <f>1/0.5413</f>
        <v>1.8474043968224645</v>
      </c>
      <c r="G18" s="20">
        <v>74.43</v>
      </c>
      <c r="H18" s="7"/>
      <c r="I18" s="7">
        <f>1/0.537</f>
        <v>1.8621973929236497</v>
      </c>
      <c r="J18" s="20">
        <v>73.55</v>
      </c>
      <c r="K18" s="7"/>
      <c r="L18" s="7">
        <f>1/0.5266</f>
        <v>1.8989745537409801</v>
      </c>
      <c r="M18" s="20">
        <v>72.3</v>
      </c>
      <c r="N18" s="7"/>
      <c r="O18" s="7">
        <f>1/0.5311</f>
        <v>1.8828845791752964</v>
      </c>
      <c r="P18" s="20">
        <v>72.88</v>
      </c>
      <c r="Q18" s="7"/>
      <c r="R18" s="7">
        <f>1/0.5316</f>
        <v>1.8811136192626037</v>
      </c>
      <c r="S18" s="20">
        <v>72.99</v>
      </c>
      <c r="T18" s="7"/>
      <c r="U18" s="7">
        <f>1/0.535</f>
        <v>1.8691588785046729</v>
      </c>
      <c r="V18" s="20">
        <v>73.51</v>
      </c>
      <c r="W18" s="7"/>
      <c r="X18" s="7">
        <f>1/0.5392</f>
        <v>1.8545994065281899</v>
      </c>
      <c r="Y18" s="20">
        <v>74.21</v>
      </c>
      <c r="Z18" s="7"/>
      <c r="AA18" s="7">
        <f>1/0.5384</f>
        <v>1.8573551263001487</v>
      </c>
      <c r="AB18" s="20">
        <v>74.03</v>
      </c>
      <c r="AC18" s="7"/>
      <c r="AD18" s="7">
        <f>1/0.5394</f>
        <v>1.8539117538005192</v>
      </c>
      <c r="AE18" s="7">
        <v>74.07</v>
      </c>
      <c r="AF18" s="7"/>
      <c r="AG18" s="7">
        <f>1/0.5411</f>
        <v>1.8480872297172426</v>
      </c>
      <c r="AH18" s="20">
        <v>74.48</v>
      </c>
      <c r="AI18" s="7"/>
      <c r="AJ18" s="7">
        <f>1/0.5441</f>
        <v>1.837897445322551</v>
      </c>
      <c r="AK18" s="20">
        <v>74.77</v>
      </c>
      <c r="AL18" s="7"/>
      <c r="AM18" s="7">
        <f>1/0.5438</f>
        <v>1.8389113644722326</v>
      </c>
      <c r="AN18" s="20">
        <v>74.55</v>
      </c>
      <c r="AO18" s="7"/>
      <c r="AP18" s="7">
        <f>1/0.5457</f>
        <v>1.8325087044163462</v>
      </c>
      <c r="AQ18" s="20">
        <v>74.98</v>
      </c>
      <c r="AR18" s="7"/>
      <c r="AS18" s="7">
        <f>1/0.5449</f>
        <v>1.8351991191044226</v>
      </c>
      <c r="AT18" s="20">
        <v>74.89</v>
      </c>
      <c r="AU18" s="7"/>
      <c r="AV18" s="7">
        <f>1/0.5424</f>
        <v>1.8436578171091447</v>
      </c>
      <c r="AW18" s="20">
        <v>74.73</v>
      </c>
      <c r="AX18" s="7"/>
      <c r="AY18" s="7">
        <f>1/0.5414</f>
        <v>1.847063169560399</v>
      </c>
      <c r="AZ18" s="20">
        <v>74.92</v>
      </c>
      <c r="BA18" s="7"/>
      <c r="BB18" s="7">
        <f>1/0.5436</f>
        <v>1.839587932303164</v>
      </c>
      <c r="BC18" s="20">
        <v>75.48</v>
      </c>
      <c r="BD18" s="7"/>
      <c r="BE18" s="7">
        <f>1/0.5532</f>
        <v>1.8076644974692697</v>
      </c>
      <c r="BF18" s="20">
        <v>77.58</v>
      </c>
      <c r="BG18" s="7"/>
      <c r="BH18" s="22">
        <f>1/0.5532</f>
        <v>1.8076644974692697</v>
      </c>
      <c r="BI18" s="23">
        <v>77.58</v>
      </c>
      <c r="BJ18" s="7"/>
      <c r="BK18" s="22">
        <f>1/0.5506</f>
        <v>1.8162005085361426</v>
      </c>
      <c r="BL18" s="23">
        <v>77.17</v>
      </c>
      <c r="BM18" s="7"/>
      <c r="BN18" s="22">
        <f>1/0.5526</f>
        <v>1.8096272167933407</v>
      </c>
      <c r="BO18" s="23">
        <v>77.42</v>
      </c>
      <c r="BP18" s="7"/>
      <c r="BQ18" s="7">
        <f t="shared" si="0"/>
        <v>1.8467738334378268</v>
      </c>
      <c r="BR18" s="7">
        <f t="shared" si="1"/>
        <v>74.7759090909091</v>
      </c>
      <c r="BS18" s="50"/>
      <c r="BT18" s="50"/>
      <c r="BU18" s="54"/>
      <c r="BV18" s="54"/>
    </row>
    <row r="19" spans="1:74" ht="15.75">
      <c r="A19" s="18">
        <v>8</v>
      </c>
      <c r="B19" s="19" t="s">
        <v>28</v>
      </c>
      <c r="C19" s="7">
        <v>1.5839</v>
      </c>
      <c r="D19" s="20">
        <v>87.42</v>
      </c>
      <c r="E19" s="7"/>
      <c r="F19" s="7">
        <v>1.5869</v>
      </c>
      <c r="G19" s="20">
        <v>86.65</v>
      </c>
      <c r="H19" s="7"/>
      <c r="I19" s="7">
        <v>1.584</v>
      </c>
      <c r="J19" s="20">
        <v>86.47</v>
      </c>
      <c r="K19" s="7"/>
      <c r="L19" s="7">
        <v>1.5988</v>
      </c>
      <c r="M19" s="20">
        <v>85.87</v>
      </c>
      <c r="N19" s="7"/>
      <c r="O19" s="7">
        <v>1.5844</v>
      </c>
      <c r="P19" s="20">
        <v>86.61</v>
      </c>
      <c r="Q19" s="7"/>
      <c r="R19" s="7">
        <v>1.579</v>
      </c>
      <c r="S19" s="20">
        <v>86.96</v>
      </c>
      <c r="T19" s="7"/>
      <c r="U19" s="7">
        <v>1.5781</v>
      </c>
      <c r="V19" s="20">
        <v>87.07</v>
      </c>
      <c r="W19" s="7"/>
      <c r="X19" s="7">
        <v>1.5715</v>
      </c>
      <c r="Y19" s="20">
        <v>87.58</v>
      </c>
      <c r="Z19" s="7"/>
      <c r="AA19" s="7">
        <v>1.5737</v>
      </c>
      <c r="AB19" s="20">
        <v>87.37</v>
      </c>
      <c r="AC19" s="7"/>
      <c r="AD19" s="7">
        <v>1.5621</v>
      </c>
      <c r="AE19" s="7">
        <v>87.91</v>
      </c>
      <c r="AF19" s="7"/>
      <c r="AG19" s="7">
        <v>1.5608</v>
      </c>
      <c r="AH19" s="20">
        <v>88.19</v>
      </c>
      <c r="AI19" s="7"/>
      <c r="AJ19" s="7">
        <v>1.5586</v>
      </c>
      <c r="AK19" s="20">
        <v>88.16</v>
      </c>
      <c r="AL19" s="7"/>
      <c r="AM19" s="7">
        <v>1.5582</v>
      </c>
      <c r="AN19" s="20">
        <v>87.99</v>
      </c>
      <c r="AO19" s="7"/>
      <c r="AP19" s="7">
        <v>1.5729</v>
      </c>
      <c r="AQ19" s="20">
        <v>87.35</v>
      </c>
      <c r="AR19" s="7"/>
      <c r="AS19" s="7">
        <v>1.5655</v>
      </c>
      <c r="AT19" s="20">
        <v>87.8</v>
      </c>
      <c r="AU19" s="7"/>
      <c r="AV19" s="7">
        <v>1.5583</v>
      </c>
      <c r="AW19" s="20">
        <v>88.41</v>
      </c>
      <c r="AX19" s="7"/>
      <c r="AY19" s="7">
        <v>1.5585</v>
      </c>
      <c r="AZ19" s="20">
        <v>88.79</v>
      </c>
      <c r="BA19" s="7"/>
      <c r="BB19" s="7">
        <v>1.5587</v>
      </c>
      <c r="BC19" s="20">
        <v>89.08</v>
      </c>
      <c r="BD19" s="7"/>
      <c r="BE19" s="7">
        <v>1.5535</v>
      </c>
      <c r="BF19" s="20">
        <v>90.28</v>
      </c>
      <c r="BG19" s="7"/>
      <c r="BH19" s="22">
        <v>1.5535</v>
      </c>
      <c r="BI19" s="23">
        <v>90.28</v>
      </c>
      <c r="BJ19" s="7"/>
      <c r="BK19" s="22">
        <v>1.558</v>
      </c>
      <c r="BL19" s="23">
        <v>89.96</v>
      </c>
      <c r="BM19" s="7"/>
      <c r="BN19" s="22">
        <v>1.5568</v>
      </c>
      <c r="BO19" s="23">
        <v>89.99</v>
      </c>
      <c r="BP19" s="7"/>
      <c r="BQ19" s="7">
        <f t="shared" si="0"/>
        <v>1.5688954545454543</v>
      </c>
      <c r="BR19" s="7">
        <f t="shared" si="1"/>
        <v>88.00863636363636</v>
      </c>
      <c r="BS19" s="50"/>
      <c r="BT19" s="50"/>
      <c r="BU19" s="54"/>
      <c r="BV19" s="54"/>
    </row>
    <row r="20" spans="1:74" ht="15.75">
      <c r="A20" s="18">
        <v>9</v>
      </c>
      <c r="B20" s="19" t="s">
        <v>31</v>
      </c>
      <c r="C20" s="7">
        <v>9.5535</v>
      </c>
      <c r="D20" s="20">
        <v>14.49</v>
      </c>
      <c r="E20" s="7"/>
      <c r="F20" s="7">
        <v>9.5803</v>
      </c>
      <c r="G20" s="20">
        <v>14.35</v>
      </c>
      <c r="H20" s="7"/>
      <c r="I20" s="7">
        <v>9.5907</v>
      </c>
      <c r="J20" s="20">
        <v>14.28</v>
      </c>
      <c r="K20" s="7"/>
      <c r="L20" s="7">
        <v>9.7008</v>
      </c>
      <c r="M20" s="20">
        <v>14.15</v>
      </c>
      <c r="N20" s="7"/>
      <c r="O20" s="7">
        <v>9.6266</v>
      </c>
      <c r="P20" s="20">
        <v>14.25</v>
      </c>
      <c r="Q20" s="7"/>
      <c r="R20" s="7">
        <v>9.5975</v>
      </c>
      <c r="S20" s="20">
        <v>14.31</v>
      </c>
      <c r="T20" s="7"/>
      <c r="U20" s="7">
        <v>9.5472</v>
      </c>
      <c r="V20" s="20">
        <v>14.39</v>
      </c>
      <c r="W20" s="7"/>
      <c r="X20" s="7">
        <v>9.5143</v>
      </c>
      <c r="Y20" s="20">
        <v>14.47</v>
      </c>
      <c r="Z20" s="7"/>
      <c r="AA20" s="7">
        <v>9.4497</v>
      </c>
      <c r="AB20" s="20">
        <v>14.55</v>
      </c>
      <c r="AC20" s="7"/>
      <c r="AD20" s="7">
        <v>9.392</v>
      </c>
      <c r="AE20" s="7">
        <v>14.62</v>
      </c>
      <c r="AF20" s="7"/>
      <c r="AG20" s="7">
        <v>9.4611</v>
      </c>
      <c r="AH20" s="20">
        <v>14.55</v>
      </c>
      <c r="AI20" s="7"/>
      <c r="AJ20" s="7">
        <v>9.4215</v>
      </c>
      <c r="AK20" s="20">
        <v>14.59</v>
      </c>
      <c r="AL20" s="7"/>
      <c r="AM20" s="7">
        <v>9.367</v>
      </c>
      <c r="AN20" s="20">
        <v>14.64</v>
      </c>
      <c r="AO20" s="7"/>
      <c r="AP20" s="7">
        <v>9.3815</v>
      </c>
      <c r="AQ20" s="20">
        <v>14.65</v>
      </c>
      <c r="AR20" s="7"/>
      <c r="AS20" s="7">
        <v>9.3471</v>
      </c>
      <c r="AT20" s="20">
        <v>14.7</v>
      </c>
      <c r="AU20" s="7"/>
      <c r="AV20" s="7">
        <v>9.3698</v>
      </c>
      <c r="AW20" s="20">
        <v>14.7</v>
      </c>
      <c r="AX20" s="7"/>
      <c r="AY20" s="7">
        <v>9.4851</v>
      </c>
      <c r="AZ20" s="20">
        <v>14.59</v>
      </c>
      <c r="BA20" s="7"/>
      <c r="BB20" s="7">
        <v>9.4309</v>
      </c>
      <c r="BC20" s="20">
        <v>14.72</v>
      </c>
      <c r="BD20" s="7"/>
      <c r="BE20" s="7">
        <v>9.3049</v>
      </c>
      <c r="BF20" s="20">
        <v>15.07</v>
      </c>
      <c r="BG20" s="7"/>
      <c r="BH20" s="22">
        <v>9.3049</v>
      </c>
      <c r="BI20" s="23">
        <v>15.07</v>
      </c>
      <c r="BJ20" s="7"/>
      <c r="BK20" s="22">
        <v>9.2944</v>
      </c>
      <c r="BL20" s="23">
        <v>15.08</v>
      </c>
      <c r="BM20" s="7"/>
      <c r="BN20" s="22">
        <v>9.3172</v>
      </c>
      <c r="BO20" s="23">
        <v>15.04</v>
      </c>
      <c r="BP20" s="7"/>
      <c r="BQ20" s="7">
        <f t="shared" si="0"/>
        <v>9.456272727272728</v>
      </c>
      <c r="BR20" s="7">
        <f t="shared" si="1"/>
        <v>14.602727272727275</v>
      </c>
      <c r="BS20" s="50"/>
      <c r="BT20" s="50"/>
      <c r="BU20" s="54"/>
      <c r="BV20" s="54"/>
    </row>
    <row r="21" spans="1:74" ht="15.75">
      <c r="A21" s="18">
        <v>10</v>
      </c>
      <c r="B21" s="19" t="s">
        <v>32</v>
      </c>
      <c r="C21" s="7">
        <v>7.6528</v>
      </c>
      <c r="D21" s="20">
        <v>18.09</v>
      </c>
      <c r="E21" s="7"/>
      <c r="F21" s="7">
        <v>7.5928</v>
      </c>
      <c r="G21" s="20">
        <v>18.11</v>
      </c>
      <c r="H21" s="7"/>
      <c r="I21" s="7">
        <v>7.6284</v>
      </c>
      <c r="J21" s="20">
        <v>17.96</v>
      </c>
      <c r="K21" s="7"/>
      <c r="L21" s="7">
        <v>7.7712</v>
      </c>
      <c r="M21" s="20">
        <v>17.67</v>
      </c>
      <c r="N21" s="7"/>
      <c r="O21" s="7">
        <v>7.7806</v>
      </c>
      <c r="P21" s="20">
        <v>17.64</v>
      </c>
      <c r="Q21" s="7"/>
      <c r="R21" s="7">
        <v>7.714</v>
      </c>
      <c r="S21" s="20">
        <v>17.8</v>
      </c>
      <c r="T21" s="7"/>
      <c r="U21" s="7">
        <v>7.663</v>
      </c>
      <c r="V21" s="20">
        <v>17.93</v>
      </c>
      <c r="W21" s="7"/>
      <c r="X21" s="7">
        <v>7.661</v>
      </c>
      <c r="Y21" s="20">
        <v>17.97</v>
      </c>
      <c r="Z21" s="7"/>
      <c r="AA21" s="7">
        <v>7.5993</v>
      </c>
      <c r="AB21" s="20">
        <v>18.09</v>
      </c>
      <c r="AC21" s="7"/>
      <c r="AD21" s="7">
        <v>7.5317</v>
      </c>
      <c r="AE21" s="7">
        <v>18.23</v>
      </c>
      <c r="AF21" s="7"/>
      <c r="AG21" s="7">
        <v>7.6058</v>
      </c>
      <c r="AH21" s="20">
        <v>18.1</v>
      </c>
      <c r="AI21" s="7"/>
      <c r="AJ21" s="7">
        <v>7.5451</v>
      </c>
      <c r="AK21" s="20">
        <v>18.21</v>
      </c>
      <c r="AL21" s="7"/>
      <c r="AM21" s="7">
        <v>7.5102</v>
      </c>
      <c r="AN21" s="20">
        <v>18.26</v>
      </c>
      <c r="AO21" s="7"/>
      <c r="AP21" s="7">
        <v>7.5226</v>
      </c>
      <c r="AQ21" s="20">
        <v>18.26</v>
      </c>
      <c r="AR21" s="7"/>
      <c r="AS21" s="7">
        <v>7.5147</v>
      </c>
      <c r="AT21" s="20">
        <v>18.29</v>
      </c>
      <c r="AU21" s="7"/>
      <c r="AV21" s="7">
        <v>7.5688</v>
      </c>
      <c r="AW21" s="20">
        <v>18.2</v>
      </c>
      <c r="AX21" s="7"/>
      <c r="AY21" s="7">
        <v>7.6266</v>
      </c>
      <c r="AZ21" s="20">
        <v>18.15</v>
      </c>
      <c r="BA21" s="7"/>
      <c r="BB21" s="7">
        <v>7.622</v>
      </c>
      <c r="BC21" s="20">
        <v>18.22</v>
      </c>
      <c r="BD21" s="7"/>
      <c r="BE21" s="7">
        <v>7.529</v>
      </c>
      <c r="BF21" s="20">
        <v>18.63</v>
      </c>
      <c r="BG21" s="7"/>
      <c r="BH21" s="22">
        <v>7.529</v>
      </c>
      <c r="BI21" s="23">
        <v>18.63</v>
      </c>
      <c r="BJ21" s="7"/>
      <c r="BK21" s="22">
        <v>7.5032</v>
      </c>
      <c r="BL21" s="23">
        <v>18.68</v>
      </c>
      <c r="BM21" s="7"/>
      <c r="BN21" s="22">
        <v>7.4957</v>
      </c>
      <c r="BO21" s="23">
        <v>18.69</v>
      </c>
      <c r="BP21" s="7"/>
      <c r="BQ21" s="7">
        <f t="shared" si="0"/>
        <v>7.598522727272726</v>
      </c>
      <c r="BR21" s="7">
        <f t="shared" si="1"/>
        <v>18.173181818181817</v>
      </c>
      <c r="BS21" s="50"/>
      <c r="BT21" s="50"/>
      <c r="BU21" s="54"/>
      <c r="BV21" s="54"/>
    </row>
    <row r="22" spans="1:74" ht="15.75">
      <c r="A22" s="18">
        <v>11</v>
      </c>
      <c r="B22" s="19" t="s">
        <v>33</v>
      </c>
      <c r="C22" s="7">
        <v>7.6301</v>
      </c>
      <c r="D22" s="20">
        <v>18.15</v>
      </c>
      <c r="E22" s="7"/>
      <c r="F22" s="7">
        <v>7.5155</v>
      </c>
      <c r="G22" s="20">
        <v>18.3</v>
      </c>
      <c r="H22" s="7"/>
      <c r="I22" s="7">
        <v>7.5368</v>
      </c>
      <c r="J22" s="20">
        <v>17.17</v>
      </c>
      <c r="K22" s="7"/>
      <c r="L22" s="7">
        <v>7.6665</v>
      </c>
      <c r="M22" s="20">
        <v>17.91</v>
      </c>
      <c r="N22" s="7"/>
      <c r="O22" s="7">
        <v>7.676</v>
      </c>
      <c r="P22" s="20">
        <v>17.88</v>
      </c>
      <c r="Q22" s="7"/>
      <c r="R22" s="7">
        <v>7.6636</v>
      </c>
      <c r="S22" s="20">
        <v>17.92</v>
      </c>
      <c r="T22" s="7"/>
      <c r="U22" s="7">
        <v>7.6285</v>
      </c>
      <c r="V22" s="20">
        <v>18.01</v>
      </c>
      <c r="W22" s="7"/>
      <c r="X22" s="7">
        <v>7.6221</v>
      </c>
      <c r="Y22" s="20">
        <v>18.06</v>
      </c>
      <c r="Z22" s="7"/>
      <c r="AA22" s="7">
        <v>7.5855</v>
      </c>
      <c r="AB22" s="20">
        <v>18.13</v>
      </c>
      <c r="AC22" s="7"/>
      <c r="AD22" s="7">
        <v>7.5094</v>
      </c>
      <c r="AE22" s="7">
        <v>18.29</v>
      </c>
      <c r="AF22" s="7"/>
      <c r="AG22" s="7">
        <v>7.6095</v>
      </c>
      <c r="AH22" s="20">
        <v>18.09</v>
      </c>
      <c r="AI22" s="7"/>
      <c r="AJ22" s="7">
        <v>7.5675</v>
      </c>
      <c r="AK22" s="20">
        <v>18.16</v>
      </c>
      <c r="AL22" s="7"/>
      <c r="AM22" s="7">
        <v>7.5505</v>
      </c>
      <c r="AN22" s="20">
        <v>18.16</v>
      </c>
      <c r="AO22" s="7"/>
      <c r="AP22" s="7">
        <v>7.5865</v>
      </c>
      <c r="AQ22" s="20">
        <v>18.11</v>
      </c>
      <c r="AR22" s="7"/>
      <c r="AS22" s="7">
        <v>7.5665</v>
      </c>
      <c r="AT22" s="20">
        <v>18.17</v>
      </c>
      <c r="AU22" s="7"/>
      <c r="AV22" s="7">
        <v>7.5995</v>
      </c>
      <c r="AW22" s="20">
        <v>18.13</v>
      </c>
      <c r="AX22" s="7"/>
      <c r="AY22" s="7">
        <v>7.6686</v>
      </c>
      <c r="AZ22" s="20">
        <v>18.05</v>
      </c>
      <c r="BA22" s="7"/>
      <c r="BB22" s="7">
        <v>7.649</v>
      </c>
      <c r="BC22" s="20">
        <v>18.15</v>
      </c>
      <c r="BD22" s="7"/>
      <c r="BE22" s="7">
        <v>7.5714</v>
      </c>
      <c r="BF22" s="20">
        <v>18.52</v>
      </c>
      <c r="BG22" s="7"/>
      <c r="BH22" s="22">
        <v>7.5714</v>
      </c>
      <c r="BI22" s="23">
        <v>18.52</v>
      </c>
      <c r="BJ22" s="7"/>
      <c r="BK22" s="22">
        <v>7.5391</v>
      </c>
      <c r="BL22" s="23">
        <v>18.59</v>
      </c>
      <c r="BM22" s="7"/>
      <c r="BN22" s="22">
        <v>7.5366</v>
      </c>
      <c r="BO22" s="23">
        <v>18.59</v>
      </c>
      <c r="BP22" s="7"/>
      <c r="BQ22" s="7">
        <f t="shared" si="0"/>
        <v>7.593186363636364</v>
      </c>
      <c r="BR22" s="7">
        <f t="shared" si="1"/>
        <v>18.139090909090903</v>
      </c>
      <c r="BS22" s="50"/>
      <c r="BT22" s="50"/>
      <c r="BU22" s="54"/>
      <c r="BV22" s="54"/>
    </row>
    <row r="23" spans="1:74" ht="15.75">
      <c r="A23" s="18">
        <v>12</v>
      </c>
      <c r="B23" s="19" t="s">
        <v>36</v>
      </c>
      <c r="C23" s="7">
        <f>1/1.32248</f>
        <v>0.7561551025346318</v>
      </c>
      <c r="D23" s="20">
        <v>183.12</v>
      </c>
      <c r="E23" s="7"/>
      <c r="F23" s="7">
        <f>1/1.31887</f>
        <v>0.7582248439952384</v>
      </c>
      <c r="G23" s="20">
        <v>181.34</v>
      </c>
      <c r="H23" s="7"/>
      <c r="I23" s="7">
        <f>1/1.32961</f>
        <v>0.7521002399199765</v>
      </c>
      <c r="J23" s="20">
        <v>182.12</v>
      </c>
      <c r="K23" s="7"/>
      <c r="L23" s="7">
        <f>1/1.32961</f>
        <v>0.7521002399199765</v>
      </c>
      <c r="M23" s="20">
        <v>182.55</v>
      </c>
      <c r="N23" s="7"/>
      <c r="O23" s="7">
        <f>1/1.31488</f>
        <v>0.7605256753467997</v>
      </c>
      <c r="P23" s="20">
        <v>180.43</v>
      </c>
      <c r="Q23" s="7"/>
      <c r="R23" s="7">
        <f>1/1.31457</f>
        <v>0.7607050214138463</v>
      </c>
      <c r="S23" s="20">
        <v>180.5</v>
      </c>
      <c r="T23" s="7"/>
      <c r="U23" s="7">
        <f>1/1.31302</f>
        <v>0.7616030220407914</v>
      </c>
      <c r="V23" s="20">
        <v>180.41</v>
      </c>
      <c r="W23" s="7"/>
      <c r="X23" s="7">
        <f>1/1.31575</f>
        <v>0.7600228006840205</v>
      </c>
      <c r="Y23" s="20">
        <v>181.09</v>
      </c>
      <c r="Z23" s="7"/>
      <c r="AA23" s="7">
        <f>1/1.31803</f>
        <v>0.7587080718951769</v>
      </c>
      <c r="AB23" s="20">
        <v>181.22</v>
      </c>
      <c r="AC23" s="7"/>
      <c r="AD23" s="7">
        <f>1/1.32128</f>
        <v>0.7568418503269557</v>
      </c>
      <c r="AE23" s="7">
        <v>181.44</v>
      </c>
      <c r="AF23" s="7"/>
      <c r="AG23" s="7">
        <f>1/1.32952</f>
        <v>0.7521511522955653</v>
      </c>
      <c r="AH23" s="20">
        <v>183.01</v>
      </c>
      <c r="AI23" s="7"/>
      <c r="AJ23" s="7">
        <f>1/1.32281</f>
        <v>0.755966465327598</v>
      </c>
      <c r="AK23" s="20">
        <v>181.77</v>
      </c>
      <c r="AL23" s="7"/>
      <c r="AM23" s="7">
        <f>1/1.32473</f>
        <v>0.7548708038619191</v>
      </c>
      <c r="AN23" s="20">
        <v>181.62</v>
      </c>
      <c r="AO23" s="7"/>
      <c r="AP23" s="7">
        <f>1/1.32304</f>
        <v>0.7558350465594389</v>
      </c>
      <c r="AQ23" s="20">
        <v>181.79</v>
      </c>
      <c r="AR23" s="7"/>
      <c r="AS23" s="7">
        <f>1/1.3197</f>
        <v>0.7577479730241721</v>
      </c>
      <c r="AT23" s="20">
        <v>181.39</v>
      </c>
      <c r="AU23" s="7"/>
      <c r="AV23" s="7">
        <f>1/1.32119</f>
        <v>0.7568934067015342</v>
      </c>
      <c r="AW23" s="20">
        <v>182.02</v>
      </c>
      <c r="AX23" s="7"/>
      <c r="AY23" s="7">
        <f>1/1.32014</f>
        <v>0.7574954171527262</v>
      </c>
      <c r="AZ23" s="20">
        <v>182.69</v>
      </c>
      <c r="BA23" s="7"/>
      <c r="BB23" s="7">
        <f>1/1.31417</f>
        <v>0.7609365607189328</v>
      </c>
      <c r="BC23" s="20">
        <v>182.47</v>
      </c>
      <c r="BD23" s="7"/>
      <c r="BE23" s="7">
        <f>1/1.32053</f>
        <v>0.7572717015137861</v>
      </c>
      <c r="BF23" s="20">
        <v>185.2</v>
      </c>
      <c r="BG23" s="7"/>
      <c r="BH23" s="22">
        <f>1/1.32053</f>
        <v>0.7572717015137861</v>
      </c>
      <c r="BI23" s="23">
        <v>185.2</v>
      </c>
      <c r="BJ23" s="7"/>
      <c r="BK23" s="22">
        <f>1/1.32274</f>
        <v>0.7560064714153953</v>
      </c>
      <c r="BL23" s="23">
        <v>185.39</v>
      </c>
      <c r="BM23" s="7"/>
      <c r="BN23" s="22">
        <f>1/1.32649</f>
        <v>0.7538692338426977</v>
      </c>
      <c r="BO23" s="23">
        <v>185.84</v>
      </c>
      <c r="BP23" s="7"/>
      <c r="BQ23" s="7">
        <f t="shared" si="0"/>
        <v>0.7569683091820439</v>
      </c>
      <c r="BR23" s="7">
        <f t="shared" si="1"/>
        <v>182.39136363636362</v>
      </c>
      <c r="BS23" s="50"/>
      <c r="BT23" s="50"/>
      <c r="BU23" s="54"/>
      <c r="BV23" s="54"/>
    </row>
    <row r="24" spans="1:74" ht="16.5" thickBot="1">
      <c r="A24" s="26">
        <v>13</v>
      </c>
      <c r="B24" s="27" t="s">
        <v>38</v>
      </c>
      <c r="C24" s="28">
        <v>1</v>
      </c>
      <c r="D24" s="29">
        <v>138.47</v>
      </c>
      <c r="E24" s="28"/>
      <c r="F24" s="28">
        <v>1</v>
      </c>
      <c r="G24" s="29">
        <v>137.5</v>
      </c>
      <c r="H24" s="28"/>
      <c r="I24" s="28">
        <v>1</v>
      </c>
      <c r="J24" s="29">
        <v>136.97</v>
      </c>
      <c r="K24" s="28"/>
      <c r="L24" s="28">
        <v>1</v>
      </c>
      <c r="M24" s="29">
        <v>137.29</v>
      </c>
      <c r="N24" s="28"/>
      <c r="O24" s="28">
        <v>1</v>
      </c>
      <c r="P24" s="29">
        <v>137.22</v>
      </c>
      <c r="Q24" s="28"/>
      <c r="R24" s="28">
        <v>1</v>
      </c>
      <c r="S24" s="29">
        <v>137.31</v>
      </c>
      <c r="T24" s="28"/>
      <c r="U24" s="28">
        <v>1</v>
      </c>
      <c r="V24" s="29">
        <v>137.4</v>
      </c>
      <c r="W24" s="28"/>
      <c r="X24" s="28">
        <v>1</v>
      </c>
      <c r="Y24" s="29">
        <v>137.63</v>
      </c>
      <c r="Z24" s="28"/>
      <c r="AA24" s="28">
        <v>1</v>
      </c>
      <c r="AB24" s="29">
        <v>137.49</v>
      </c>
      <c r="AC24" s="28"/>
      <c r="AD24" s="28">
        <v>1</v>
      </c>
      <c r="AE24" s="28">
        <v>137.32</v>
      </c>
      <c r="AF24" s="28"/>
      <c r="AG24" s="28">
        <v>1</v>
      </c>
      <c r="AH24" s="29">
        <v>137.65</v>
      </c>
      <c r="AI24" s="28"/>
      <c r="AJ24" s="28">
        <v>1</v>
      </c>
      <c r="AK24" s="29">
        <v>137.41</v>
      </c>
      <c r="AL24" s="28"/>
      <c r="AM24" s="28">
        <v>1</v>
      </c>
      <c r="AN24" s="29">
        <v>137.1</v>
      </c>
      <c r="AO24" s="28"/>
      <c r="AP24" s="28">
        <v>1</v>
      </c>
      <c r="AQ24" s="29">
        <v>137.4</v>
      </c>
      <c r="AR24" s="28"/>
      <c r="AS24" s="28">
        <v>1</v>
      </c>
      <c r="AT24" s="29">
        <v>137.45</v>
      </c>
      <c r="AU24" s="28"/>
      <c r="AV24" s="28">
        <v>1</v>
      </c>
      <c r="AW24" s="29">
        <v>137.77</v>
      </c>
      <c r="AX24" s="28"/>
      <c r="AY24" s="28">
        <v>1</v>
      </c>
      <c r="AZ24" s="29">
        <v>138.39</v>
      </c>
      <c r="BA24" s="28"/>
      <c r="BB24" s="28">
        <v>1</v>
      </c>
      <c r="BC24" s="29">
        <v>138.85</v>
      </c>
      <c r="BD24" s="28"/>
      <c r="BE24" s="28">
        <v>1</v>
      </c>
      <c r="BF24" s="29">
        <v>140.24</v>
      </c>
      <c r="BG24" s="28"/>
      <c r="BH24" s="32">
        <v>1</v>
      </c>
      <c r="BI24" s="33">
        <v>140.24</v>
      </c>
      <c r="BJ24" s="28"/>
      <c r="BK24" s="32">
        <v>1</v>
      </c>
      <c r="BL24" s="33">
        <v>140.16</v>
      </c>
      <c r="BM24" s="28"/>
      <c r="BN24" s="32">
        <v>1</v>
      </c>
      <c r="BO24" s="33">
        <v>140.1</v>
      </c>
      <c r="BP24" s="28"/>
      <c r="BQ24" s="31">
        <f t="shared" si="0"/>
        <v>1</v>
      </c>
      <c r="BR24" s="31">
        <f t="shared" si="1"/>
        <v>138.06181818181815</v>
      </c>
      <c r="BS24" s="50"/>
      <c r="BT24" s="50"/>
      <c r="BU24" s="54"/>
      <c r="BV24" s="54"/>
    </row>
    <row r="25" spans="1:74" ht="15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7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H25" s="11"/>
      <c r="BI25" s="11"/>
      <c r="BJ25" s="11"/>
      <c r="BK25" s="11"/>
      <c r="BL25" s="11"/>
      <c r="BM25" s="11"/>
      <c r="BN25" s="11"/>
      <c r="BO25" s="11"/>
      <c r="BP25" s="11"/>
      <c r="BQ25" s="35"/>
      <c r="BR25" s="35"/>
      <c r="BS25" s="50"/>
      <c r="BT25" s="52"/>
      <c r="BU25" s="52"/>
      <c r="BV25" s="52"/>
    </row>
    <row r="26" spans="2:69" ht="15.75">
      <c r="B26" s="36"/>
      <c r="BM26" s="40"/>
      <c r="BN26" s="40"/>
      <c r="BO26" s="40"/>
      <c r="BP26" s="40"/>
      <c r="BQ26" s="40"/>
    </row>
    <row r="27" ht="15.75">
      <c r="B27" s="36"/>
    </row>
    <row r="28" ht="15.75">
      <c r="B28" s="36"/>
    </row>
    <row r="29" ht="15.75">
      <c r="B29" s="36"/>
    </row>
    <row r="30" ht="15.75">
      <c r="B30" s="36"/>
    </row>
    <row r="31" ht="15.75">
      <c r="B31" s="36"/>
    </row>
    <row r="32" ht="15.75">
      <c r="B32" s="36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2"/>
  <sheetViews>
    <sheetView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12" sqref="E12"/>
    </sheetView>
  </sheetViews>
  <sheetFormatPr defaultColWidth="9.140625" defaultRowHeight="12.75"/>
  <cols>
    <col min="1" max="1" width="4.28125" style="10" customWidth="1"/>
    <col min="2" max="2" width="34.00390625" style="10" bestFit="1" customWidth="1"/>
    <col min="3" max="3" width="10.421875" style="10" customWidth="1"/>
    <col min="4" max="4" width="10.7109375" style="10" customWidth="1"/>
    <col min="5" max="5" width="9.140625" style="10" customWidth="1"/>
    <col min="6" max="6" width="10.421875" style="10" customWidth="1"/>
    <col min="7" max="7" width="10.8515625" style="10" customWidth="1"/>
    <col min="8" max="8" width="9.140625" style="10" customWidth="1"/>
    <col min="9" max="9" width="10.421875" style="10" customWidth="1"/>
    <col min="10" max="10" width="11.00390625" style="10" customWidth="1"/>
    <col min="11" max="11" width="9.140625" style="10" customWidth="1"/>
    <col min="12" max="12" width="10.421875" style="10" customWidth="1"/>
    <col min="13" max="13" width="10.8515625" style="10" customWidth="1"/>
    <col min="14" max="14" width="9.140625" style="10" customWidth="1"/>
    <col min="15" max="15" width="10.421875" style="10" customWidth="1"/>
    <col min="16" max="16" width="10.8515625" style="10" customWidth="1"/>
    <col min="17" max="17" width="9.140625" style="10" customWidth="1"/>
    <col min="18" max="18" width="10.421875" style="10" customWidth="1"/>
    <col min="19" max="19" width="11.140625" style="10" customWidth="1"/>
    <col min="20" max="20" width="9.140625" style="10" customWidth="1"/>
    <col min="21" max="22" width="10.421875" style="10" customWidth="1"/>
    <col min="23" max="23" width="9.140625" style="10" customWidth="1"/>
    <col min="24" max="24" width="10.421875" style="10" customWidth="1"/>
    <col min="25" max="25" width="10.57421875" style="10" customWidth="1"/>
    <col min="26" max="26" width="9.140625" style="10" customWidth="1"/>
    <col min="27" max="27" width="10.421875" style="10" customWidth="1"/>
    <col min="28" max="28" width="10.28125" style="10" customWidth="1"/>
    <col min="29" max="29" width="9.140625" style="10" customWidth="1"/>
    <col min="30" max="30" width="10.421875" style="10" customWidth="1"/>
    <col min="31" max="31" width="11.28125" style="10" customWidth="1"/>
    <col min="32" max="32" width="9.140625" style="10" customWidth="1"/>
    <col min="33" max="33" width="10.421875" style="10" customWidth="1"/>
    <col min="34" max="34" width="10.140625" style="10" customWidth="1"/>
    <col min="35" max="35" width="9.140625" style="10" customWidth="1"/>
    <col min="36" max="36" width="10.421875" style="10" customWidth="1"/>
    <col min="37" max="37" width="10.7109375" style="10" customWidth="1"/>
    <col min="38" max="38" width="9.140625" style="10" customWidth="1"/>
    <col min="39" max="39" width="10.421875" style="10" customWidth="1"/>
    <col min="40" max="40" width="10.28125" style="10" customWidth="1"/>
    <col min="41" max="41" width="9.140625" style="10" customWidth="1"/>
    <col min="42" max="42" width="10.421875" style="10" customWidth="1"/>
    <col min="43" max="43" width="10.7109375" style="10" customWidth="1"/>
    <col min="44" max="44" width="9.140625" style="10" customWidth="1"/>
    <col min="45" max="45" width="10.421875" style="10" customWidth="1"/>
    <col min="46" max="46" width="10.140625" style="10" customWidth="1"/>
    <col min="47" max="47" width="9.140625" style="10" customWidth="1"/>
    <col min="48" max="48" width="10.421875" style="10" customWidth="1"/>
    <col min="49" max="49" width="10.140625" style="10" customWidth="1"/>
    <col min="50" max="50" width="9.140625" style="10" customWidth="1"/>
    <col min="51" max="51" width="10.421875" style="10" customWidth="1"/>
    <col min="52" max="52" width="10.28125" style="10" customWidth="1"/>
    <col min="53" max="53" width="9.140625" style="10" customWidth="1"/>
    <col min="54" max="54" width="10.421875" style="10" customWidth="1"/>
    <col min="55" max="55" width="10.140625" style="10" customWidth="1"/>
    <col min="56" max="56" width="9.140625" style="10" customWidth="1"/>
    <col min="57" max="57" width="10.421875" style="10" customWidth="1"/>
    <col min="58" max="58" width="10.28125" style="10" customWidth="1"/>
    <col min="59" max="59" width="9.140625" style="10" customWidth="1"/>
    <col min="60" max="60" width="9.8515625" style="10" customWidth="1"/>
    <col min="61" max="61" width="10.421875" style="10" customWidth="1"/>
    <col min="62" max="62" width="9.140625" style="10" customWidth="1"/>
    <col min="63" max="63" width="11.57421875" style="10" customWidth="1"/>
    <col min="64" max="64" width="11.8515625" style="10" customWidth="1"/>
    <col min="65" max="65" width="9.140625" style="10" customWidth="1"/>
    <col min="66" max="66" width="10.421875" style="10" customWidth="1"/>
    <col min="67" max="67" width="13.00390625" style="10" customWidth="1"/>
    <col min="68" max="69" width="9.140625" style="10" customWidth="1"/>
    <col min="70" max="70" width="10.8515625" style="10" customWidth="1"/>
    <col min="71" max="71" width="11.57421875" style="10" customWidth="1"/>
    <col min="72" max="16384" width="9.140625" style="10" customWidth="1"/>
  </cols>
  <sheetData>
    <row r="1" spans="1:66" ht="15.75">
      <c r="A1" s="6"/>
      <c r="B1" s="4" t="s">
        <v>84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8" t="s">
        <v>1</v>
      </c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9"/>
      <c r="BI1" s="9"/>
      <c r="BJ1" s="9"/>
      <c r="BK1" s="9"/>
      <c r="BL1" s="9"/>
      <c r="BM1" s="9"/>
      <c r="BN1" s="9"/>
    </row>
    <row r="2" spans="1:66" ht="15.75">
      <c r="A2" s="7"/>
      <c r="B2" s="5" t="s">
        <v>216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11"/>
      <c r="BI2" s="11"/>
      <c r="BJ2" s="11"/>
      <c r="BK2" s="11"/>
      <c r="BL2" s="11"/>
      <c r="BM2" s="11"/>
      <c r="BN2" s="11"/>
    </row>
    <row r="3" spans="1:75" ht="15.75">
      <c r="A3" s="8" t="s">
        <v>2</v>
      </c>
      <c r="B3" s="7"/>
      <c r="C3" s="6" t="s">
        <v>217</v>
      </c>
      <c r="D3" s="12"/>
      <c r="E3" s="12"/>
      <c r="F3" s="6" t="s">
        <v>218</v>
      </c>
      <c r="G3" s="12"/>
      <c r="H3" s="12"/>
      <c r="I3" s="6" t="s">
        <v>219</v>
      </c>
      <c r="J3" s="12"/>
      <c r="K3" s="12"/>
      <c r="L3" s="6" t="s">
        <v>220</v>
      </c>
      <c r="M3" s="12"/>
      <c r="N3" s="12"/>
      <c r="O3" s="6" t="s">
        <v>221</v>
      </c>
      <c r="P3" s="12"/>
      <c r="Q3" s="12"/>
      <c r="R3" s="6" t="s">
        <v>222</v>
      </c>
      <c r="S3" s="12"/>
      <c r="T3" s="12"/>
      <c r="U3" s="6" t="s">
        <v>223</v>
      </c>
      <c r="V3" s="12"/>
      <c r="W3" s="12"/>
      <c r="X3" s="6" t="s">
        <v>224</v>
      </c>
      <c r="Y3" s="12"/>
      <c r="Z3" s="12"/>
      <c r="AA3" s="6" t="s">
        <v>225</v>
      </c>
      <c r="AB3" s="12"/>
      <c r="AC3" s="12"/>
      <c r="AD3" s="6" t="s">
        <v>226</v>
      </c>
      <c r="AE3" s="12"/>
      <c r="AF3" s="12"/>
      <c r="AG3" s="6" t="s">
        <v>227</v>
      </c>
      <c r="AH3" s="12"/>
      <c r="AI3" s="12"/>
      <c r="AJ3" s="6" t="s">
        <v>228</v>
      </c>
      <c r="AK3" s="12"/>
      <c r="AL3" s="12"/>
      <c r="AM3" s="6" t="s">
        <v>229</v>
      </c>
      <c r="AN3" s="12"/>
      <c r="AO3" s="12"/>
      <c r="AP3" s="6" t="s">
        <v>230</v>
      </c>
      <c r="AQ3" s="12"/>
      <c r="AR3" s="12"/>
      <c r="AS3" s="6" t="s">
        <v>231</v>
      </c>
      <c r="AT3" s="12"/>
      <c r="AU3" s="12"/>
      <c r="AV3" s="6" t="s">
        <v>232</v>
      </c>
      <c r="AW3" s="12"/>
      <c r="AX3" s="12"/>
      <c r="AY3" s="6" t="s">
        <v>233</v>
      </c>
      <c r="AZ3" s="12"/>
      <c r="BA3" s="12"/>
      <c r="BB3" s="6" t="s">
        <v>234</v>
      </c>
      <c r="BC3" s="12"/>
      <c r="BD3" s="12"/>
      <c r="BE3" s="6" t="s">
        <v>235</v>
      </c>
      <c r="BF3" s="12"/>
      <c r="BG3" s="12"/>
      <c r="BH3" s="6" t="s">
        <v>236</v>
      </c>
      <c r="BI3" s="12"/>
      <c r="BJ3" s="12"/>
      <c r="BK3" s="6" t="s">
        <v>237</v>
      </c>
      <c r="BL3" s="12"/>
      <c r="BM3" s="6" t="s">
        <v>40</v>
      </c>
      <c r="BN3" s="6"/>
      <c r="BO3" s="6"/>
      <c r="BP3" s="37"/>
      <c r="BQ3" s="38"/>
      <c r="BR3" s="38"/>
      <c r="BS3" s="37"/>
      <c r="BT3" s="49"/>
      <c r="BU3" s="48"/>
      <c r="BV3" s="48"/>
      <c r="BW3" s="49"/>
    </row>
    <row r="4" spans="1:75" ht="16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11"/>
      <c r="BQ4" s="11"/>
      <c r="BR4" s="11"/>
      <c r="BS4" s="11"/>
      <c r="BT4" s="50"/>
      <c r="BU4" s="50"/>
      <c r="BV4" s="50"/>
      <c r="BW4" s="50"/>
    </row>
    <row r="5" spans="1:75" ht="16.5" thickTop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1"/>
      <c r="BQ5" s="11"/>
      <c r="BR5" s="11"/>
      <c r="BS5" s="11"/>
      <c r="BT5" s="50"/>
      <c r="BU5" s="50"/>
      <c r="BV5" s="50"/>
      <c r="BW5" s="50"/>
    </row>
    <row r="6" spans="1:75" ht="15.75">
      <c r="A6" s="12"/>
      <c r="B6" s="7"/>
      <c r="C6" s="14" t="s">
        <v>4</v>
      </c>
      <c r="D6" s="14" t="s">
        <v>4</v>
      </c>
      <c r="E6" s="14"/>
      <c r="F6" s="14" t="s">
        <v>4</v>
      </c>
      <c r="G6" s="14" t="s">
        <v>4</v>
      </c>
      <c r="H6" s="14"/>
      <c r="I6" s="14" t="s">
        <v>4</v>
      </c>
      <c r="J6" s="14" t="s">
        <v>4</v>
      </c>
      <c r="K6" s="14"/>
      <c r="L6" s="14" t="s">
        <v>4</v>
      </c>
      <c r="M6" s="14" t="s">
        <v>4</v>
      </c>
      <c r="N6" s="14"/>
      <c r="O6" s="14" t="s">
        <v>4</v>
      </c>
      <c r="P6" s="14" t="s">
        <v>4</v>
      </c>
      <c r="Q6" s="14"/>
      <c r="R6" s="14" t="s">
        <v>4</v>
      </c>
      <c r="S6" s="14" t="s">
        <v>4</v>
      </c>
      <c r="T6" s="14"/>
      <c r="U6" s="14" t="s">
        <v>4</v>
      </c>
      <c r="V6" s="14" t="s">
        <v>4</v>
      </c>
      <c r="W6" s="14"/>
      <c r="X6" s="14" t="s">
        <v>4</v>
      </c>
      <c r="Y6" s="14" t="s">
        <v>4</v>
      </c>
      <c r="Z6" s="14"/>
      <c r="AA6" s="14" t="s">
        <v>4</v>
      </c>
      <c r="AB6" s="14" t="s">
        <v>4</v>
      </c>
      <c r="AC6" s="14"/>
      <c r="AD6" s="14" t="s">
        <v>4</v>
      </c>
      <c r="AE6" s="14" t="s">
        <v>4</v>
      </c>
      <c r="AF6" s="14"/>
      <c r="AG6" s="14" t="s">
        <v>4</v>
      </c>
      <c r="AH6" s="14" t="s">
        <v>4</v>
      </c>
      <c r="AI6" s="14"/>
      <c r="AJ6" s="14" t="s">
        <v>4</v>
      </c>
      <c r="AK6" s="14" t="s">
        <v>4</v>
      </c>
      <c r="AL6" s="14"/>
      <c r="AM6" s="14" t="s">
        <v>4</v>
      </c>
      <c r="AN6" s="14" t="s">
        <v>4</v>
      </c>
      <c r="AO6" s="14"/>
      <c r="AP6" s="14" t="s">
        <v>4</v>
      </c>
      <c r="AQ6" s="14" t="s">
        <v>4</v>
      </c>
      <c r="AR6" s="14"/>
      <c r="AS6" s="14" t="s">
        <v>4</v>
      </c>
      <c r="AT6" s="14" t="s">
        <v>4</v>
      </c>
      <c r="AU6" s="14"/>
      <c r="AV6" s="14" t="s">
        <v>4</v>
      </c>
      <c r="AW6" s="14" t="s">
        <v>4</v>
      </c>
      <c r="AX6" s="14"/>
      <c r="AY6" s="14" t="s">
        <v>4</v>
      </c>
      <c r="AZ6" s="14" t="s">
        <v>4</v>
      </c>
      <c r="BA6" s="14"/>
      <c r="BB6" s="14" t="s">
        <v>4</v>
      </c>
      <c r="BC6" s="14" t="s">
        <v>4</v>
      </c>
      <c r="BD6" s="14"/>
      <c r="BE6" s="14" t="s">
        <v>4</v>
      </c>
      <c r="BF6" s="14" t="s">
        <v>4</v>
      </c>
      <c r="BG6" s="14"/>
      <c r="BH6" s="14" t="s">
        <v>4</v>
      </c>
      <c r="BI6" s="14" t="s">
        <v>4</v>
      </c>
      <c r="BJ6" s="14"/>
      <c r="BK6" s="14" t="s">
        <v>4</v>
      </c>
      <c r="BL6" s="14" t="s">
        <v>4</v>
      </c>
      <c r="BM6" s="14"/>
      <c r="BN6" s="14" t="s">
        <v>4</v>
      </c>
      <c r="BO6" s="14" t="s">
        <v>4</v>
      </c>
      <c r="BP6" s="41"/>
      <c r="BQ6" s="41"/>
      <c r="BR6" s="41"/>
      <c r="BS6" s="41"/>
      <c r="BT6" s="51"/>
      <c r="BU6" s="51"/>
      <c r="BV6" s="51"/>
      <c r="BW6" s="51"/>
    </row>
    <row r="7" spans="1:75" ht="15.75">
      <c r="A7" s="7"/>
      <c r="B7" s="15" t="s">
        <v>6</v>
      </c>
      <c r="C7" s="14" t="s">
        <v>7</v>
      </c>
      <c r="D7" s="14" t="s">
        <v>7</v>
      </c>
      <c r="E7" s="14"/>
      <c r="F7" s="14" t="s">
        <v>7</v>
      </c>
      <c r="G7" s="14" t="s">
        <v>7</v>
      </c>
      <c r="H7" s="14"/>
      <c r="I7" s="14" t="s">
        <v>7</v>
      </c>
      <c r="J7" s="14" t="s">
        <v>7</v>
      </c>
      <c r="K7" s="14"/>
      <c r="L7" s="14" t="s">
        <v>7</v>
      </c>
      <c r="M7" s="14" t="s">
        <v>7</v>
      </c>
      <c r="N7" s="14"/>
      <c r="O7" s="14" t="s">
        <v>7</v>
      </c>
      <c r="P7" s="14" t="s">
        <v>7</v>
      </c>
      <c r="Q7" s="14"/>
      <c r="R7" s="14" t="s">
        <v>7</v>
      </c>
      <c r="S7" s="14" t="s">
        <v>7</v>
      </c>
      <c r="T7" s="14"/>
      <c r="U7" s="14" t="s">
        <v>7</v>
      </c>
      <c r="V7" s="14" t="s">
        <v>7</v>
      </c>
      <c r="W7" s="14"/>
      <c r="X7" s="14" t="s">
        <v>7</v>
      </c>
      <c r="Y7" s="14" t="s">
        <v>7</v>
      </c>
      <c r="Z7" s="14"/>
      <c r="AA7" s="14" t="s">
        <v>7</v>
      </c>
      <c r="AB7" s="14" t="s">
        <v>7</v>
      </c>
      <c r="AC7" s="14"/>
      <c r="AD7" s="14" t="s">
        <v>7</v>
      </c>
      <c r="AE7" s="14" t="s">
        <v>7</v>
      </c>
      <c r="AF7" s="14"/>
      <c r="AG7" s="14" t="s">
        <v>7</v>
      </c>
      <c r="AH7" s="14" t="s">
        <v>7</v>
      </c>
      <c r="AI7" s="14"/>
      <c r="AJ7" s="14" t="s">
        <v>7</v>
      </c>
      <c r="AK7" s="14" t="s">
        <v>7</v>
      </c>
      <c r="AL7" s="14"/>
      <c r="AM7" s="14" t="s">
        <v>7</v>
      </c>
      <c r="AN7" s="14" t="s">
        <v>7</v>
      </c>
      <c r="AO7" s="14"/>
      <c r="AP7" s="14" t="s">
        <v>7</v>
      </c>
      <c r="AQ7" s="14" t="s">
        <v>7</v>
      </c>
      <c r="AR7" s="14"/>
      <c r="AS7" s="14" t="s">
        <v>7</v>
      </c>
      <c r="AT7" s="14" t="s">
        <v>7</v>
      </c>
      <c r="AU7" s="14"/>
      <c r="AV7" s="14" t="s">
        <v>7</v>
      </c>
      <c r="AW7" s="14" t="s">
        <v>7</v>
      </c>
      <c r="AX7" s="14"/>
      <c r="AY7" s="14" t="s">
        <v>7</v>
      </c>
      <c r="AZ7" s="14" t="s">
        <v>7</v>
      </c>
      <c r="BA7" s="14"/>
      <c r="BB7" s="14" t="s">
        <v>7</v>
      </c>
      <c r="BC7" s="14" t="s">
        <v>7</v>
      </c>
      <c r="BD7" s="14"/>
      <c r="BE7" s="14" t="s">
        <v>7</v>
      </c>
      <c r="BF7" s="14" t="s">
        <v>7</v>
      </c>
      <c r="BG7" s="14"/>
      <c r="BH7" s="14" t="s">
        <v>7</v>
      </c>
      <c r="BI7" s="14" t="s">
        <v>7</v>
      </c>
      <c r="BJ7" s="14"/>
      <c r="BK7" s="14" t="s">
        <v>7</v>
      </c>
      <c r="BL7" s="14" t="s">
        <v>7</v>
      </c>
      <c r="BM7" s="14"/>
      <c r="BN7" s="14" t="s">
        <v>7</v>
      </c>
      <c r="BO7" s="14" t="s">
        <v>7</v>
      </c>
      <c r="BP7" s="41"/>
      <c r="BQ7" s="41"/>
      <c r="BR7" s="41"/>
      <c r="BS7" s="41"/>
      <c r="BT7" s="51"/>
      <c r="BU7" s="51"/>
      <c r="BV7" s="51"/>
      <c r="BW7" s="51"/>
    </row>
    <row r="8" spans="1:75" ht="15.75">
      <c r="A8" s="7"/>
      <c r="B8" s="7"/>
      <c r="C8" s="14" t="s">
        <v>11</v>
      </c>
      <c r="D8" s="14" t="s">
        <v>10</v>
      </c>
      <c r="E8" s="14"/>
      <c r="F8" s="14" t="s">
        <v>11</v>
      </c>
      <c r="G8" s="14" t="s">
        <v>10</v>
      </c>
      <c r="H8" s="14"/>
      <c r="I8" s="14" t="s">
        <v>11</v>
      </c>
      <c r="J8" s="14" t="s">
        <v>10</v>
      </c>
      <c r="K8" s="14"/>
      <c r="L8" s="14" t="s">
        <v>11</v>
      </c>
      <c r="M8" s="14" t="s">
        <v>10</v>
      </c>
      <c r="N8" s="14"/>
      <c r="O8" s="14" t="s">
        <v>11</v>
      </c>
      <c r="P8" s="14" t="s">
        <v>10</v>
      </c>
      <c r="Q8" s="14"/>
      <c r="R8" s="14" t="s">
        <v>11</v>
      </c>
      <c r="S8" s="14" t="s">
        <v>10</v>
      </c>
      <c r="T8" s="14"/>
      <c r="U8" s="14" t="s">
        <v>11</v>
      </c>
      <c r="V8" s="14" t="s">
        <v>10</v>
      </c>
      <c r="W8" s="14"/>
      <c r="X8" s="14" t="s">
        <v>11</v>
      </c>
      <c r="Y8" s="14" t="s">
        <v>10</v>
      </c>
      <c r="Z8" s="14"/>
      <c r="AA8" s="14" t="s">
        <v>11</v>
      </c>
      <c r="AB8" s="14" t="s">
        <v>10</v>
      </c>
      <c r="AC8" s="14"/>
      <c r="AD8" s="14" t="s">
        <v>11</v>
      </c>
      <c r="AE8" s="14" t="s">
        <v>10</v>
      </c>
      <c r="AF8" s="14"/>
      <c r="AG8" s="14" t="s">
        <v>11</v>
      </c>
      <c r="AH8" s="14" t="s">
        <v>10</v>
      </c>
      <c r="AI8" s="14"/>
      <c r="AJ8" s="14" t="s">
        <v>11</v>
      </c>
      <c r="AK8" s="14" t="s">
        <v>10</v>
      </c>
      <c r="AL8" s="14"/>
      <c r="AM8" s="14" t="s">
        <v>11</v>
      </c>
      <c r="AN8" s="14" t="s">
        <v>10</v>
      </c>
      <c r="AO8" s="14"/>
      <c r="AP8" s="14" t="s">
        <v>11</v>
      </c>
      <c r="AQ8" s="14" t="s">
        <v>10</v>
      </c>
      <c r="AR8" s="14"/>
      <c r="AS8" s="14" t="s">
        <v>11</v>
      </c>
      <c r="AT8" s="14" t="s">
        <v>10</v>
      </c>
      <c r="AU8" s="14"/>
      <c r="AV8" s="14" t="s">
        <v>11</v>
      </c>
      <c r="AW8" s="14" t="s">
        <v>10</v>
      </c>
      <c r="AX8" s="14"/>
      <c r="AY8" s="14" t="s">
        <v>11</v>
      </c>
      <c r="AZ8" s="14" t="s">
        <v>10</v>
      </c>
      <c r="BA8" s="14"/>
      <c r="BB8" s="14" t="s">
        <v>11</v>
      </c>
      <c r="BC8" s="14" t="s">
        <v>10</v>
      </c>
      <c r="BD8" s="14"/>
      <c r="BE8" s="14" t="s">
        <v>11</v>
      </c>
      <c r="BF8" s="14" t="s">
        <v>10</v>
      </c>
      <c r="BG8" s="14"/>
      <c r="BH8" s="14" t="s">
        <v>11</v>
      </c>
      <c r="BI8" s="14" t="s">
        <v>10</v>
      </c>
      <c r="BJ8" s="14"/>
      <c r="BK8" s="14" t="s">
        <v>11</v>
      </c>
      <c r="BL8" s="14" t="s">
        <v>10</v>
      </c>
      <c r="BM8" s="14"/>
      <c r="BN8" s="14" t="s">
        <v>11</v>
      </c>
      <c r="BO8" s="14" t="s">
        <v>10</v>
      </c>
      <c r="BP8" s="41"/>
      <c r="BQ8" s="41"/>
      <c r="BR8" s="41"/>
      <c r="BS8" s="41"/>
      <c r="BT8" s="51"/>
      <c r="BU8" s="51"/>
      <c r="BV8" s="51"/>
      <c r="BW8" s="51"/>
    </row>
    <row r="9" spans="1:75" ht="15.75">
      <c r="A9" s="7"/>
      <c r="B9" s="7"/>
      <c r="C9" s="7"/>
      <c r="D9" s="14" t="s">
        <v>14</v>
      </c>
      <c r="E9" s="7"/>
      <c r="F9" s="7"/>
      <c r="G9" s="14" t="s">
        <v>14</v>
      </c>
      <c r="H9" s="7"/>
      <c r="I9" s="7"/>
      <c r="J9" s="14" t="s">
        <v>14</v>
      </c>
      <c r="K9" s="7"/>
      <c r="L9" s="7"/>
      <c r="M9" s="14" t="s">
        <v>14</v>
      </c>
      <c r="N9" s="7"/>
      <c r="O9" s="7"/>
      <c r="P9" s="14" t="s">
        <v>14</v>
      </c>
      <c r="Q9" s="7"/>
      <c r="R9" s="7"/>
      <c r="S9" s="14" t="s">
        <v>14</v>
      </c>
      <c r="T9" s="7"/>
      <c r="U9" s="7"/>
      <c r="V9" s="14" t="s">
        <v>14</v>
      </c>
      <c r="W9" s="8" t="s">
        <v>15</v>
      </c>
      <c r="X9" s="7"/>
      <c r="Y9" s="14" t="s">
        <v>14</v>
      </c>
      <c r="Z9" s="8" t="s">
        <v>15</v>
      </c>
      <c r="AA9" s="7"/>
      <c r="AB9" s="14" t="s">
        <v>14</v>
      </c>
      <c r="AC9" s="7"/>
      <c r="AD9" s="7"/>
      <c r="AE9" s="14" t="s">
        <v>14</v>
      </c>
      <c r="AF9" s="7"/>
      <c r="AG9" s="7"/>
      <c r="AH9" s="14" t="s">
        <v>14</v>
      </c>
      <c r="AI9" s="7"/>
      <c r="AJ9" s="7"/>
      <c r="AK9" s="14" t="s">
        <v>14</v>
      </c>
      <c r="AL9" s="7"/>
      <c r="AM9" s="7"/>
      <c r="AN9" s="14" t="s">
        <v>14</v>
      </c>
      <c r="AO9" s="7"/>
      <c r="AP9" s="7"/>
      <c r="AQ9" s="14" t="s">
        <v>14</v>
      </c>
      <c r="AR9" s="7"/>
      <c r="AS9" s="7"/>
      <c r="AT9" s="14" t="s">
        <v>14</v>
      </c>
      <c r="AU9" s="7"/>
      <c r="AV9" s="7"/>
      <c r="AW9" s="14" t="s">
        <v>14</v>
      </c>
      <c r="AX9" s="7"/>
      <c r="AY9" s="7"/>
      <c r="AZ9" s="14" t="s">
        <v>14</v>
      </c>
      <c r="BA9" s="7"/>
      <c r="BB9" s="7"/>
      <c r="BC9" s="14" t="s">
        <v>14</v>
      </c>
      <c r="BD9" s="7"/>
      <c r="BE9" s="7"/>
      <c r="BF9" s="14" t="s">
        <v>14</v>
      </c>
      <c r="BG9" s="7"/>
      <c r="BH9" s="7"/>
      <c r="BI9" s="14" t="s">
        <v>14</v>
      </c>
      <c r="BJ9" s="7"/>
      <c r="BK9" s="7"/>
      <c r="BL9" s="14" t="s">
        <v>14</v>
      </c>
      <c r="BM9" s="7"/>
      <c r="BN9" s="7"/>
      <c r="BO9" s="14" t="s">
        <v>14</v>
      </c>
      <c r="BP9" s="11"/>
      <c r="BQ9" s="11"/>
      <c r="BR9" s="11"/>
      <c r="BS9" s="41"/>
      <c r="BT9" s="50"/>
      <c r="BU9" s="50"/>
      <c r="BV9" s="50"/>
      <c r="BW9" s="51"/>
    </row>
    <row r="10" spans="1:75" ht="16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11"/>
      <c r="BQ10" s="11"/>
      <c r="BR10" s="11"/>
      <c r="BS10" s="11"/>
      <c r="BT10" s="50"/>
      <c r="BU10" s="50"/>
      <c r="BV10" s="50"/>
      <c r="BW10" s="50"/>
    </row>
    <row r="11" spans="1:75" ht="16.5" thickTop="1">
      <c r="A11" s="16" t="s">
        <v>2</v>
      </c>
      <c r="B11" s="13"/>
      <c r="C11" s="17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1"/>
      <c r="BQ11" s="11"/>
      <c r="BR11" s="11"/>
      <c r="BS11" s="11"/>
      <c r="BT11" s="50"/>
      <c r="BU11" s="50"/>
      <c r="BV11" s="50"/>
      <c r="BW11" s="50"/>
    </row>
    <row r="12" spans="1:75" ht="15.75">
      <c r="A12" s="18">
        <v>1</v>
      </c>
      <c r="B12" s="19" t="s">
        <v>17</v>
      </c>
      <c r="C12" s="7">
        <v>118.23</v>
      </c>
      <c r="D12" s="20">
        <v>118.32</v>
      </c>
      <c r="E12" s="7"/>
      <c r="F12" s="7">
        <v>117.19</v>
      </c>
      <c r="G12" s="20">
        <v>119.23</v>
      </c>
      <c r="H12" s="7"/>
      <c r="I12" s="7">
        <v>117.66</v>
      </c>
      <c r="J12" s="20">
        <v>118.33</v>
      </c>
      <c r="K12" s="7"/>
      <c r="L12" s="7">
        <v>117.54</v>
      </c>
      <c r="M12" s="20">
        <v>117.8</v>
      </c>
      <c r="N12" s="7"/>
      <c r="O12" s="7">
        <v>118.41</v>
      </c>
      <c r="P12" s="20">
        <v>116.75</v>
      </c>
      <c r="Q12" s="7"/>
      <c r="R12" s="7">
        <v>118.85</v>
      </c>
      <c r="S12" s="20">
        <v>116.88</v>
      </c>
      <c r="T12" s="7"/>
      <c r="U12" s="7">
        <v>119</v>
      </c>
      <c r="V12" s="20">
        <v>117.26</v>
      </c>
      <c r="W12" s="7"/>
      <c r="X12" s="7">
        <v>119.86</v>
      </c>
      <c r="Y12" s="20">
        <v>116.48</v>
      </c>
      <c r="Z12" s="7"/>
      <c r="AA12" s="7">
        <v>119.85</v>
      </c>
      <c r="AB12" s="20">
        <v>116.24</v>
      </c>
      <c r="AC12" s="7"/>
      <c r="AD12" s="7">
        <v>120.06</v>
      </c>
      <c r="AE12" s="7">
        <v>115.79</v>
      </c>
      <c r="AF12" s="7"/>
      <c r="AG12" s="7">
        <v>122.08</v>
      </c>
      <c r="AH12" s="20">
        <v>114.58</v>
      </c>
      <c r="AI12" s="7"/>
      <c r="AJ12" s="7">
        <v>122.94</v>
      </c>
      <c r="AK12" s="20">
        <v>113.96</v>
      </c>
      <c r="AL12" s="7"/>
      <c r="AM12" s="7">
        <v>121.83</v>
      </c>
      <c r="AN12" s="20">
        <v>114.72</v>
      </c>
      <c r="AO12" s="7"/>
      <c r="AP12" s="7">
        <v>121.63</v>
      </c>
      <c r="AQ12" s="20">
        <v>114.67</v>
      </c>
      <c r="AR12" s="7"/>
      <c r="AS12" s="7">
        <v>123.18</v>
      </c>
      <c r="AT12" s="20">
        <v>112.89</v>
      </c>
      <c r="AU12" s="7"/>
      <c r="AV12" s="7">
        <v>123.23</v>
      </c>
      <c r="AW12" s="20">
        <v>112.83</v>
      </c>
      <c r="AX12" s="7"/>
      <c r="AY12" s="7">
        <v>123.31</v>
      </c>
      <c r="AZ12" s="20">
        <v>112.94</v>
      </c>
      <c r="BA12" s="7"/>
      <c r="BB12" s="7">
        <v>122.85</v>
      </c>
      <c r="BC12" s="20">
        <v>113.25</v>
      </c>
      <c r="BD12" s="7"/>
      <c r="BE12" s="7">
        <v>122.85</v>
      </c>
      <c r="BF12" s="20">
        <v>113.27</v>
      </c>
      <c r="BG12" s="7"/>
      <c r="BH12" s="22">
        <v>122.46</v>
      </c>
      <c r="BI12" s="23">
        <v>113.67</v>
      </c>
      <c r="BJ12" s="7"/>
      <c r="BK12" s="22">
        <v>121.79</v>
      </c>
      <c r="BL12" s="23">
        <v>114.04</v>
      </c>
      <c r="BM12" s="7"/>
      <c r="BN12" s="7">
        <f aca="true" t="shared" si="0" ref="BN12:BN24">(+C12+F12+I12+L12+O12+R12+U12+X12+AA12+AD12+AG12+AJ12+AM12+AP12+AS12+AV12+AY12+BB12+BE12+BH12+BK12)/21</f>
        <v>120.70476190476191</v>
      </c>
      <c r="BO12" s="7">
        <f aca="true" t="shared" si="1" ref="BO12:BO24">(+D12+G12+J12+M12+P12+S12+V12+Y12+AB12+AE12+AH12+AK12+AN12+AQ12+AT12+AW12+AZ12+BC12+BF12+BI12+BL12)/21</f>
        <v>115.42380952380952</v>
      </c>
      <c r="BP12" s="11"/>
      <c r="BQ12" s="11"/>
      <c r="BR12" s="11"/>
      <c r="BS12" s="11"/>
      <c r="BT12" s="50"/>
      <c r="BU12" s="50"/>
      <c r="BV12" s="54"/>
      <c r="BW12" s="54"/>
    </row>
    <row r="13" spans="1:75" ht="15.75">
      <c r="A13" s="18">
        <v>2</v>
      </c>
      <c r="B13" s="19" t="s">
        <v>18</v>
      </c>
      <c r="C13" s="7">
        <f>1/1.5495</f>
        <v>0.6453694740238787</v>
      </c>
      <c r="D13" s="20">
        <v>216.77</v>
      </c>
      <c r="E13" s="7"/>
      <c r="F13" s="7">
        <f>1/1.5579</f>
        <v>0.6418897233455292</v>
      </c>
      <c r="G13" s="20">
        <v>217.67</v>
      </c>
      <c r="H13" s="7"/>
      <c r="I13" s="7">
        <f>1/1.5663</f>
        <v>0.6384472961757007</v>
      </c>
      <c r="J13" s="20">
        <v>218.07</v>
      </c>
      <c r="K13" s="7"/>
      <c r="L13" s="7">
        <f>1/1.5695</f>
        <v>0.6371455877668047</v>
      </c>
      <c r="M13" s="20">
        <v>217.31</v>
      </c>
      <c r="N13" s="7"/>
      <c r="O13" s="7">
        <f>1/1.5689</f>
        <v>0.637389253617184</v>
      </c>
      <c r="P13" s="20">
        <v>216.88</v>
      </c>
      <c r="Q13" s="7"/>
      <c r="R13" s="7">
        <f>1/1.5598</f>
        <v>0.6411078343377355</v>
      </c>
      <c r="S13" s="20">
        <v>216.67</v>
      </c>
      <c r="T13" s="7"/>
      <c r="U13" s="7">
        <f>1/1.5541</f>
        <v>0.6434592368573451</v>
      </c>
      <c r="V13" s="20">
        <v>216.85</v>
      </c>
      <c r="W13" s="7"/>
      <c r="X13" s="7">
        <f>1/1.5558</f>
        <v>0.6427561383211209</v>
      </c>
      <c r="Y13" s="20">
        <v>217.2</v>
      </c>
      <c r="Z13" s="7"/>
      <c r="AA13" s="7">
        <f>1/1.5553</f>
        <v>0.6429627724554748</v>
      </c>
      <c r="AB13" s="20">
        <v>216.67</v>
      </c>
      <c r="AC13" s="7"/>
      <c r="AD13" s="7">
        <f>1/1.5607</f>
        <v>0.6407381303261357</v>
      </c>
      <c r="AE13" s="7">
        <v>216.96</v>
      </c>
      <c r="AF13" s="7"/>
      <c r="AG13" s="7">
        <f>1/1.5441</f>
        <v>0.6476264490641798</v>
      </c>
      <c r="AH13" s="20">
        <v>216</v>
      </c>
      <c r="AI13" s="7"/>
      <c r="AJ13" s="7">
        <f>1/1.5294</f>
        <v>0.6538511834706421</v>
      </c>
      <c r="AK13" s="20">
        <v>214.27</v>
      </c>
      <c r="AL13" s="7"/>
      <c r="AM13" s="7">
        <f>1/1.5369</f>
        <v>0.6506604203266315</v>
      </c>
      <c r="AN13" s="20">
        <v>214.81</v>
      </c>
      <c r="AO13" s="7"/>
      <c r="AP13" s="7">
        <f>1/1.5539</f>
        <v>0.6435420554733251</v>
      </c>
      <c r="AQ13" s="20">
        <v>216.72</v>
      </c>
      <c r="AR13" s="7"/>
      <c r="AS13" s="7">
        <f>1/1.5499</f>
        <v>0.6452029163171817</v>
      </c>
      <c r="AT13" s="20">
        <v>215.52</v>
      </c>
      <c r="AU13" s="7"/>
      <c r="AV13" s="7">
        <f>1/1.5557</f>
        <v>0.64279745452208</v>
      </c>
      <c r="AW13" s="20">
        <v>216.3</v>
      </c>
      <c r="AX13" s="7"/>
      <c r="AY13" s="7">
        <f>1/1.5516</f>
        <v>0.6444960041247744</v>
      </c>
      <c r="AZ13" s="20">
        <v>216.09</v>
      </c>
      <c r="BA13" s="7"/>
      <c r="BB13" s="7">
        <f>1/1.561</f>
        <v>0.6406149903907752</v>
      </c>
      <c r="BC13" s="20">
        <v>217.17</v>
      </c>
      <c r="BD13" s="7"/>
      <c r="BE13" s="7">
        <f>1/1.561</f>
        <v>0.6406149903907752</v>
      </c>
      <c r="BF13" s="20">
        <v>217.22</v>
      </c>
      <c r="BG13" s="7"/>
      <c r="BH13" s="22">
        <f>1/1.5564</f>
        <v>0.6425083526085839</v>
      </c>
      <c r="BI13" s="23">
        <v>216.65</v>
      </c>
      <c r="BJ13" s="7"/>
      <c r="BK13" s="22">
        <f>1/1.5638</f>
        <v>0.639467962655071</v>
      </c>
      <c r="BL13" s="23">
        <v>217.19</v>
      </c>
      <c r="BM13" s="7"/>
      <c r="BN13" s="7">
        <f t="shared" si="0"/>
        <v>0.6429832488843298</v>
      </c>
      <c r="BO13" s="7">
        <f t="shared" si="1"/>
        <v>216.61857142857139</v>
      </c>
      <c r="BP13" s="11"/>
      <c r="BQ13" s="11"/>
      <c r="BR13" s="11"/>
      <c r="BS13" s="11"/>
      <c r="BT13" s="50"/>
      <c r="BU13" s="50"/>
      <c r="BV13" s="54"/>
      <c r="BW13" s="54"/>
    </row>
    <row r="14" spans="1:75" ht="15.75">
      <c r="A14" s="18">
        <v>3</v>
      </c>
      <c r="B14" s="19" t="s">
        <v>19</v>
      </c>
      <c r="C14" s="7">
        <v>1.4969</v>
      </c>
      <c r="D14" s="20">
        <v>93.46</v>
      </c>
      <c r="E14" s="7"/>
      <c r="F14" s="7">
        <v>1.4832</v>
      </c>
      <c r="G14" s="20">
        <v>94.2</v>
      </c>
      <c r="H14" s="7"/>
      <c r="I14" s="7">
        <v>1.4742</v>
      </c>
      <c r="J14" s="20">
        <v>94.44</v>
      </c>
      <c r="K14" s="7"/>
      <c r="L14" s="7">
        <v>1.4637</v>
      </c>
      <c r="M14" s="20">
        <v>94.6</v>
      </c>
      <c r="N14" s="7"/>
      <c r="O14" s="7">
        <v>1.47</v>
      </c>
      <c r="P14" s="20">
        <v>94.04</v>
      </c>
      <c r="Q14" s="7"/>
      <c r="R14" s="7">
        <v>1.4867</v>
      </c>
      <c r="S14" s="20">
        <v>93.44</v>
      </c>
      <c r="T14" s="7"/>
      <c r="U14" s="7">
        <v>1.4924</v>
      </c>
      <c r="V14" s="20">
        <v>93.5</v>
      </c>
      <c r="W14" s="7"/>
      <c r="X14" s="7">
        <v>1.4991</v>
      </c>
      <c r="Y14" s="20">
        <v>93.13</v>
      </c>
      <c r="Z14" s="7"/>
      <c r="AA14" s="7">
        <v>1.5007</v>
      </c>
      <c r="AB14" s="20">
        <v>92.83</v>
      </c>
      <c r="AC14" s="7"/>
      <c r="AD14" s="7">
        <v>1.495</v>
      </c>
      <c r="AE14" s="7">
        <v>92.99</v>
      </c>
      <c r="AF14" s="7"/>
      <c r="AG14" s="7">
        <v>1.5134</v>
      </c>
      <c r="AH14" s="20">
        <v>92.43</v>
      </c>
      <c r="AI14" s="7"/>
      <c r="AJ14" s="7">
        <v>1.527</v>
      </c>
      <c r="AK14" s="20">
        <v>91.75</v>
      </c>
      <c r="AL14" s="7"/>
      <c r="AM14" s="7">
        <v>1.5094</v>
      </c>
      <c r="AN14" s="20">
        <v>92.6</v>
      </c>
      <c r="AO14" s="7"/>
      <c r="AP14" s="7">
        <v>1.496</v>
      </c>
      <c r="AQ14" s="20">
        <v>93.23</v>
      </c>
      <c r="AR14" s="7"/>
      <c r="AS14" s="7">
        <v>1.493</v>
      </c>
      <c r="AT14" s="20">
        <v>93.14</v>
      </c>
      <c r="AU14" s="7"/>
      <c r="AV14" s="7">
        <v>1.487</v>
      </c>
      <c r="AW14" s="20">
        <v>93.5</v>
      </c>
      <c r="AX14" s="7"/>
      <c r="AY14" s="7">
        <v>1.4987</v>
      </c>
      <c r="AZ14" s="20">
        <v>92.93</v>
      </c>
      <c r="BA14" s="7"/>
      <c r="BB14" s="7">
        <v>1.4925</v>
      </c>
      <c r="BC14" s="20">
        <v>93.21</v>
      </c>
      <c r="BD14" s="7"/>
      <c r="BE14" s="7">
        <v>1.494</v>
      </c>
      <c r="BF14" s="20">
        <v>93.14</v>
      </c>
      <c r="BG14" s="7"/>
      <c r="BH14" s="22">
        <v>1.4988</v>
      </c>
      <c r="BI14" s="23">
        <v>92.88</v>
      </c>
      <c r="BJ14" s="7"/>
      <c r="BK14" s="22">
        <v>1.4888</v>
      </c>
      <c r="BL14" s="23">
        <v>93.29</v>
      </c>
      <c r="BM14" s="7"/>
      <c r="BN14" s="7">
        <f t="shared" si="0"/>
        <v>1.493357142857143</v>
      </c>
      <c r="BO14" s="7">
        <f t="shared" si="1"/>
        <v>93.27285714285716</v>
      </c>
      <c r="BP14" s="11"/>
      <c r="BQ14" s="11"/>
      <c r="BR14" s="11"/>
      <c r="BS14" s="11"/>
      <c r="BT14" s="50"/>
      <c r="BU14" s="50"/>
      <c r="BV14" s="54"/>
      <c r="BW14" s="54"/>
    </row>
    <row r="15" spans="1:75" ht="15.75">
      <c r="A15" s="18">
        <v>4</v>
      </c>
      <c r="B15" s="19" t="s">
        <v>24</v>
      </c>
      <c r="C15" s="7">
        <f>1/0.9821</f>
        <v>1.0182262498727217</v>
      </c>
      <c r="D15" s="20">
        <v>137.39</v>
      </c>
      <c r="E15" s="7"/>
      <c r="F15" s="7">
        <f>1/0.9914</f>
        <v>1.0086746015735324</v>
      </c>
      <c r="G15" s="20">
        <v>138.52</v>
      </c>
      <c r="H15" s="7"/>
      <c r="I15" s="7">
        <f>1/0.9932</f>
        <v>1.0068465565847766</v>
      </c>
      <c r="J15" s="20">
        <v>138.28</v>
      </c>
      <c r="K15" s="7"/>
      <c r="L15" s="7">
        <f>1/0.997</f>
        <v>1.0030090270812437</v>
      </c>
      <c r="M15" s="20">
        <v>138.05</v>
      </c>
      <c r="N15" s="7"/>
      <c r="O15" s="7">
        <f>1/0.992</f>
        <v>1.0080645161290323</v>
      </c>
      <c r="P15" s="20">
        <v>137.13</v>
      </c>
      <c r="Q15" s="7"/>
      <c r="R15" s="7">
        <f>1/0.9807</f>
        <v>1.0196798205363515</v>
      </c>
      <c r="S15" s="20">
        <v>136.23</v>
      </c>
      <c r="T15" s="7"/>
      <c r="U15" s="7">
        <f>1/0.9773</f>
        <v>1.0232272587741738</v>
      </c>
      <c r="V15" s="20">
        <v>136.37</v>
      </c>
      <c r="W15" s="7"/>
      <c r="X15" s="7">
        <f>1/0.9754</f>
        <v>1.025220422390814</v>
      </c>
      <c r="Y15" s="20">
        <v>136.17</v>
      </c>
      <c r="Z15" s="7"/>
      <c r="AA15" s="7">
        <f>1/0.977</f>
        <v>1.0235414534288638</v>
      </c>
      <c r="AB15" s="20">
        <v>136.11</v>
      </c>
      <c r="AC15" s="7"/>
      <c r="AD15" s="7">
        <f>1/0.9812</f>
        <v>1.019160211985324</v>
      </c>
      <c r="AE15" s="7">
        <v>136.4</v>
      </c>
      <c r="AF15" s="7"/>
      <c r="AG15" s="7">
        <f>1/0.9704</f>
        <v>1.030502885408079</v>
      </c>
      <c r="AH15" s="20">
        <v>135.74</v>
      </c>
      <c r="AI15" s="7"/>
      <c r="AJ15" s="7">
        <f>1/0.9632</f>
        <v>1.0382059800664452</v>
      </c>
      <c r="AK15" s="20">
        <v>134.95</v>
      </c>
      <c r="AL15" s="7"/>
      <c r="AM15" s="24">
        <f>1/0.9724</f>
        <v>1.0283833813245578</v>
      </c>
      <c r="AN15" s="20">
        <v>135.91</v>
      </c>
      <c r="AO15" s="7"/>
      <c r="AP15" s="24">
        <f>1/0.9806</f>
        <v>1.0197838058331634</v>
      </c>
      <c r="AQ15" s="20">
        <v>136.76</v>
      </c>
      <c r="AR15" s="7"/>
      <c r="AS15" s="7">
        <f>1/0.9818</f>
        <v>1.0185373803218578</v>
      </c>
      <c r="AT15" s="20">
        <v>136.52</v>
      </c>
      <c r="AU15" s="7"/>
      <c r="AV15" s="7">
        <f>1/0.9839</f>
        <v>1.0163634515702815</v>
      </c>
      <c r="AW15" s="20">
        <v>136.8</v>
      </c>
      <c r="AX15" s="7"/>
      <c r="AY15" s="7">
        <f>1/0.9769</f>
        <v>1.0236462278636502</v>
      </c>
      <c r="AZ15" s="20">
        <v>136.05</v>
      </c>
      <c r="BA15" s="7"/>
      <c r="BB15" s="7">
        <f>1/0.981</f>
        <v>1.019367991845056</v>
      </c>
      <c r="BC15" s="20">
        <v>136.48</v>
      </c>
      <c r="BD15" s="7"/>
      <c r="BE15" s="7">
        <f>1/0.9789</f>
        <v>1.0215548064153641</v>
      </c>
      <c r="BF15" s="20">
        <v>136.22</v>
      </c>
      <c r="BG15" s="7"/>
      <c r="BH15" s="22">
        <f>1/0.9783</f>
        <v>1.0221813349688236</v>
      </c>
      <c r="BI15" s="23">
        <v>136.18</v>
      </c>
      <c r="BJ15" s="7"/>
      <c r="BK15" s="22">
        <f>1/0.9823</f>
        <v>1.0180189351521938</v>
      </c>
      <c r="BL15" s="23">
        <v>136.43</v>
      </c>
      <c r="BM15" s="7"/>
      <c r="BN15" s="7">
        <f t="shared" si="0"/>
        <v>1.0196283951964908</v>
      </c>
      <c r="BO15" s="7">
        <f t="shared" si="1"/>
        <v>136.6042857142857</v>
      </c>
      <c r="BP15" s="11"/>
      <c r="BQ15" s="11"/>
      <c r="BR15" s="11"/>
      <c r="BS15" s="11"/>
      <c r="BT15" s="50"/>
      <c r="BU15" s="50"/>
      <c r="BV15" s="54"/>
      <c r="BW15" s="54"/>
    </row>
    <row r="16" spans="1:75" ht="15.75">
      <c r="A16" s="18">
        <v>5</v>
      </c>
      <c r="B16" s="19" t="s">
        <v>25</v>
      </c>
      <c r="C16" s="7">
        <v>312.15</v>
      </c>
      <c r="D16" s="20">
        <v>43667.83</v>
      </c>
      <c r="E16" s="7"/>
      <c r="F16" s="7">
        <v>313.25</v>
      </c>
      <c r="G16" s="20">
        <v>43768.07</v>
      </c>
      <c r="H16" s="7"/>
      <c r="I16" s="7">
        <v>312.5</v>
      </c>
      <c r="J16" s="20">
        <v>43508.79</v>
      </c>
      <c r="K16" s="7"/>
      <c r="L16" s="7">
        <v>316.1</v>
      </c>
      <c r="M16" s="20">
        <v>43767.4</v>
      </c>
      <c r="N16" s="7"/>
      <c r="O16" s="7">
        <v>317.7</v>
      </c>
      <c r="P16" s="20">
        <v>43918.85</v>
      </c>
      <c r="Q16" s="7"/>
      <c r="R16" s="7">
        <v>322</v>
      </c>
      <c r="S16" s="20">
        <v>44729.22</v>
      </c>
      <c r="T16" s="7"/>
      <c r="U16" s="7">
        <v>318.25</v>
      </c>
      <c r="V16" s="20">
        <v>44406.62</v>
      </c>
      <c r="W16" s="7"/>
      <c r="X16" s="7">
        <v>317.1</v>
      </c>
      <c r="Y16" s="20">
        <v>44269.54</v>
      </c>
      <c r="Z16" s="7"/>
      <c r="AA16" s="7">
        <v>317.85</v>
      </c>
      <c r="AB16" s="20">
        <v>44279.48</v>
      </c>
      <c r="AC16" s="7"/>
      <c r="AD16" s="7">
        <v>318.5</v>
      </c>
      <c r="AE16" s="7">
        <v>44277.07</v>
      </c>
      <c r="AF16" s="7"/>
      <c r="AG16" s="7">
        <v>316.5</v>
      </c>
      <c r="AH16" s="20">
        <v>44273.6</v>
      </c>
      <c r="AI16" s="7"/>
      <c r="AJ16" s="7">
        <v>315.25</v>
      </c>
      <c r="AK16" s="20">
        <v>44167.51</v>
      </c>
      <c r="AL16" s="7"/>
      <c r="AM16" s="7">
        <v>317.6</v>
      </c>
      <c r="AN16" s="20">
        <v>44390.56</v>
      </c>
      <c r="AO16" s="7"/>
      <c r="AP16" s="7">
        <v>320.6</v>
      </c>
      <c r="AQ16" s="20">
        <v>44713.88</v>
      </c>
      <c r="AR16" s="7"/>
      <c r="AS16" s="7">
        <v>321.5</v>
      </c>
      <c r="AT16" s="20">
        <v>44705.98</v>
      </c>
      <c r="AU16" s="7"/>
      <c r="AV16" s="7">
        <v>323.25</v>
      </c>
      <c r="AW16" s="20">
        <v>44943.06</v>
      </c>
      <c r="AX16" s="7"/>
      <c r="AY16" s="7">
        <v>323.75</v>
      </c>
      <c r="AZ16" s="20">
        <v>45089.07</v>
      </c>
      <c r="BA16" s="7"/>
      <c r="BB16" s="7">
        <v>325</v>
      </c>
      <c r="BC16" s="20">
        <v>45214.81</v>
      </c>
      <c r="BD16" s="7"/>
      <c r="BE16" s="7">
        <v>322.4</v>
      </c>
      <c r="BF16" s="20">
        <v>44864.38</v>
      </c>
      <c r="BG16" s="7"/>
      <c r="BH16" s="22">
        <v>320.25</v>
      </c>
      <c r="BI16" s="23">
        <v>44579.2</v>
      </c>
      <c r="BJ16" s="7"/>
      <c r="BK16" s="22">
        <v>322.5</v>
      </c>
      <c r="BL16" s="23">
        <v>44791.22</v>
      </c>
      <c r="BM16" s="7"/>
      <c r="BN16" s="7">
        <f t="shared" si="0"/>
        <v>318.76190476190476</v>
      </c>
      <c r="BO16" s="7">
        <f t="shared" si="1"/>
        <v>44396.482857142844</v>
      </c>
      <c r="BP16" s="11"/>
      <c r="BQ16" s="11"/>
      <c r="BR16" s="11"/>
      <c r="BS16" s="11"/>
      <c r="BT16" s="50"/>
      <c r="BU16" s="50"/>
      <c r="BV16" s="54"/>
      <c r="BW16" s="54"/>
    </row>
    <row r="17" spans="1:75" ht="15.75">
      <c r="A17" s="18">
        <v>6</v>
      </c>
      <c r="B17" s="25" t="s">
        <v>26</v>
      </c>
      <c r="C17" s="7">
        <v>4.47</v>
      </c>
      <c r="D17" s="20">
        <v>625.33</v>
      </c>
      <c r="E17" s="7"/>
      <c r="F17" s="7">
        <v>4.48</v>
      </c>
      <c r="G17" s="20">
        <v>625.96</v>
      </c>
      <c r="H17" s="7"/>
      <c r="I17" s="7">
        <v>4.46</v>
      </c>
      <c r="J17" s="20">
        <v>620.96</v>
      </c>
      <c r="K17" s="7"/>
      <c r="L17" s="7">
        <v>4.49</v>
      </c>
      <c r="M17" s="20">
        <v>621.69</v>
      </c>
      <c r="N17" s="7"/>
      <c r="O17" s="7">
        <v>4.52</v>
      </c>
      <c r="P17" s="20">
        <v>624.84</v>
      </c>
      <c r="Q17" s="7"/>
      <c r="R17" s="7">
        <v>4.54</v>
      </c>
      <c r="S17" s="20">
        <v>630.65</v>
      </c>
      <c r="T17" s="7"/>
      <c r="U17" s="7">
        <v>4.54</v>
      </c>
      <c r="V17" s="20">
        <v>633.48</v>
      </c>
      <c r="W17" s="7"/>
      <c r="X17" s="7">
        <v>4.51</v>
      </c>
      <c r="Y17" s="20">
        <v>629.63</v>
      </c>
      <c r="Z17" s="7"/>
      <c r="AA17" s="7">
        <v>4.54</v>
      </c>
      <c r="AB17" s="20">
        <v>632.46</v>
      </c>
      <c r="AC17" s="7"/>
      <c r="AD17" s="7">
        <v>4.57</v>
      </c>
      <c r="AE17" s="7">
        <v>635.31</v>
      </c>
      <c r="AF17" s="7"/>
      <c r="AG17" s="7">
        <v>4.54</v>
      </c>
      <c r="AH17" s="20">
        <v>635.08</v>
      </c>
      <c r="AI17" s="7"/>
      <c r="AJ17" s="7">
        <v>4.53</v>
      </c>
      <c r="AK17" s="20">
        <v>634.67</v>
      </c>
      <c r="AL17" s="7"/>
      <c r="AM17" s="7">
        <v>4.58</v>
      </c>
      <c r="AN17" s="20">
        <v>640.14</v>
      </c>
      <c r="AO17" s="7"/>
      <c r="AP17" s="7">
        <v>4.64</v>
      </c>
      <c r="AQ17" s="20">
        <v>647.14</v>
      </c>
      <c r="AR17" s="7"/>
      <c r="AS17" s="7">
        <v>4.62</v>
      </c>
      <c r="AT17" s="20">
        <v>642.43</v>
      </c>
      <c r="AU17" s="7"/>
      <c r="AV17" s="7">
        <v>4.64</v>
      </c>
      <c r="AW17" s="20">
        <v>645.12</v>
      </c>
      <c r="AX17" s="7"/>
      <c r="AY17" s="7">
        <v>4.62</v>
      </c>
      <c r="AZ17" s="20">
        <v>643.43</v>
      </c>
      <c r="BA17" s="7"/>
      <c r="BB17" s="7">
        <v>4.61</v>
      </c>
      <c r="BC17" s="20">
        <v>641.35</v>
      </c>
      <c r="BD17" s="7"/>
      <c r="BE17" s="7">
        <v>4.54</v>
      </c>
      <c r="BF17" s="20">
        <v>631.78</v>
      </c>
      <c r="BG17" s="7"/>
      <c r="BH17" s="22">
        <v>4.51</v>
      </c>
      <c r="BI17" s="23">
        <v>627.8</v>
      </c>
      <c r="BJ17" s="7"/>
      <c r="BK17" s="22">
        <v>4.52</v>
      </c>
      <c r="BL17" s="23">
        <v>627.77</v>
      </c>
      <c r="BM17" s="7"/>
      <c r="BN17" s="7">
        <f t="shared" si="0"/>
        <v>4.546190476190477</v>
      </c>
      <c r="BO17" s="7">
        <f t="shared" si="1"/>
        <v>633.1914285714287</v>
      </c>
      <c r="BP17" s="11"/>
      <c r="BQ17" s="11"/>
      <c r="BR17" s="11"/>
      <c r="BS17" s="11"/>
      <c r="BT17" s="50"/>
      <c r="BU17" s="50"/>
      <c r="BV17" s="54"/>
      <c r="BW17" s="54"/>
    </row>
    <row r="18" spans="1:75" ht="15.75">
      <c r="A18" s="18">
        <v>7</v>
      </c>
      <c r="B18" s="19" t="s">
        <v>27</v>
      </c>
      <c r="C18" s="7">
        <f>1/0.5508</f>
        <v>1.815541031227306</v>
      </c>
      <c r="D18" s="20">
        <v>77.05</v>
      </c>
      <c r="E18" s="7"/>
      <c r="F18" s="7">
        <f>1/0.5496</f>
        <v>1.819505094614265</v>
      </c>
      <c r="G18" s="20">
        <v>76.79</v>
      </c>
      <c r="H18" s="7"/>
      <c r="I18" s="7">
        <f>1/0.5445</f>
        <v>1.8365472910927456</v>
      </c>
      <c r="J18" s="20">
        <v>75.81</v>
      </c>
      <c r="K18" s="7"/>
      <c r="L18" s="7">
        <f>1/0.5439</f>
        <v>1.8385732671446955</v>
      </c>
      <c r="M18" s="20">
        <v>75.31</v>
      </c>
      <c r="N18" s="7"/>
      <c r="O18" s="7">
        <f>1/0.5448</f>
        <v>1.8355359765051396</v>
      </c>
      <c r="P18" s="20">
        <v>75.31</v>
      </c>
      <c r="Q18" s="7"/>
      <c r="R18" s="7">
        <f>1/0.5464</f>
        <v>1.8301610541727673</v>
      </c>
      <c r="S18" s="20">
        <v>75.9</v>
      </c>
      <c r="T18" s="7"/>
      <c r="U18" s="7">
        <f>1/0.549</f>
        <v>1.8214936247723132</v>
      </c>
      <c r="V18" s="20">
        <v>76.6</v>
      </c>
      <c r="W18" s="7"/>
      <c r="X18" s="7">
        <f>1/0.5473</f>
        <v>1.827151470856934</v>
      </c>
      <c r="Y18" s="20">
        <v>76.41</v>
      </c>
      <c r="Z18" s="7"/>
      <c r="AA18" s="7">
        <f>1/0.5521</f>
        <v>1.8112660749864153</v>
      </c>
      <c r="AB18" s="20">
        <v>76.91</v>
      </c>
      <c r="AC18" s="7"/>
      <c r="AD18" s="7">
        <f>1/0.5512</f>
        <v>1.8142235123367199</v>
      </c>
      <c r="AE18" s="7">
        <v>76.63</v>
      </c>
      <c r="AF18" s="7"/>
      <c r="AG18" s="7">
        <f>1/0.5489</f>
        <v>1.8218254691200582</v>
      </c>
      <c r="AH18" s="20">
        <v>76.78</v>
      </c>
      <c r="AI18" s="7"/>
      <c r="AJ18" s="7">
        <f>1/0.5463</f>
        <v>1.8304960644334614</v>
      </c>
      <c r="AK18" s="20">
        <v>76.54</v>
      </c>
      <c r="AL18" s="7"/>
      <c r="AM18" s="7">
        <f>1/0.5455</f>
        <v>1.8331805682859763</v>
      </c>
      <c r="AN18" s="20">
        <v>76.24</v>
      </c>
      <c r="AO18" s="7"/>
      <c r="AP18" s="7">
        <f>1/0.5499</f>
        <v>1.818512456810329</v>
      </c>
      <c r="AQ18" s="20">
        <v>76.69</v>
      </c>
      <c r="AR18" s="7"/>
      <c r="AS18" s="7">
        <f>1/0.5472</f>
        <v>1.827485380116959</v>
      </c>
      <c r="AT18" s="20">
        <v>76.09</v>
      </c>
      <c r="AU18" s="7"/>
      <c r="AV18" s="7">
        <f>1/0.5472</f>
        <v>1.827485380116959</v>
      </c>
      <c r="AW18" s="20">
        <v>76.08</v>
      </c>
      <c r="AX18" s="7"/>
      <c r="AY18" s="7">
        <f>1/0.5426</f>
        <v>1.8429782528566163</v>
      </c>
      <c r="AZ18" s="20">
        <v>75.57</v>
      </c>
      <c r="BA18" s="7"/>
      <c r="BB18" s="7">
        <f>1/0.5455</f>
        <v>1.8331805682859763</v>
      </c>
      <c r="BC18" s="20">
        <v>75.89</v>
      </c>
      <c r="BD18" s="7"/>
      <c r="BE18" s="7">
        <f>1/0.5418</f>
        <v>1.845699520118125</v>
      </c>
      <c r="BF18" s="20">
        <v>75.4</v>
      </c>
      <c r="BG18" s="7"/>
      <c r="BH18" s="22">
        <f>1/0.5457</f>
        <v>1.8325087044163462</v>
      </c>
      <c r="BI18" s="23">
        <v>75.96</v>
      </c>
      <c r="BJ18" s="7"/>
      <c r="BK18" s="22">
        <f>1/0.5443</f>
        <v>1.8372221201543266</v>
      </c>
      <c r="BL18" s="23">
        <v>75.6</v>
      </c>
      <c r="BM18" s="7"/>
      <c r="BN18" s="7">
        <f t="shared" si="0"/>
        <v>1.8285987086868782</v>
      </c>
      <c r="BO18" s="7">
        <f t="shared" si="1"/>
        <v>76.16952380952381</v>
      </c>
      <c r="BP18" s="11"/>
      <c r="BQ18" s="11"/>
      <c r="BR18" s="11"/>
      <c r="BS18" s="11"/>
      <c r="BT18" s="50"/>
      <c r="BU18" s="50"/>
      <c r="BV18" s="54"/>
      <c r="BW18" s="54"/>
    </row>
    <row r="19" spans="1:75" ht="15.75">
      <c r="A19" s="18">
        <v>8</v>
      </c>
      <c r="B19" s="19" t="s">
        <v>28</v>
      </c>
      <c r="C19" s="7">
        <v>1.558</v>
      </c>
      <c r="D19" s="20">
        <v>89.79</v>
      </c>
      <c r="E19" s="7"/>
      <c r="F19" s="7">
        <v>1.5535</v>
      </c>
      <c r="G19" s="20">
        <v>89.94</v>
      </c>
      <c r="H19" s="7"/>
      <c r="I19" s="7">
        <v>1.554</v>
      </c>
      <c r="J19" s="20">
        <v>89.59</v>
      </c>
      <c r="K19" s="7"/>
      <c r="L19" s="7">
        <v>1.5708</v>
      </c>
      <c r="M19" s="20">
        <v>88.15</v>
      </c>
      <c r="N19" s="7"/>
      <c r="O19" s="7">
        <v>1.5735</v>
      </c>
      <c r="P19" s="20">
        <v>87.86</v>
      </c>
      <c r="Q19" s="7"/>
      <c r="R19" s="7">
        <v>1.5595</v>
      </c>
      <c r="S19" s="20">
        <v>89.07</v>
      </c>
      <c r="T19" s="7"/>
      <c r="U19" s="7">
        <v>1.5645</v>
      </c>
      <c r="V19" s="20">
        <v>89.19</v>
      </c>
      <c r="W19" s="7"/>
      <c r="X19" s="7">
        <v>1.5761</v>
      </c>
      <c r="Y19" s="20">
        <v>88.58</v>
      </c>
      <c r="Z19" s="7"/>
      <c r="AA19" s="7">
        <v>1.5775</v>
      </c>
      <c r="AB19" s="20">
        <v>88.31</v>
      </c>
      <c r="AC19" s="7"/>
      <c r="AD19" s="7">
        <v>1.5852</v>
      </c>
      <c r="AE19" s="7">
        <v>87.7</v>
      </c>
      <c r="AF19" s="7"/>
      <c r="AG19" s="7">
        <v>1.5787</v>
      </c>
      <c r="AH19" s="20">
        <v>88.61</v>
      </c>
      <c r="AI19" s="7"/>
      <c r="AJ19" s="7">
        <v>1.5782</v>
      </c>
      <c r="AK19" s="20">
        <v>88.77</v>
      </c>
      <c r="AL19" s="7"/>
      <c r="AM19" s="7">
        <v>1.5805</v>
      </c>
      <c r="AN19" s="20">
        <v>88.43</v>
      </c>
      <c r="AO19" s="7"/>
      <c r="AP19" s="7">
        <v>1.573</v>
      </c>
      <c r="AQ19" s="20">
        <v>88.66</v>
      </c>
      <c r="AR19" s="7"/>
      <c r="AS19" s="7">
        <v>1.5761</v>
      </c>
      <c r="AT19" s="20">
        <v>88.23</v>
      </c>
      <c r="AU19" s="7"/>
      <c r="AV19" s="7">
        <v>1.5742</v>
      </c>
      <c r="AW19" s="20">
        <v>88.32</v>
      </c>
      <c r="AX19" s="7"/>
      <c r="AY19" s="7">
        <v>1.5857</v>
      </c>
      <c r="AZ19" s="20">
        <v>87.83</v>
      </c>
      <c r="BA19" s="7"/>
      <c r="BB19" s="7">
        <v>1.5836</v>
      </c>
      <c r="BC19" s="20">
        <v>87.85</v>
      </c>
      <c r="BD19" s="7"/>
      <c r="BE19" s="7">
        <v>1.5757</v>
      </c>
      <c r="BF19" s="20">
        <v>88.31</v>
      </c>
      <c r="BG19" s="7"/>
      <c r="BH19" s="22">
        <v>1.5762</v>
      </c>
      <c r="BI19" s="23">
        <v>88.31</v>
      </c>
      <c r="BJ19" s="7"/>
      <c r="BK19" s="22">
        <v>1.5768</v>
      </c>
      <c r="BL19" s="23">
        <v>88.08</v>
      </c>
      <c r="BM19" s="7"/>
      <c r="BN19" s="7">
        <f t="shared" si="0"/>
        <v>1.572919047619048</v>
      </c>
      <c r="BO19" s="7">
        <f t="shared" si="1"/>
        <v>88.55142857142857</v>
      </c>
      <c r="BP19" s="11"/>
      <c r="BQ19" s="11"/>
      <c r="BR19" s="11"/>
      <c r="BS19" s="11"/>
      <c r="BT19" s="50"/>
      <c r="BU19" s="50"/>
      <c r="BV19" s="54"/>
      <c r="BW19" s="54"/>
    </row>
    <row r="20" spans="1:75" ht="15.75">
      <c r="A20" s="18">
        <v>9</v>
      </c>
      <c r="B20" s="19" t="s">
        <v>31</v>
      </c>
      <c r="C20" s="7">
        <v>9.3826</v>
      </c>
      <c r="D20" s="20">
        <v>14.91</v>
      </c>
      <c r="E20" s="7"/>
      <c r="F20" s="7">
        <v>9.3612</v>
      </c>
      <c r="G20" s="20">
        <v>14.93</v>
      </c>
      <c r="H20" s="7"/>
      <c r="I20" s="7">
        <v>9.4127</v>
      </c>
      <c r="J20" s="20">
        <v>14.79</v>
      </c>
      <c r="K20" s="7"/>
      <c r="L20" s="7">
        <v>9.3066</v>
      </c>
      <c r="M20" s="20">
        <v>14.88</v>
      </c>
      <c r="N20" s="7"/>
      <c r="O20" s="7">
        <v>9.3142</v>
      </c>
      <c r="P20" s="20">
        <v>14.84</v>
      </c>
      <c r="Q20" s="7"/>
      <c r="R20" s="7">
        <v>9.402</v>
      </c>
      <c r="S20" s="20">
        <v>14.77</v>
      </c>
      <c r="T20" s="7"/>
      <c r="U20" s="7">
        <v>9.4128</v>
      </c>
      <c r="V20" s="20">
        <v>14.82</v>
      </c>
      <c r="W20" s="7"/>
      <c r="X20" s="7">
        <v>9.394</v>
      </c>
      <c r="Y20" s="20">
        <v>14.86</v>
      </c>
      <c r="Z20" s="7"/>
      <c r="AA20" s="7">
        <v>9.384</v>
      </c>
      <c r="AB20" s="20">
        <v>14.85</v>
      </c>
      <c r="AC20" s="7"/>
      <c r="AD20" s="7">
        <v>9.4085</v>
      </c>
      <c r="AE20" s="7">
        <v>14.78</v>
      </c>
      <c r="AF20" s="7"/>
      <c r="AG20" s="7">
        <v>9.3665</v>
      </c>
      <c r="AH20" s="20">
        <v>14.93</v>
      </c>
      <c r="AI20" s="7"/>
      <c r="AJ20" s="7">
        <v>9.4279</v>
      </c>
      <c r="AK20" s="20">
        <v>14.86</v>
      </c>
      <c r="AL20" s="7"/>
      <c r="AM20" s="7">
        <v>9.403</v>
      </c>
      <c r="AN20" s="20">
        <v>14.86</v>
      </c>
      <c r="AO20" s="7"/>
      <c r="AP20" s="7">
        <v>9.2534</v>
      </c>
      <c r="AQ20" s="20">
        <v>15.07</v>
      </c>
      <c r="AR20" s="7"/>
      <c r="AS20" s="7">
        <v>9.2714</v>
      </c>
      <c r="AT20" s="20">
        <v>15</v>
      </c>
      <c r="AU20" s="7"/>
      <c r="AV20" s="7">
        <v>9.1955</v>
      </c>
      <c r="AW20" s="20">
        <v>15.12</v>
      </c>
      <c r="AX20" s="7"/>
      <c r="AY20" s="7">
        <v>9.3098</v>
      </c>
      <c r="AZ20" s="20">
        <v>14.96</v>
      </c>
      <c r="BA20" s="7"/>
      <c r="BB20" s="7">
        <v>9.2917</v>
      </c>
      <c r="BC20" s="20">
        <v>14.97</v>
      </c>
      <c r="BD20" s="7"/>
      <c r="BE20" s="7">
        <v>9.3126</v>
      </c>
      <c r="BF20" s="20">
        <v>14.94</v>
      </c>
      <c r="BG20" s="7"/>
      <c r="BH20" s="22">
        <v>9.2982</v>
      </c>
      <c r="BI20" s="23">
        <v>14.97</v>
      </c>
      <c r="BJ20" s="7"/>
      <c r="BK20" s="22">
        <v>9.2955</v>
      </c>
      <c r="BL20" s="23">
        <v>14.94</v>
      </c>
      <c r="BM20" s="7"/>
      <c r="BN20" s="7">
        <f t="shared" si="0"/>
        <v>9.34305238095238</v>
      </c>
      <c r="BO20" s="7">
        <f t="shared" si="1"/>
        <v>14.90714285714286</v>
      </c>
      <c r="BP20" s="11"/>
      <c r="BQ20" s="11"/>
      <c r="BR20" s="11"/>
      <c r="BS20" s="11"/>
      <c r="BT20" s="50"/>
      <c r="BU20" s="50"/>
      <c r="BV20" s="54"/>
      <c r="BW20" s="54"/>
    </row>
    <row r="21" spans="1:75" ht="15.75">
      <c r="A21" s="18">
        <v>10</v>
      </c>
      <c r="B21" s="19" t="s">
        <v>32</v>
      </c>
      <c r="C21" s="7">
        <v>7.5208</v>
      </c>
      <c r="D21" s="20">
        <v>18.6</v>
      </c>
      <c r="E21" s="7"/>
      <c r="F21" s="7">
        <v>7.5065</v>
      </c>
      <c r="G21" s="20">
        <v>18.61</v>
      </c>
      <c r="H21" s="7"/>
      <c r="I21" s="7">
        <v>7.5025</v>
      </c>
      <c r="J21" s="20">
        <v>18.56</v>
      </c>
      <c r="K21" s="7"/>
      <c r="L21" s="7">
        <v>7.4052</v>
      </c>
      <c r="M21" s="20">
        <v>18.7</v>
      </c>
      <c r="N21" s="7"/>
      <c r="O21" s="7">
        <v>7.4133</v>
      </c>
      <c r="P21" s="20">
        <v>18.65</v>
      </c>
      <c r="Q21" s="7"/>
      <c r="R21" s="7">
        <v>7.4928</v>
      </c>
      <c r="S21" s="20">
        <v>18.54</v>
      </c>
      <c r="T21" s="7"/>
      <c r="U21" s="7">
        <v>7.5553</v>
      </c>
      <c r="V21" s="20">
        <v>18.47</v>
      </c>
      <c r="W21" s="7"/>
      <c r="X21" s="7">
        <v>7.58</v>
      </c>
      <c r="Y21" s="20">
        <v>18.42</v>
      </c>
      <c r="Z21" s="7"/>
      <c r="AA21" s="7">
        <v>7.5346</v>
      </c>
      <c r="AB21" s="20">
        <v>18.49</v>
      </c>
      <c r="AC21" s="7"/>
      <c r="AD21" s="7">
        <v>7.497</v>
      </c>
      <c r="AE21" s="7">
        <v>18.54</v>
      </c>
      <c r="AF21" s="7"/>
      <c r="AG21" s="7">
        <v>7.5729</v>
      </c>
      <c r="AH21" s="20">
        <v>18.47</v>
      </c>
      <c r="AI21" s="7"/>
      <c r="AJ21" s="7">
        <v>7.6304</v>
      </c>
      <c r="AK21" s="20">
        <v>18.36</v>
      </c>
      <c r="AL21" s="7"/>
      <c r="AM21" s="7">
        <v>7.5527</v>
      </c>
      <c r="AN21" s="20">
        <v>18.51</v>
      </c>
      <c r="AO21" s="7"/>
      <c r="AP21" s="7">
        <v>7.4632</v>
      </c>
      <c r="AQ21" s="20">
        <v>18.69</v>
      </c>
      <c r="AR21" s="7"/>
      <c r="AS21" s="7">
        <v>7.496</v>
      </c>
      <c r="AT21" s="20">
        <v>18.55</v>
      </c>
      <c r="AU21" s="7"/>
      <c r="AV21" s="7">
        <v>7.4846</v>
      </c>
      <c r="AW21" s="20">
        <v>18.58</v>
      </c>
      <c r="AX21" s="7"/>
      <c r="AY21" s="7">
        <v>7.4846</v>
      </c>
      <c r="AZ21" s="20">
        <v>18.61</v>
      </c>
      <c r="BA21" s="7"/>
      <c r="BB21" s="7">
        <v>7.46</v>
      </c>
      <c r="BC21" s="20">
        <v>18.65</v>
      </c>
      <c r="BD21" s="7"/>
      <c r="BE21" s="7">
        <v>7.4778</v>
      </c>
      <c r="BF21" s="20">
        <v>18.61</v>
      </c>
      <c r="BG21" s="7"/>
      <c r="BH21" s="22">
        <v>7.4852</v>
      </c>
      <c r="BI21" s="23">
        <v>18.6</v>
      </c>
      <c r="BJ21" s="7"/>
      <c r="BK21" s="22">
        <v>7.4817</v>
      </c>
      <c r="BL21" s="23">
        <v>18.56</v>
      </c>
      <c r="BM21" s="7"/>
      <c r="BN21" s="7">
        <f t="shared" si="0"/>
        <v>7.5046238095238085</v>
      </c>
      <c r="BO21" s="7">
        <f t="shared" si="1"/>
        <v>18.56047619047619</v>
      </c>
      <c r="BP21" s="11"/>
      <c r="BQ21" s="11"/>
      <c r="BR21" s="11"/>
      <c r="BS21" s="11"/>
      <c r="BT21" s="50"/>
      <c r="BU21" s="50"/>
      <c r="BV21" s="54"/>
      <c r="BW21" s="54"/>
    </row>
    <row r="22" spans="1:75" ht="15.75">
      <c r="A22" s="18">
        <v>11</v>
      </c>
      <c r="B22" s="19" t="s">
        <v>33</v>
      </c>
      <c r="C22" s="7">
        <v>7.5542</v>
      </c>
      <c r="D22" s="20">
        <v>18.52</v>
      </c>
      <c r="E22" s="7"/>
      <c r="F22" s="7">
        <v>7.4862</v>
      </c>
      <c r="G22" s="20">
        <v>18.66</v>
      </c>
      <c r="H22" s="7"/>
      <c r="I22" s="7">
        <v>7.4754</v>
      </c>
      <c r="J22" s="20">
        <v>18.62</v>
      </c>
      <c r="K22" s="7"/>
      <c r="L22" s="7">
        <v>7.4465</v>
      </c>
      <c r="M22" s="20">
        <v>18.59</v>
      </c>
      <c r="N22" s="7"/>
      <c r="O22" s="7">
        <v>7.4845</v>
      </c>
      <c r="P22" s="20">
        <v>18.47</v>
      </c>
      <c r="Q22" s="7"/>
      <c r="R22" s="7">
        <v>7.5707</v>
      </c>
      <c r="S22" s="20">
        <v>18.35</v>
      </c>
      <c r="T22" s="7"/>
      <c r="U22" s="7">
        <v>7.5976</v>
      </c>
      <c r="V22" s="20">
        <v>18.37</v>
      </c>
      <c r="W22" s="7"/>
      <c r="X22" s="7">
        <v>7.6155</v>
      </c>
      <c r="Y22" s="20">
        <v>18.33</v>
      </c>
      <c r="Z22" s="7"/>
      <c r="AA22" s="7">
        <v>7.5987</v>
      </c>
      <c r="AB22" s="20">
        <v>18.33</v>
      </c>
      <c r="AC22" s="7"/>
      <c r="AD22" s="7">
        <v>7.5665</v>
      </c>
      <c r="AE22" s="7">
        <v>18.37</v>
      </c>
      <c r="AF22" s="7"/>
      <c r="AG22" s="7">
        <v>7.6515</v>
      </c>
      <c r="AH22" s="20">
        <v>18.28</v>
      </c>
      <c r="AI22" s="7"/>
      <c r="AJ22" s="7">
        <v>7.7091</v>
      </c>
      <c r="AK22" s="20">
        <v>18.17</v>
      </c>
      <c r="AL22" s="7"/>
      <c r="AM22" s="7">
        <v>7.637</v>
      </c>
      <c r="AN22" s="20">
        <v>18.3</v>
      </c>
      <c r="AO22" s="7"/>
      <c r="AP22" s="7">
        <v>7.573</v>
      </c>
      <c r="AQ22" s="20">
        <v>18.42</v>
      </c>
      <c r="AR22" s="7"/>
      <c r="AS22" s="7">
        <v>7.5652</v>
      </c>
      <c r="AT22" s="20">
        <v>18.38</v>
      </c>
      <c r="AU22" s="7"/>
      <c r="AV22" s="7">
        <v>7.549</v>
      </c>
      <c r="AW22" s="20">
        <v>18.42</v>
      </c>
      <c r="AX22" s="7"/>
      <c r="AY22" s="7">
        <v>7.6012</v>
      </c>
      <c r="AZ22" s="20">
        <v>18.32</v>
      </c>
      <c r="BA22" s="7"/>
      <c r="BB22" s="7">
        <v>7.5695</v>
      </c>
      <c r="BC22" s="20">
        <v>18.38</v>
      </c>
      <c r="BD22" s="7"/>
      <c r="BE22" s="7">
        <v>7.583</v>
      </c>
      <c r="BF22" s="20">
        <v>18.35</v>
      </c>
      <c r="BG22" s="7"/>
      <c r="BH22" s="22">
        <v>7.5913</v>
      </c>
      <c r="BI22" s="23">
        <v>18.34</v>
      </c>
      <c r="BJ22" s="7"/>
      <c r="BK22" s="22">
        <v>7.5562</v>
      </c>
      <c r="BL22" s="23">
        <v>18.38</v>
      </c>
      <c r="BM22" s="7"/>
      <c r="BN22" s="7">
        <f t="shared" si="0"/>
        <v>7.570561904761904</v>
      </c>
      <c r="BO22" s="7">
        <f t="shared" si="1"/>
        <v>18.39761904761905</v>
      </c>
      <c r="BP22" s="11"/>
      <c r="BQ22" s="11"/>
      <c r="BR22" s="11"/>
      <c r="BS22" s="11"/>
      <c r="BT22" s="50"/>
      <c r="BU22" s="50"/>
      <c r="BV22" s="54"/>
      <c r="BW22" s="54"/>
    </row>
    <row r="23" spans="1:75" ht="15.75">
      <c r="A23" s="18">
        <v>12</v>
      </c>
      <c r="B23" s="19" t="s">
        <v>36</v>
      </c>
      <c r="C23" s="7">
        <f>1/1.32751</f>
        <v>0.7532899940490091</v>
      </c>
      <c r="D23" s="20">
        <v>185.71</v>
      </c>
      <c r="E23" s="7"/>
      <c r="F23" s="7">
        <f>1/1.32751</f>
        <v>0.7532899940490091</v>
      </c>
      <c r="G23" s="20">
        <v>185.48</v>
      </c>
      <c r="H23" s="7"/>
      <c r="I23" s="7">
        <f>1/1.33187</f>
        <v>0.7508240293722359</v>
      </c>
      <c r="J23" s="20">
        <v>185.43</v>
      </c>
      <c r="K23" s="7"/>
      <c r="L23" s="7">
        <f>1/1.33173</f>
        <v>0.7509029608103744</v>
      </c>
      <c r="M23" s="20">
        <v>184.39</v>
      </c>
      <c r="N23" s="7"/>
      <c r="O23" s="7">
        <f>1/1.33465</f>
        <v>0.7492601056456749</v>
      </c>
      <c r="P23" s="20">
        <v>184.5</v>
      </c>
      <c r="Q23" s="7"/>
      <c r="R23" s="7">
        <f>1/1.33091</f>
        <v>0.7513656069907055</v>
      </c>
      <c r="S23" s="20">
        <v>184.88</v>
      </c>
      <c r="T23" s="7"/>
      <c r="U23" s="7">
        <f>1/1.32477</f>
        <v>0.7548480113529141</v>
      </c>
      <c r="V23" s="20">
        <v>184.85</v>
      </c>
      <c r="W23" s="7"/>
      <c r="X23" s="7">
        <f>1/1.32079</f>
        <v>0.7571226311525678</v>
      </c>
      <c r="Y23" s="20">
        <v>184.39</v>
      </c>
      <c r="Z23" s="7"/>
      <c r="AA23" s="7">
        <f>1/1.32079</f>
        <v>0.7571226311525678</v>
      </c>
      <c r="AB23" s="20">
        <v>184</v>
      </c>
      <c r="AC23" s="7"/>
      <c r="AD23" s="7">
        <f>1/1.32067</f>
        <v>0.7571914255642969</v>
      </c>
      <c r="AE23" s="7">
        <v>183.6</v>
      </c>
      <c r="AF23" s="7"/>
      <c r="AG23" s="7">
        <f>1/1.32365</f>
        <v>0.7554867223208552</v>
      </c>
      <c r="AH23" s="20">
        <v>185.16</v>
      </c>
      <c r="AI23" s="7"/>
      <c r="AJ23" s="7">
        <f>1/1.31288</f>
        <v>0.7616842361830479</v>
      </c>
      <c r="AK23" s="20">
        <v>183.94</v>
      </c>
      <c r="AL23" s="7"/>
      <c r="AM23" s="7">
        <f>1/1.30942</f>
        <v>0.7636969039727513</v>
      </c>
      <c r="AN23" s="20">
        <v>183.02</v>
      </c>
      <c r="AO23" s="7"/>
      <c r="AP23" s="7">
        <f>1/1.31572</f>
        <v>0.7600401301188703</v>
      </c>
      <c r="AQ23" s="20">
        <v>183.5</v>
      </c>
      <c r="AR23" s="7"/>
      <c r="AS23" s="7">
        <f>1/1.32001</f>
        <v>0.7575700184089516</v>
      </c>
      <c r="AT23" s="20">
        <v>183.55</v>
      </c>
      <c r="AU23" s="7"/>
      <c r="AV23" s="7">
        <f>1/1.32001</f>
        <v>0.7575700184089516</v>
      </c>
      <c r="AW23" s="20">
        <v>183.53</v>
      </c>
      <c r="AX23" s="7"/>
      <c r="AY23" s="7">
        <f>1/1.3201</f>
        <v>0.7575183698204682</v>
      </c>
      <c r="AZ23" s="20">
        <v>183.85</v>
      </c>
      <c r="BA23" s="7"/>
      <c r="BB23" s="7">
        <f>1/1.31679</f>
        <v>0.7594225351043068</v>
      </c>
      <c r="BC23" s="20">
        <v>183.2</v>
      </c>
      <c r="BD23" s="7"/>
      <c r="BE23" s="7">
        <f>1/1.31802</f>
        <v>0.758713828318235</v>
      </c>
      <c r="BF23" s="20">
        <v>183.41</v>
      </c>
      <c r="BG23" s="7"/>
      <c r="BH23" s="22">
        <f>1/1.31856</f>
        <v>0.7584031064191239</v>
      </c>
      <c r="BI23" s="23">
        <v>183.55</v>
      </c>
      <c r="BJ23" s="7"/>
      <c r="BK23" s="22">
        <f>1/1.31817</f>
        <v>0.758627491143024</v>
      </c>
      <c r="BL23" s="23">
        <v>183.08</v>
      </c>
      <c r="BM23" s="7"/>
      <c r="BN23" s="7">
        <f t="shared" si="0"/>
        <v>0.756378607159902</v>
      </c>
      <c r="BO23" s="7">
        <f t="shared" si="1"/>
        <v>184.1438095238095</v>
      </c>
      <c r="BP23" s="11"/>
      <c r="BQ23" s="11"/>
      <c r="BR23" s="11"/>
      <c r="BS23" s="11"/>
      <c r="BT23" s="50"/>
      <c r="BU23" s="50"/>
      <c r="BV23" s="54"/>
      <c r="BW23" s="54"/>
    </row>
    <row r="24" spans="1:75" ht="16.5" thickBot="1">
      <c r="A24" s="26">
        <v>13</v>
      </c>
      <c r="B24" s="27" t="s">
        <v>38</v>
      </c>
      <c r="C24" s="28">
        <v>1</v>
      </c>
      <c r="D24" s="29">
        <v>139.89</v>
      </c>
      <c r="E24" s="28"/>
      <c r="F24" s="28">
        <v>1</v>
      </c>
      <c r="G24" s="29">
        <v>139.72</v>
      </c>
      <c r="H24" s="28"/>
      <c r="I24" s="28">
        <v>1</v>
      </c>
      <c r="J24" s="29">
        <v>139.23</v>
      </c>
      <c r="K24" s="28"/>
      <c r="L24" s="28">
        <v>1</v>
      </c>
      <c r="M24" s="29">
        <v>138.46</v>
      </c>
      <c r="N24" s="28"/>
      <c r="O24" s="28">
        <v>1</v>
      </c>
      <c r="P24" s="29">
        <v>138.24</v>
      </c>
      <c r="Q24" s="28"/>
      <c r="R24" s="28">
        <v>1</v>
      </c>
      <c r="S24" s="29">
        <v>138.91</v>
      </c>
      <c r="T24" s="28"/>
      <c r="U24" s="28">
        <v>1</v>
      </c>
      <c r="V24" s="29">
        <v>139.53</v>
      </c>
      <c r="W24" s="28"/>
      <c r="X24" s="28">
        <v>1</v>
      </c>
      <c r="Y24" s="29">
        <v>139.61</v>
      </c>
      <c r="Z24" s="28"/>
      <c r="AA24" s="28">
        <v>1</v>
      </c>
      <c r="AB24" s="29">
        <v>139.31</v>
      </c>
      <c r="AC24" s="28"/>
      <c r="AD24" s="28">
        <v>1</v>
      </c>
      <c r="AE24" s="28">
        <v>139.02</v>
      </c>
      <c r="AF24" s="28"/>
      <c r="AG24" s="28">
        <v>1</v>
      </c>
      <c r="AH24" s="29">
        <v>139.89</v>
      </c>
      <c r="AI24" s="28"/>
      <c r="AJ24" s="28">
        <v>1</v>
      </c>
      <c r="AK24" s="29">
        <v>140.1</v>
      </c>
      <c r="AL24" s="28"/>
      <c r="AM24" s="28">
        <v>1</v>
      </c>
      <c r="AN24" s="29">
        <v>139.77</v>
      </c>
      <c r="AO24" s="28"/>
      <c r="AP24" s="28">
        <v>1</v>
      </c>
      <c r="AQ24" s="29">
        <v>139.47</v>
      </c>
      <c r="AR24" s="28"/>
      <c r="AS24" s="28">
        <v>1</v>
      </c>
      <c r="AT24" s="29">
        <v>139.05</v>
      </c>
      <c r="AU24" s="28"/>
      <c r="AV24" s="28">
        <v>1</v>
      </c>
      <c r="AW24" s="29">
        <v>139.04</v>
      </c>
      <c r="AX24" s="28"/>
      <c r="AY24" s="28">
        <v>1</v>
      </c>
      <c r="AZ24" s="29">
        <v>139.27</v>
      </c>
      <c r="BA24" s="28"/>
      <c r="BB24" s="28">
        <v>1</v>
      </c>
      <c r="BC24" s="29">
        <v>139.12</v>
      </c>
      <c r="BD24" s="28"/>
      <c r="BE24" s="28">
        <v>1</v>
      </c>
      <c r="BF24" s="29">
        <v>139.16</v>
      </c>
      <c r="BG24" s="28"/>
      <c r="BH24" s="32">
        <v>1</v>
      </c>
      <c r="BI24" s="33">
        <v>139.2</v>
      </c>
      <c r="BJ24" s="28"/>
      <c r="BK24" s="32">
        <v>1</v>
      </c>
      <c r="BL24" s="33">
        <v>138.89</v>
      </c>
      <c r="BM24" s="28"/>
      <c r="BN24" s="31">
        <f t="shared" si="0"/>
        <v>1</v>
      </c>
      <c r="BO24" s="31">
        <f t="shared" si="1"/>
        <v>139.27999999999997</v>
      </c>
      <c r="BP24" s="11"/>
      <c r="BQ24" s="11"/>
      <c r="BR24" s="11"/>
      <c r="BS24" s="11"/>
      <c r="BT24" s="50"/>
      <c r="BU24" s="50"/>
      <c r="BV24" s="54"/>
      <c r="BW24" s="54"/>
    </row>
    <row r="25" spans="1:75" ht="15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7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H25" s="11"/>
      <c r="BI25" s="11"/>
      <c r="BJ25" s="11"/>
      <c r="BK25" s="11"/>
      <c r="BL25" s="11"/>
      <c r="BM25" s="11"/>
      <c r="BN25" s="35"/>
      <c r="BO25" s="35"/>
      <c r="BP25" s="11"/>
      <c r="BQ25" s="43"/>
      <c r="BR25" s="43"/>
      <c r="BS25" s="43"/>
      <c r="BT25" s="50"/>
      <c r="BU25" s="52"/>
      <c r="BV25" s="52"/>
      <c r="BW25" s="52"/>
    </row>
    <row r="26" spans="2:72" ht="15.75">
      <c r="B26" s="36"/>
      <c r="BM26" s="40"/>
      <c r="BN26" s="40"/>
      <c r="BO26" s="40"/>
      <c r="BP26" s="40"/>
      <c r="BQ26" s="40"/>
      <c r="BR26" s="40"/>
      <c r="BS26" s="40"/>
      <c r="BT26" s="40"/>
    </row>
    <row r="27" spans="2:72" ht="15.75">
      <c r="B27" s="36"/>
      <c r="BP27" s="40"/>
      <c r="BQ27" s="40"/>
      <c r="BR27" s="40"/>
      <c r="BS27" s="40"/>
      <c r="BT27" s="40"/>
    </row>
    <row r="28" ht="15.75">
      <c r="B28" s="36"/>
    </row>
    <row r="29" ht="15.75">
      <c r="B29" s="36"/>
    </row>
    <row r="30" ht="15.75">
      <c r="B30" s="36"/>
    </row>
    <row r="31" ht="15.75">
      <c r="B31" s="36"/>
    </row>
    <row r="32" ht="15.75">
      <c r="B32" s="36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Najada  Samarxhi</dc:creator>
  <cp:keywords/>
  <dc:description/>
  <cp:lastModifiedBy>Najada  Samarxhiu</cp:lastModifiedBy>
  <cp:lastPrinted>2003-02-10T09:56:40Z</cp:lastPrinted>
  <dcterms:created xsi:type="dcterms:W3CDTF">2002-01-04T09:02:27Z</dcterms:created>
  <dcterms:modified xsi:type="dcterms:W3CDTF">2018-03-05T12:37:50Z</dcterms:modified>
  <cp:category/>
  <cp:version/>
  <cp:contentType/>
  <cp:contentStatus/>
</cp:coreProperties>
</file>