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75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'Dhjetor'!$A$1:$BP$26</definedName>
    <definedName name="_xlnm.Print_Area" localSheetId="7">'Gusht'!$A$1:$BQ$25</definedName>
    <definedName name="_xlnm.Print_Area" localSheetId="0">'Janar'!$A$1:$BL$26</definedName>
    <definedName name="_xlnm.Print_Area" localSheetId="6">'Korrik'!$A$1:$BR$25</definedName>
    <definedName name="_xlnm.Print_Area" localSheetId="4">'Maj'!$A$1:$BM$25</definedName>
    <definedName name="_xlnm.Print_Area" localSheetId="2">'Mars'!$A$1:$BR$26</definedName>
    <definedName name="_xlnm.Print_Area" localSheetId="10">'Nentor'!$A$1:$BJ$25</definedName>
    <definedName name="_xlnm.Print_Area" localSheetId="3">'Prill'!$A$1:$BO$25</definedName>
    <definedName name="_xlnm.Print_Area" localSheetId="5">'Qershor'!$A$1:$BQ$25</definedName>
    <definedName name="_xlnm.Print_Area" localSheetId="1">'Shkurt'!$A$1:$BJ$26</definedName>
    <definedName name="_xlnm.Print_Area" localSheetId="8">'Shtator'!$A$1:$BR$25</definedName>
    <definedName name="_xlnm.Print_Area" localSheetId="9">'Tetor'!$A$1:$BM$25</definedName>
    <definedName name="_xlnm.Print_Titles" localSheetId="6">'Korrik'!$A:$B</definedName>
  </definedNames>
  <calcPr fullCalcOnLoad="1"/>
</workbook>
</file>

<file path=xl/sharedStrings.xml><?xml version="1.0" encoding="utf-8"?>
<sst xmlns="http://schemas.openxmlformats.org/spreadsheetml/2006/main" count="2399" uniqueCount="290">
  <si>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</si>
  <si>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</si>
  <si>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</si>
  <si>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</si>
  <si>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</si>
  <si>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</si>
  <si>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</si>
  <si>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</si>
  <si>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</si>
  <si>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</si>
  <si>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</si>
  <si>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</si>
  <si>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</si>
  <si>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</si>
  <si>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</si>
  <si>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</si>
  <si>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</si>
  <si>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</si>
  <si>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</si>
  <si>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</si>
  <si>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</si>
  <si>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</si>
  <si>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</si>
  <si>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</si>
  <si>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</si>
  <si>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</si>
  <si>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</si>
  <si>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Shkurt' 03</t>
  </si>
  <si>
    <t>Gusht' 03</t>
  </si>
  <si>
    <t>Janar' 04</t>
  </si>
  <si>
    <t xml:space="preserve">    DT. 05.01.2004</t>
  </si>
  <si>
    <t xml:space="preserve">    DT. 06.01.2004</t>
  </si>
  <si>
    <t xml:space="preserve">    DT. 07.01.2004</t>
  </si>
  <si>
    <t xml:space="preserve">    DT. 08.01.2004</t>
  </si>
  <si>
    <t xml:space="preserve">    DT. 09.01.2004</t>
  </si>
  <si>
    <t xml:space="preserve">    DT. 12.01.2004</t>
  </si>
  <si>
    <t xml:space="preserve">    DT. 13.01.2004</t>
  </si>
  <si>
    <t xml:space="preserve">    DT. 14.01.2004</t>
  </si>
  <si>
    <t xml:space="preserve">    DT. 15.01.2004</t>
  </si>
  <si>
    <t xml:space="preserve">    DT. 16.01.2004</t>
  </si>
  <si>
    <t xml:space="preserve">    DT. 19.01.2004</t>
  </si>
  <si>
    <t xml:space="preserve">    DT. 20.01.2004</t>
  </si>
  <si>
    <t xml:space="preserve">    DT. 21.01.2004</t>
  </si>
  <si>
    <t xml:space="preserve">    DT. 22.01.2004</t>
  </si>
  <si>
    <t xml:space="preserve">    DT. 23.01.2004</t>
  </si>
  <si>
    <t xml:space="preserve">    DT. 26.01.2004</t>
  </si>
  <si>
    <t xml:space="preserve">    DT. 27.01.2004</t>
  </si>
  <si>
    <t xml:space="preserve">    DT. 28.01.2004</t>
  </si>
  <si>
    <t xml:space="preserve">    DT. 29.01.2004</t>
  </si>
  <si>
    <t xml:space="preserve">    DT. 30.01.2004</t>
  </si>
  <si>
    <t xml:space="preserve">    DT. 03.02.2004</t>
  </si>
  <si>
    <t xml:space="preserve">    DT. 04.02.2004</t>
  </si>
  <si>
    <t xml:space="preserve">    DT. 05.02.2004</t>
  </si>
  <si>
    <t xml:space="preserve">    DT. 06.02.2004</t>
  </si>
  <si>
    <t xml:space="preserve">    DT. 09.02.2004</t>
  </si>
  <si>
    <t xml:space="preserve">    DT. 10.02.2004</t>
  </si>
  <si>
    <t xml:space="preserve">    DT. 11.02.2004</t>
  </si>
  <si>
    <t xml:space="preserve">    DT. 12.02.2004</t>
  </si>
  <si>
    <t xml:space="preserve">    DT. 13.02.2004</t>
  </si>
  <si>
    <t xml:space="preserve">    DT. 16.02.2004</t>
  </si>
  <si>
    <t xml:space="preserve">    DT. 17.02.2004</t>
  </si>
  <si>
    <t xml:space="preserve">    DT. 18.02.2004</t>
  </si>
  <si>
    <t xml:space="preserve">    DT. 19.02.2004</t>
  </si>
  <si>
    <t xml:space="preserve">    DT. 20.02.2004</t>
  </si>
  <si>
    <t xml:space="preserve">    DT. 23.02.2004</t>
  </si>
  <si>
    <t xml:space="preserve">    DT. 24.02.2004</t>
  </si>
  <si>
    <t xml:space="preserve">    DT. 25.02.2004</t>
  </si>
  <si>
    <t xml:space="preserve">    DT. 26.02.2004</t>
  </si>
  <si>
    <t xml:space="preserve">    DT. 27.02.2004</t>
  </si>
  <si>
    <t>Mars' 04</t>
  </si>
  <si>
    <t xml:space="preserve">    DT. 01.03.2004</t>
  </si>
  <si>
    <t xml:space="preserve">    DT. 02.03.2004</t>
  </si>
  <si>
    <t xml:space="preserve">    DT. 03.03.2004</t>
  </si>
  <si>
    <t xml:space="preserve">    DT. 04.03.2004</t>
  </si>
  <si>
    <t xml:space="preserve">    DT. 05.03.2004</t>
  </si>
  <si>
    <t xml:space="preserve">    DT. 08.03.2004</t>
  </si>
  <si>
    <t xml:space="preserve">    DT. 09.03.2004</t>
  </si>
  <si>
    <t xml:space="preserve">    DT. 10.03.2004</t>
  </si>
  <si>
    <t xml:space="preserve">    DT. 11.03.2004</t>
  </si>
  <si>
    <t xml:space="preserve">    DT. 12.03.2004</t>
  </si>
  <si>
    <t xml:space="preserve">    DT. 15.03.2004</t>
  </si>
  <si>
    <t xml:space="preserve">    DT. 16.03.2004</t>
  </si>
  <si>
    <t xml:space="preserve">    DT. 17.03.2004</t>
  </si>
  <si>
    <t xml:space="preserve">    DT. 18.03.2004</t>
  </si>
  <si>
    <t xml:space="preserve">    DT. 19.03.2004</t>
  </si>
  <si>
    <t xml:space="preserve">    DT. 23.03.2004</t>
  </si>
  <si>
    <t xml:space="preserve">    DT. 24.03.2004</t>
  </si>
  <si>
    <t xml:space="preserve">    DT. 25.03.2004</t>
  </si>
  <si>
    <t xml:space="preserve">    DT. 26.03.2004</t>
  </si>
  <si>
    <t xml:space="preserve">    DT. 29.03.2004</t>
  </si>
  <si>
    <t xml:space="preserve">    DT. 30.03.2004</t>
  </si>
  <si>
    <t xml:space="preserve">    DT. 31.03.2004</t>
  </si>
  <si>
    <t xml:space="preserve">    DT. 01.04.2004</t>
  </si>
  <si>
    <t xml:space="preserve">    DT. 02.04.2004</t>
  </si>
  <si>
    <t xml:space="preserve">    DT. 05.04.2004</t>
  </si>
  <si>
    <t xml:space="preserve">    DT. 06.04.2004</t>
  </si>
  <si>
    <t xml:space="preserve">    DT. 07.04.2004</t>
  </si>
  <si>
    <t xml:space="preserve">    DT. 08.04.2004</t>
  </si>
  <si>
    <t xml:space="preserve">    DT. 09.04.2004</t>
  </si>
  <si>
    <t xml:space="preserve">    DT. 13.04.2004</t>
  </si>
  <si>
    <t xml:space="preserve">    DT. 14.04.2004</t>
  </si>
  <si>
    <t xml:space="preserve">    DT. 15.04.2004</t>
  </si>
  <si>
    <t xml:space="preserve">    DT. 16.04.2004</t>
  </si>
  <si>
    <t xml:space="preserve">    DT. 19.04.2004</t>
  </si>
  <si>
    <t xml:space="preserve">    DT. 20.04.2004</t>
  </si>
  <si>
    <t xml:space="preserve">    DT. 21.04.2004</t>
  </si>
  <si>
    <t xml:space="preserve">    DT. 22.04.2004</t>
  </si>
  <si>
    <t xml:space="preserve">    DT. 23.04.2004</t>
  </si>
  <si>
    <t xml:space="preserve">    DT. 26.04.2004</t>
  </si>
  <si>
    <t xml:space="preserve">    DT. 27.04.2004</t>
  </si>
  <si>
    <t xml:space="preserve">    DT. 28.04.2004</t>
  </si>
  <si>
    <t xml:space="preserve">    DT. 29.04.2004</t>
  </si>
  <si>
    <t xml:space="preserve">    DT. 30.04.2004</t>
  </si>
  <si>
    <t>Maj' 04</t>
  </si>
  <si>
    <t>Prill' 04</t>
  </si>
  <si>
    <t xml:space="preserve">    DT. 04.05.2004</t>
  </si>
  <si>
    <t xml:space="preserve">    DT. 05.05.2004</t>
  </si>
  <si>
    <t xml:space="preserve">    DT. 06.05.2004</t>
  </si>
  <si>
    <t xml:space="preserve">    DT. 07.05.2004</t>
  </si>
  <si>
    <t xml:space="preserve">    DT. 10.05.2004</t>
  </si>
  <si>
    <t xml:space="preserve">    DT. 11.05.2004</t>
  </si>
  <si>
    <t xml:space="preserve">    DT. 12.05.2004</t>
  </si>
  <si>
    <t xml:space="preserve">    DT. 13.05.2004</t>
  </si>
  <si>
    <t xml:space="preserve">    DT. 14.05.2004</t>
  </si>
  <si>
    <t xml:space="preserve">    DT. 17.05.2004</t>
  </si>
  <si>
    <t xml:space="preserve">    DT. 18.05.2004</t>
  </si>
  <si>
    <t xml:space="preserve">    DT. 19.05.2004</t>
  </si>
  <si>
    <t xml:space="preserve">    DT. 20.05.2004</t>
  </si>
  <si>
    <t xml:space="preserve">    DT. 21.05.2004</t>
  </si>
  <si>
    <t xml:space="preserve">    DT. 24.05.2004</t>
  </si>
  <si>
    <t xml:space="preserve">    DT. 25.05.2004</t>
  </si>
  <si>
    <t xml:space="preserve">    DT. 26.05.2004</t>
  </si>
  <si>
    <t xml:space="preserve">    DT. 27.05.2004</t>
  </si>
  <si>
    <t xml:space="preserve">    DT. 28.05.2004</t>
  </si>
  <si>
    <t xml:space="preserve">    DT. 31.05.2004</t>
  </si>
  <si>
    <t>Qershor' 04</t>
  </si>
  <si>
    <t xml:space="preserve">    DT. 01.06.2004</t>
  </si>
  <si>
    <t xml:space="preserve">    DT. 02.06.2004</t>
  </si>
  <si>
    <t xml:space="preserve">    DT. 03.06.2004</t>
  </si>
  <si>
    <t xml:space="preserve">    DT. 04.06.2004</t>
  </si>
  <si>
    <t xml:space="preserve">    DT. 07.06.2004</t>
  </si>
  <si>
    <t xml:space="preserve">    DT. 08.06.2004</t>
  </si>
  <si>
    <t xml:space="preserve">    DT. 09.06.2004</t>
  </si>
  <si>
    <t xml:space="preserve">    DT. 10.06.2004</t>
  </si>
  <si>
    <t xml:space="preserve">    DT. 11.06.2004</t>
  </si>
  <si>
    <t xml:space="preserve">    DT. 14.06.2004</t>
  </si>
  <si>
    <t xml:space="preserve">    DT. 15.06.2004</t>
  </si>
  <si>
    <t xml:space="preserve">    DT. 16.06.2004</t>
  </si>
  <si>
    <t xml:space="preserve">    DT. 17.06.2004</t>
  </si>
  <si>
    <t xml:space="preserve">    DT. 18.06.2004</t>
  </si>
  <si>
    <t xml:space="preserve">    DT. 21.06.2004</t>
  </si>
  <si>
    <t xml:space="preserve">    DT. 22.06.2004</t>
  </si>
  <si>
    <t xml:space="preserve">    DT. 23.06.2004</t>
  </si>
  <si>
    <t xml:space="preserve">    DT. 24.06.2004</t>
  </si>
  <si>
    <t xml:space="preserve">    DT. 25.06.2004</t>
  </si>
  <si>
    <t xml:space="preserve">    DT. 28.06.2004</t>
  </si>
  <si>
    <t xml:space="preserve">    DT. 29.06.2004</t>
  </si>
  <si>
    <t xml:space="preserve">    DT. 30.06.2004</t>
  </si>
  <si>
    <t>Korrik' 04</t>
  </si>
  <si>
    <t xml:space="preserve">    DT. 01.07.2004</t>
  </si>
  <si>
    <t xml:space="preserve">    DT. 02.07.2004</t>
  </si>
  <si>
    <t xml:space="preserve">    DT. 05.07.2004</t>
  </si>
  <si>
    <t xml:space="preserve">    DT. 06.07.2004</t>
  </si>
  <si>
    <t xml:space="preserve">    DT. 07.07.2004</t>
  </si>
  <si>
    <t xml:space="preserve">    DT. 08.07.2004</t>
  </si>
  <si>
    <t xml:space="preserve">    DT. 09.07.2004</t>
  </si>
  <si>
    <t xml:space="preserve">    DT. 12.07.2004</t>
  </si>
  <si>
    <t xml:space="preserve">    DT. 13.07.2004</t>
  </si>
  <si>
    <t xml:space="preserve">    DT. 14.07.2004</t>
  </si>
  <si>
    <t xml:space="preserve">    DT. 15.07.2004</t>
  </si>
  <si>
    <t xml:space="preserve">    DT. 16.07.2004</t>
  </si>
  <si>
    <t xml:space="preserve">    DT. 19.07.2004</t>
  </si>
  <si>
    <t xml:space="preserve">    DT. 20.07.2004</t>
  </si>
  <si>
    <t xml:space="preserve">    DT. 21.07.2004</t>
  </si>
  <si>
    <t xml:space="preserve">    DT. 22.07.2004</t>
  </si>
  <si>
    <t xml:space="preserve">    DT. 23.07.2004</t>
  </si>
  <si>
    <t xml:space="preserve">    DT. 26.07.2004</t>
  </si>
  <si>
    <t xml:space="preserve">    DT. 27.07.2004</t>
  </si>
  <si>
    <t xml:space="preserve">    DT. 28.07.2004</t>
  </si>
  <si>
    <t xml:space="preserve">    DT. 29.07.2004</t>
  </si>
  <si>
    <t xml:space="preserve">    DT. 30.07.2004</t>
  </si>
  <si>
    <t xml:space="preserve">    DT. 02.08.2004</t>
  </si>
  <si>
    <t xml:space="preserve">    DT. 03.08.2004</t>
  </si>
  <si>
    <t xml:space="preserve">    DT. 04.08.2004</t>
  </si>
  <si>
    <t xml:space="preserve">    DT. 05.08.2004</t>
  </si>
  <si>
    <t xml:space="preserve">    DT. 06.08.2004</t>
  </si>
  <si>
    <t xml:space="preserve">    DT. 09.08.2004</t>
  </si>
  <si>
    <t xml:space="preserve">    DT. 10.08.2004</t>
  </si>
  <si>
    <t xml:space="preserve">    DT. 11.08.2004</t>
  </si>
  <si>
    <t xml:space="preserve">    DT. 12.08.2004</t>
  </si>
  <si>
    <t xml:space="preserve">    DT. 13.08.2004</t>
  </si>
  <si>
    <t xml:space="preserve">    DT. 16.08.2004</t>
  </si>
  <si>
    <t xml:space="preserve">    DT. 17.08.2004</t>
  </si>
  <si>
    <t xml:space="preserve">    DT. 18.08.2004</t>
  </si>
  <si>
    <t xml:space="preserve">    DT. 19.08.2004</t>
  </si>
  <si>
    <t xml:space="preserve">    DT. 20.08.2004</t>
  </si>
  <si>
    <t xml:space="preserve">    DT. 23.08.2004</t>
  </si>
  <si>
    <t xml:space="preserve">    DT. 24.08.2004</t>
  </si>
  <si>
    <t xml:space="preserve">    DT. 25.08.2004</t>
  </si>
  <si>
    <t xml:space="preserve">    DT. 26.08.2004</t>
  </si>
  <si>
    <t xml:space="preserve">    DT. 27.08.2004</t>
  </si>
  <si>
    <t xml:space="preserve">    DT. 30.08.2004</t>
  </si>
  <si>
    <t xml:space="preserve">    DT. 31.08.2004</t>
  </si>
  <si>
    <t>Shtator' 04</t>
  </si>
  <si>
    <t xml:space="preserve">    DT. 01.09.2004</t>
  </si>
  <si>
    <t xml:space="preserve">    DT. 02.09.2004</t>
  </si>
  <si>
    <t xml:space="preserve">    DT. 03.09.2004</t>
  </si>
  <si>
    <t xml:space="preserve">    DT. 06.09.2004</t>
  </si>
  <si>
    <t xml:space="preserve">    DT. 07.09.2004</t>
  </si>
  <si>
    <t xml:space="preserve">    DT. 08.09.2004</t>
  </si>
  <si>
    <t xml:space="preserve">    DT. 09.09.2004</t>
  </si>
  <si>
    <t xml:space="preserve">    DT. 10.09.2004</t>
  </si>
  <si>
    <t xml:space="preserve">    DT. 13.09.2004</t>
  </si>
  <si>
    <t xml:space="preserve">    DT. 14.09.2004</t>
  </si>
  <si>
    <t xml:space="preserve">    DT. 15.09.2004</t>
  </si>
  <si>
    <t xml:space="preserve">    DT. 16.09.2004</t>
  </si>
  <si>
    <t xml:space="preserve">    DT. 17.09.2004</t>
  </si>
  <si>
    <t xml:space="preserve">    DT. 20.09.2004</t>
  </si>
  <si>
    <t xml:space="preserve">    DT. 21.09.2004</t>
  </si>
  <si>
    <t xml:space="preserve">    DT. 22.09.2004</t>
  </si>
  <si>
    <t xml:space="preserve">    DT. 23.09.2004</t>
  </si>
  <si>
    <t xml:space="preserve">    DT. 24.09.2004</t>
  </si>
  <si>
    <t xml:space="preserve">    DT. 27.09.2004</t>
  </si>
  <si>
    <t xml:space="preserve">    DT. 28.09.2004</t>
  </si>
  <si>
    <t xml:space="preserve">    DT. 29.09.2004</t>
  </si>
  <si>
    <t xml:space="preserve">    DT. 30.09.2004</t>
  </si>
  <si>
    <t>Tetor' 04</t>
  </si>
  <si>
    <t xml:space="preserve">    DT. 01.10.2004</t>
  </si>
  <si>
    <t xml:space="preserve">    DT. 04.10.2004</t>
  </si>
  <si>
    <t xml:space="preserve">    DT. 05.10.2004</t>
  </si>
  <si>
    <t xml:space="preserve">    DT. 06.10.2004</t>
  </si>
  <si>
    <t xml:space="preserve">    DT. 07.10.2004</t>
  </si>
  <si>
    <t xml:space="preserve">    DT. 08.10.2004</t>
  </si>
  <si>
    <t xml:space="preserve">    DT. 11.10.2004</t>
  </si>
  <si>
    <t xml:space="preserve">    DT. 12.10.2004</t>
  </si>
  <si>
    <t xml:space="preserve">    DT. 13.10.2004</t>
  </si>
  <si>
    <t xml:space="preserve">    DT. 14.10.2004</t>
  </si>
  <si>
    <t xml:space="preserve">    DT. 15.10.2004</t>
  </si>
  <si>
    <t xml:space="preserve">    DT. 18.10.2004</t>
  </si>
  <si>
    <t xml:space="preserve">    DT. 20.10.2004</t>
  </si>
  <si>
    <t xml:space="preserve">    DT. 21.10.2004</t>
  </si>
  <si>
    <t xml:space="preserve">    DT. 22.10.2004</t>
  </si>
  <si>
    <t xml:space="preserve">    DT. 25.10.2004</t>
  </si>
  <si>
    <t xml:space="preserve">    DT. 26.10.2004</t>
  </si>
  <si>
    <t xml:space="preserve">    DT. 27.10.2004</t>
  </si>
  <si>
    <t xml:space="preserve">    DT. 28.10.2004</t>
  </si>
  <si>
    <t xml:space="preserve">    DT. 29.10.2004</t>
  </si>
  <si>
    <t>Nentor' 04</t>
  </si>
  <si>
    <t xml:space="preserve">    DT. 01.11.2004</t>
  </si>
  <si>
    <t xml:space="preserve">    DT. 02.11.2004</t>
  </si>
  <si>
    <t xml:space="preserve">    DT. 03.11.2004</t>
  </si>
  <si>
    <t xml:space="preserve">    DT. 04.11.2004</t>
  </si>
  <si>
    <t xml:space="preserve">    DT. 05.11.2004</t>
  </si>
  <si>
    <t xml:space="preserve">    DT. 08.11.2004</t>
  </si>
  <si>
    <t xml:space="preserve">    DT. 09.11.2004</t>
  </si>
  <si>
    <t xml:space="preserve">    DT. 10.11.2004</t>
  </si>
  <si>
    <t xml:space="preserve">    DT. 11.11.2004</t>
  </si>
  <si>
    <t xml:space="preserve">    DT. 12.11.2004</t>
  </si>
  <si>
    <t xml:space="preserve">    DT. 16.11.2004</t>
  </si>
  <si>
    <t xml:space="preserve">    DT. 17.11.2004</t>
  </si>
  <si>
    <t xml:space="preserve">    DT. 18.11.2004</t>
  </si>
  <si>
    <t xml:space="preserve">    DT. 19.11.2004</t>
  </si>
  <si>
    <t xml:space="preserve">    DT. 22.11.2004</t>
  </si>
  <si>
    <t xml:space="preserve">    DT. 23.11.2004</t>
  </si>
  <si>
    <t xml:space="preserve">    DT. 24.11.2004</t>
  </si>
  <si>
    <t xml:space="preserve">    DT. 25.11.2004</t>
  </si>
  <si>
    <t xml:space="preserve">    DT. 26.11.2004</t>
  </si>
  <si>
    <t>Dhjetor' 04</t>
  </si>
  <si>
    <t xml:space="preserve">    DT. 01.12.2004</t>
  </si>
  <si>
    <t xml:space="preserve">    DT. 02.12.2004</t>
  </si>
  <si>
    <t xml:space="preserve">    DT. 03.12.2004</t>
  </si>
  <si>
    <t xml:space="preserve">    DT. 06.12.2004</t>
  </si>
  <si>
    <t xml:space="preserve">    DT. 07.12.2004</t>
  </si>
  <si>
    <t xml:space="preserve">    DT. 08.12.2004</t>
  </si>
  <si>
    <t xml:space="preserve">    DT. 09.12.2004</t>
  </si>
  <si>
    <t xml:space="preserve">    DT. 10.12.2004</t>
  </si>
  <si>
    <t xml:space="preserve">    DT. 13.12.2004</t>
  </si>
  <si>
    <t xml:space="preserve">    DT. 14.12.2004</t>
  </si>
  <si>
    <t xml:space="preserve">    DT. 15.12.2004</t>
  </si>
  <si>
    <t xml:space="preserve">    DT. 16.12.2004</t>
  </si>
  <si>
    <t xml:space="preserve">    DT. 17.12.2004</t>
  </si>
  <si>
    <t xml:space="preserve">    DT. 20.12.2004</t>
  </si>
  <si>
    <t xml:space="preserve">    DT. 21.12.2004</t>
  </si>
  <si>
    <t xml:space="preserve">    DT. 22.12.2004</t>
  </si>
  <si>
    <t xml:space="preserve">    DT. 23.12.2004</t>
  </si>
  <si>
    <t xml:space="preserve">    DT. 24.12.2004</t>
  </si>
  <si>
    <t xml:space="preserve">    DT. 28.12.2004</t>
  </si>
  <si>
    <t xml:space="preserve">    DT. 29.12.2004</t>
  </si>
  <si>
    <t xml:space="preserve">    DT. 30.12.2004</t>
  </si>
  <si>
    <t xml:space="preserve">    DT. 31.12.2004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</si>
</sst>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</numFmts>
  <fonts count="5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30</v>
      </c>
      <c r="D4" s="4"/>
      <c r="E4" s="10"/>
      <c r="F4" s="4" t="s">
        <v>31</v>
      </c>
      <c r="G4" s="4"/>
      <c r="H4" s="10"/>
      <c r="I4" s="4" t="s">
        <v>32</v>
      </c>
      <c r="J4" s="4"/>
      <c r="K4" s="10"/>
      <c r="L4" s="4" t="s">
        <v>33</v>
      </c>
      <c r="M4" s="4"/>
      <c r="N4" s="10"/>
      <c r="O4" s="4" t="s">
        <v>34</v>
      </c>
      <c r="P4" s="4"/>
      <c r="Q4" s="10"/>
      <c r="R4" s="4" t="s">
        <v>35</v>
      </c>
      <c r="S4" s="4"/>
      <c r="T4" s="10"/>
      <c r="U4" s="4" t="s">
        <v>36</v>
      </c>
      <c r="V4" s="4"/>
      <c r="W4" s="10"/>
      <c r="X4" s="4" t="s">
        <v>37</v>
      </c>
      <c r="Y4" s="4"/>
      <c r="Z4" s="10"/>
      <c r="AA4" s="4" t="s">
        <v>38</v>
      </c>
      <c r="AB4" s="4"/>
      <c r="AC4" s="10"/>
      <c r="AD4" s="4" t="s">
        <v>39</v>
      </c>
      <c r="AE4" s="4"/>
      <c r="AF4" s="10"/>
      <c r="AG4" s="4" t="s">
        <v>40</v>
      </c>
      <c r="AH4" s="4"/>
      <c r="AI4" s="10"/>
      <c r="AJ4" s="4" t="s">
        <v>41</v>
      </c>
      <c r="AK4" s="4"/>
      <c r="AL4" s="10"/>
      <c r="AM4" s="4" t="s">
        <v>42</v>
      </c>
      <c r="AN4" s="4"/>
      <c r="AO4" s="10"/>
      <c r="AP4" s="4" t="s">
        <v>43</v>
      </c>
      <c r="AQ4" s="4"/>
      <c r="AR4" s="10"/>
      <c r="AS4" s="4" t="s">
        <v>44</v>
      </c>
      <c r="AT4" s="4"/>
      <c r="AU4" s="10"/>
      <c r="AV4" s="4" t="s">
        <v>45</v>
      </c>
      <c r="AW4" s="4"/>
      <c r="AX4" s="10"/>
      <c r="AY4" s="4" t="s">
        <v>46</v>
      </c>
      <c r="AZ4" s="4"/>
      <c r="BA4" s="10"/>
      <c r="BB4" s="4" t="s">
        <v>47</v>
      </c>
      <c r="BC4" s="4"/>
      <c r="BD4" s="10"/>
      <c r="BE4" s="4" t="s">
        <v>48</v>
      </c>
      <c r="BF4" s="4"/>
      <c r="BG4" s="10"/>
      <c r="BH4" s="4" t="s">
        <v>49</v>
      </c>
      <c r="BI4" s="4"/>
      <c r="BJ4" s="10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75" customHeight="1">
      <c r="A13" s="16">
        <v>1</v>
      </c>
      <c r="B13" s="17" t="s">
        <v>14</v>
      </c>
      <c r="C13" s="27">
        <v>106.8</v>
      </c>
      <c r="D13" s="19">
        <v>98.89</v>
      </c>
      <c r="E13" s="5"/>
      <c r="F13" s="27">
        <v>106.14</v>
      </c>
      <c r="G13" s="19">
        <v>99.09</v>
      </c>
      <c r="H13" s="5"/>
      <c r="I13" s="27">
        <v>106.15</v>
      </c>
      <c r="J13" s="19">
        <v>99.64</v>
      </c>
      <c r="K13" s="5"/>
      <c r="L13" s="27">
        <v>106.14</v>
      </c>
      <c r="M13" s="19">
        <v>99.99</v>
      </c>
      <c r="N13" s="5"/>
      <c r="O13" s="27">
        <v>106.67</v>
      </c>
      <c r="P13" s="19">
        <v>98.91</v>
      </c>
      <c r="Q13" s="5"/>
      <c r="R13" s="27">
        <v>106.46</v>
      </c>
      <c r="S13" s="19">
        <v>98.56</v>
      </c>
      <c r="T13" s="5"/>
      <c r="U13" s="27">
        <v>106.42</v>
      </c>
      <c r="V13" s="19">
        <v>99.22</v>
      </c>
      <c r="W13" s="5"/>
      <c r="X13" s="27">
        <v>106.19</v>
      </c>
      <c r="Y13" s="19">
        <v>99.71</v>
      </c>
      <c r="Z13" s="5"/>
      <c r="AA13" s="27">
        <v>106.02</v>
      </c>
      <c r="AB13" s="19">
        <v>100.1</v>
      </c>
      <c r="AC13" s="5"/>
      <c r="AD13" s="27">
        <v>105.92</v>
      </c>
      <c r="AE13" s="19">
        <v>100.97</v>
      </c>
      <c r="AF13" s="5"/>
      <c r="AG13" s="27">
        <v>107.1</v>
      </c>
      <c r="AH13" s="19">
        <v>101.18</v>
      </c>
      <c r="AI13" s="5"/>
      <c r="AJ13" s="27">
        <v>107.61</v>
      </c>
      <c r="AK13" s="19">
        <v>100.24</v>
      </c>
      <c r="AL13" s="5"/>
      <c r="AM13" s="27">
        <v>106.84</v>
      </c>
      <c r="AN13" s="19">
        <v>99.36</v>
      </c>
      <c r="AO13" s="5"/>
      <c r="AP13" s="27">
        <v>106.34</v>
      </c>
      <c r="AQ13" s="19">
        <v>99.66</v>
      </c>
      <c r="AR13" s="5"/>
      <c r="AS13" s="27">
        <v>105.92</v>
      </c>
      <c r="AT13" s="19">
        <v>99.47</v>
      </c>
      <c r="AU13" s="5"/>
      <c r="AV13" s="27">
        <v>106.14</v>
      </c>
      <c r="AW13" s="19">
        <v>100.15</v>
      </c>
      <c r="AX13" s="5"/>
      <c r="AY13" s="27">
        <v>105.9</v>
      </c>
      <c r="AZ13" s="19">
        <v>100.76</v>
      </c>
      <c r="BA13" s="5"/>
      <c r="BB13" s="27">
        <v>105.82</v>
      </c>
      <c r="BC13" s="19">
        <v>100.28</v>
      </c>
      <c r="BD13" s="5"/>
      <c r="BE13" s="27">
        <v>105.96</v>
      </c>
      <c r="BF13" s="19">
        <v>100.58</v>
      </c>
      <c r="BG13" s="5"/>
      <c r="BH13" s="27">
        <v>105.71</v>
      </c>
      <c r="BI13" s="19">
        <v>101.47</v>
      </c>
      <c r="BJ13" s="5"/>
      <c r="BK13" s="27">
        <f>(C13+F13+I13+L13+O13+R13+U13+X13+AA13+AD13+AG13+AJ13+AM13+AP13+AS13+AV13+AY13+BB13+BE13+BH13)/20</f>
        <v>106.3125</v>
      </c>
      <c r="BL13" s="19">
        <f>(D13+G13+J13+M13+P13+S13+V13+Y13+AB13+AE13+AH13+AK13+AN13+AQ13+AT13+AW13+AZ13+BC13+BF13+BI13)/20</f>
        <v>99.9115</v>
      </c>
      <c r="BM13" s="5"/>
    </row>
    <row r="14" spans="1:65" ht="15.75" customHeight="1">
      <c r="A14" s="16">
        <v>2</v>
      </c>
      <c r="B14" s="17" t="s">
        <v>15</v>
      </c>
      <c r="C14" s="27">
        <f>1/1.7981</f>
        <v>0.5561425949613481</v>
      </c>
      <c r="D14" s="19">
        <v>189.9</v>
      </c>
      <c r="E14" s="5"/>
      <c r="F14" s="27">
        <f>1/1.8219</f>
        <v>0.5488775454196169</v>
      </c>
      <c r="G14" s="19">
        <v>191.62</v>
      </c>
      <c r="H14" s="5"/>
      <c r="I14" s="27">
        <f>1/1.815</f>
        <v>0.5509641873278237</v>
      </c>
      <c r="J14" s="19">
        <v>191.97</v>
      </c>
      <c r="K14" s="5"/>
      <c r="L14" s="27">
        <f>1/1.813</f>
        <v>0.5515719801434087</v>
      </c>
      <c r="M14" s="19">
        <v>192.41</v>
      </c>
      <c r="N14" s="5"/>
      <c r="O14" s="27">
        <f>1/1.8344</f>
        <v>0.5451373746184038</v>
      </c>
      <c r="P14" s="19">
        <v>193.55</v>
      </c>
      <c r="Q14" s="5"/>
      <c r="R14" s="27">
        <f>1/1.8541</f>
        <v>0.5393452348848498</v>
      </c>
      <c r="S14" s="19">
        <v>194.55</v>
      </c>
      <c r="T14" s="5"/>
      <c r="U14" s="27">
        <f>1/1.843</f>
        <v>0.5425935973955507</v>
      </c>
      <c r="V14" s="19">
        <v>194.6</v>
      </c>
      <c r="W14" s="5"/>
      <c r="X14" s="27">
        <f>1/1.8368</f>
        <v>0.544425087108014</v>
      </c>
      <c r="Y14" s="19">
        <v>194.49</v>
      </c>
      <c r="Z14" s="5"/>
      <c r="AA14" s="27">
        <f>1/1.8281</f>
        <v>0.5470160275696078</v>
      </c>
      <c r="AB14" s="19">
        <v>194.02</v>
      </c>
      <c r="AC14" s="5"/>
      <c r="AD14" s="27">
        <f>1/1.8135</f>
        <v>0.5514199062586159</v>
      </c>
      <c r="AE14" s="19">
        <v>193.96</v>
      </c>
      <c r="AF14" s="5"/>
      <c r="AG14" s="27">
        <f>1/1.7885</f>
        <v>0.5591277606933184</v>
      </c>
      <c r="AH14" s="19">
        <v>193.81</v>
      </c>
      <c r="AI14" s="5"/>
      <c r="AJ14" s="27">
        <f>1/1.7976</f>
        <v>0.5562972852692478</v>
      </c>
      <c r="AK14" s="19">
        <v>193.9</v>
      </c>
      <c r="AL14" s="5"/>
      <c r="AM14" s="27">
        <f>1/1.8327</f>
        <v>0.5456430403230207</v>
      </c>
      <c r="AN14" s="19">
        <v>194.56</v>
      </c>
      <c r="AO14" s="5"/>
      <c r="AP14" s="27">
        <f>1/1.8439</f>
        <v>0.5423287596941265</v>
      </c>
      <c r="AQ14" s="19">
        <v>195.42</v>
      </c>
      <c r="AR14" s="5"/>
      <c r="AS14" s="27">
        <f>1/1.8498</f>
        <v>0.5405989836739107</v>
      </c>
      <c r="AT14" s="19">
        <v>194.89</v>
      </c>
      <c r="AU14" s="5"/>
      <c r="AV14" s="27">
        <f>1/1.824</f>
        <v>0.5482456140350876</v>
      </c>
      <c r="AW14" s="19">
        <v>193.88</v>
      </c>
      <c r="AX14" s="5"/>
      <c r="AY14" s="27">
        <f>1/1.8057</f>
        <v>0.5538018496981779</v>
      </c>
      <c r="AZ14" s="19">
        <v>192.67</v>
      </c>
      <c r="BA14" s="5"/>
      <c r="BB14" s="27">
        <f>1/1.8313</f>
        <v>0.5460601758313767</v>
      </c>
      <c r="BC14" s="19">
        <v>194.34</v>
      </c>
      <c r="BD14" s="5"/>
      <c r="BE14" s="27">
        <f>1/1.8254</f>
        <v>0.547825134217158</v>
      </c>
      <c r="BF14" s="19">
        <v>194.54</v>
      </c>
      <c r="BG14" s="5"/>
      <c r="BH14" s="27">
        <f>1/1.8098</f>
        <v>0.5525472427892585</v>
      </c>
      <c r="BI14" s="19">
        <v>194.14</v>
      </c>
      <c r="BJ14" s="5"/>
      <c r="BK14" s="27">
        <f aca="true" t="shared" si="0" ref="BK14:BK25">(C14+F14+I14+L14+O14+R14+U14+X14+AA14+AD14+AG14+AJ14+AM14+AP14+AS14+AV14+AY14+BB14+BE14+BH14)/20</f>
        <v>0.5484984690955961</v>
      </c>
      <c r="BL14" s="19">
        <f aca="true" t="shared" si="1" ref="BL14:BL25">(D14+G14+J14+M14+P14+S14+V14+Y14+AB14+AE14+AH14+AK14+AN14+AQ14+AT14+AW14+AZ14+BC14+BF14+BI14)/20</f>
        <v>193.661</v>
      </c>
      <c r="BM14" s="5"/>
    </row>
    <row r="15" spans="1:65" ht="15.75" customHeight="1">
      <c r="A15" s="16">
        <v>3</v>
      </c>
      <c r="B15" s="17" t="s">
        <v>16</v>
      </c>
      <c r="C15" s="27">
        <v>1.2324</v>
      </c>
      <c r="D15" s="19">
        <v>85.7</v>
      </c>
      <c r="E15" s="5"/>
      <c r="F15" s="27">
        <v>1.2287</v>
      </c>
      <c r="G15" s="19">
        <v>85.6</v>
      </c>
      <c r="H15" s="5"/>
      <c r="I15" s="27">
        <v>1.2388</v>
      </c>
      <c r="J15" s="19">
        <v>85.38</v>
      </c>
      <c r="K15" s="5"/>
      <c r="L15" s="27">
        <v>1.2466</v>
      </c>
      <c r="M15" s="19">
        <v>85.13</v>
      </c>
      <c r="N15" s="5"/>
      <c r="O15" s="27">
        <v>1.2295</v>
      </c>
      <c r="P15" s="19">
        <v>85.82</v>
      </c>
      <c r="Q15" s="5"/>
      <c r="R15" s="27">
        <v>1.2158</v>
      </c>
      <c r="S15" s="19">
        <v>86.3</v>
      </c>
      <c r="T15" s="5"/>
      <c r="U15" s="27">
        <v>1.2266</v>
      </c>
      <c r="V15" s="19">
        <v>86.08</v>
      </c>
      <c r="W15" s="5"/>
      <c r="X15" s="27">
        <v>1.2329</v>
      </c>
      <c r="Y15" s="19">
        <v>85.88</v>
      </c>
      <c r="Z15" s="5"/>
      <c r="AA15" s="27">
        <v>1.2345</v>
      </c>
      <c r="AB15" s="19">
        <v>85.97</v>
      </c>
      <c r="AC15" s="5"/>
      <c r="AD15" s="27">
        <v>1.2524</v>
      </c>
      <c r="AE15" s="19">
        <v>85.4</v>
      </c>
      <c r="AF15" s="5"/>
      <c r="AG15" s="27">
        <v>1.2681</v>
      </c>
      <c r="AH15" s="19">
        <v>85.45</v>
      </c>
      <c r="AI15" s="5"/>
      <c r="AJ15" s="27">
        <v>1.2631</v>
      </c>
      <c r="AK15" s="19">
        <v>85.4</v>
      </c>
      <c r="AL15" s="5"/>
      <c r="AM15" s="27">
        <v>1.2405</v>
      </c>
      <c r="AN15" s="19">
        <v>85.58</v>
      </c>
      <c r="AO15" s="5"/>
      <c r="AP15" s="27">
        <v>1.2319</v>
      </c>
      <c r="AQ15" s="19">
        <v>86.03</v>
      </c>
      <c r="AR15" s="5"/>
      <c r="AS15" s="27">
        <v>1.2286</v>
      </c>
      <c r="AT15" s="19">
        <v>85.75</v>
      </c>
      <c r="AU15" s="5"/>
      <c r="AV15" s="27">
        <v>1.2453</v>
      </c>
      <c r="AW15" s="19">
        <v>85.36</v>
      </c>
      <c r="AX15" s="5"/>
      <c r="AY15" s="27">
        <v>1.2556</v>
      </c>
      <c r="AZ15" s="19">
        <v>84.98</v>
      </c>
      <c r="BA15" s="5"/>
      <c r="BB15" s="27">
        <v>1.2445</v>
      </c>
      <c r="BC15" s="19">
        <v>85.27</v>
      </c>
      <c r="BD15" s="5"/>
      <c r="BE15" s="27">
        <v>1.2493</v>
      </c>
      <c r="BF15" s="19">
        <v>85.31</v>
      </c>
      <c r="BG15" s="5"/>
      <c r="BH15" s="27">
        <v>1.2595</v>
      </c>
      <c r="BI15" s="19">
        <v>85.17</v>
      </c>
      <c r="BJ15" s="5"/>
      <c r="BK15" s="27">
        <f t="shared" si="0"/>
        <v>1.24123</v>
      </c>
      <c r="BL15" s="19">
        <f t="shared" si="1"/>
        <v>85.578</v>
      </c>
      <c r="BM15" s="5"/>
    </row>
    <row r="16" spans="1:65" ht="15.75" customHeight="1">
      <c r="A16" s="16">
        <v>4</v>
      </c>
      <c r="B16" s="17" t="s">
        <v>17</v>
      </c>
      <c r="C16" s="27">
        <f>1/1.2662</f>
        <v>0.78976465013426</v>
      </c>
      <c r="D16" s="19">
        <v>133.73</v>
      </c>
      <c r="E16" s="5"/>
      <c r="F16" s="27">
        <f>1/1.2747</f>
        <v>0.7844983133286264</v>
      </c>
      <c r="G16" s="19">
        <v>134.07</v>
      </c>
      <c r="H16" s="5"/>
      <c r="I16" s="27">
        <f>1/1.2664</f>
        <v>0.7896399241945673</v>
      </c>
      <c r="J16" s="19">
        <v>133.94</v>
      </c>
      <c r="K16" s="5"/>
      <c r="L16" s="27">
        <f>1/1.2576</f>
        <v>0.7951653944020356</v>
      </c>
      <c r="M16" s="19">
        <v>133.47</v>
      </c>
      <c r="N16" s="5"/>
      <c r="O16" s="27">
        <f>1/1.2734</f>
        <v>0.7852991989948169</v>
      </c>
      <c r="P16" s="19">
        <v>134.36</v>
      </c>
      <c r="Q16" s="5"/>
      <c r="R16" s="27">
        <f>1/1.2877</f>
        <v>0.7765783955890346</v>
      </c>
      <c r="S16" s="19">
        <v>135.12</v>
      </c>
      <c r="T16" s="5"/>
      <c r="U16" s="27">
        <f>1/1.274</f>
        <v>0.7849293563579278</v>
      </c>
      <c r="V16" s="19">
        <v>134.52</v>
      </c>
      <c r="W16" s="5"/>
      <c r="X16" s="27">
        <f>1/1.2662</f>
        <v>0.78976465013426</v>
      </c>
      <c r="Y16" s="19">
        <v>134.07</v>
      </c>
      <c r="Z16" s="5"/>
      <c r="AA16" s="27">
        <f>1/1.2662</f>
        <v>0.78976465013426</v>
      </c>
      <c r="AB16" s="19">
        <v>134.38</v>
      </c>
      <c r="AC16" s="5"/>
      <c r="AD16" s="27">
        <f>1/1.2505</f>
        <v>0.7996801279488205</v>
      </c>
      <c r="AE16" s="19">
        <v>133.74</v>
      </c>
      <c r="AF16" s="5"/>
      <c r="AG16" s="27">
        <f>1/1.237</f>
        <v>0.8084074373484236</v>
      </c>
      <c r="AH16" s="19">
        <v>134.05</v>
      </c>
      <c r="AI16" s="5"/>
      <c r="AJ16" s="27">
        <f>1/1.2442</f>
        <v>0.8037293039704227</v>
      </c>
      <c r="AK16" s="19">
        <v>134.21</v>
      </c>
      <c r="AL16" s="5"/>
      <c r="AM16" s="27">
        <f>1/1.2636</f>
        <v>0.7913896802785692</v>
      </c>
      <c r="AN16" s="19">
        <v>134.14</v>
      </c>
      <c r="AO16" s="5"/>
      <c r="AP16" s="27">
        <f>1/1.273</f>
        <v>0.7855459544383347</v>
      </c>
      <c r="AQ16" s="19">
        <v>134.92</v>
      </c>
      <c r="AR16" s="5"/>
      <c r="AS16" s="27">
        <f>1/1.276</f>
        <v>0.7836990595611285</v>
      </c>
      <c r="AT16" s="19">
        <v>134.43</v>
      </c>
      <c r="AU16" s="5"/>
      <c r="AV16" s="27">
        <f>1/1.2554</f>
        <v>0.7965588657001752</v>
      </c>
      <c r="AW16" s="19">
        <v>133.44</v>
      </c>
      <c r="AX16" s="5"/>
      <c r="AY16" s="27">
        <f>1/1.2484</f>
        <v>0.8010253123998718</v>
      </c>
      <c r="AZ16" s="19">
        <v>133.2</v>
      </c>
      <c r="BA16" s="5"/>
      <c r="BB16" s="27">
        <f>1/1.2597</f>
        <v>0.7938398031277288</v>
      </c>
      <c r="BC16" s="19">
        <v>133.68</v>
      </c>
      <c r="BD16" s="5"/>
      <c r="BE16" s="27">
        <f>1/1.2508</f>
        <v>0.799488327470419</v>
      </c>
      <c r="BF16" s="19">
        <v>133.3</v>
      </c>
      <c r="BG16" s="5"/>
      <c r="BH16" s="27">
        <f>1/1.2401</f>
        <v>0.8063865817272801</v>
      </c>
      <c r="BI16" s="19">
        <v>133.02</v>
      </c>
      <c r="BJ16" s="5"/>
      <c r="BK16" s="27">
        <f t="shared" si="0"/>
        <v>0.7927577493620481</v>
      </c>
      <c r="BL16" s="19">
        <f t="shared" si="1"/>
        <v>133.98949999999996</v>
      </c>
      <c r="BM16" s="5"/>
    </row>
    <row r="17" spans="1:65" ht="15.75" customHeight="1">
      <c r="A17" s="16">
        <v>5</v>
      </c>
      <c r="B17" s="17" t="s">
        <v>18</v>
      </c>
      <c r="C17" s="27">
        <v>417.5</v>
      </c>
      <c r="D17" s="19">
        <v>44092.87</v>
      </c>
      <c r="E17" s="5"/>
      <c r="F17" s="27">
        <v>427.5</v>
      </c>
      <c r="G17" s="19">
        <v>44963.74</v>
      </c>
      <c r="H17" s="5"/>
      <c r="I17" s="27">
        <v>420.7</v>
      </c>
      <c r="J17" s="19">
        <v>44496.04</v>
      </c>
      <c r="K17" s="5"/>
      <c r="L17" s="27">
        <v>418.25</v>
      </c>
      <c r="M17" s="19">
        <v>44388.52</v>
      </c>
      <c r="N17" s="5"/>
      <c r="O17" s="27">
        <v>422.5</v>
      </c>
      <c r="P17" s="19">
        <v>44578.68</v>
      </c>
      <c r="Q17" s="5"/>
      <c r="R17" s="27">
        <v>427.75</v>
      </c>
      <c r="S17" s="19">
        <v>44883.45</v>
      </c>
      <c r="T17" s="5"/>
      <c r="U17" s="27">
        <v>424.2</v>
      </c>
      <c r="V17" s="19">
        <v>44791.63</v>
      </c>
      <c r="W17" s="5"/>
      <c r="X17" s="27">
        <v>421</v>
      </c>
      <c r="Y17" s="19">
        <v>44576.88</v>
      </c>
      <c r="Z17" s="5"/>
      <c r="AA17" s="27">
        <v>415.4</v>
      </c>
      <c r="AB17" s="19">
        <v>44086.75</v>
      </c>
      <c r="AC17" s="5"/>
      <c r="AD17" s="27">
        <v>409.5</v>
      </c>
      <c r="AE17" s="19">
        <v>43796.37</v>
      </c>
      <c r="AF17" s="5"/>
      <c r="AG17" s="27">
        <v>406.9</v>
      </c>
      <c r="AH17" s="19">
        <v>44093.38</v>
      </c>
      <c r="AI17" s="5"/>
      <c r="AJ17" s="27">
        <v>408.25</v>
      </c>
      <c r="AK17" s="19">
        <v>44036.91</v>
      </c>
      <c r="AL17" s="5"/>
      <c r="AM17" s="27">
        <v>411.25</v>
      </c>
      <c r="AN17" s="19">
        <v>43657.61</v>
      </c>
      <c r="AO17" s="5"/>
      <c r="AP17" s="27">
        <v>411</v>
      </c>
      <c r="AQ17" s="19">
        <v>43558.81</v>
      </c>
      <c r="AR17" s="5"/>
      <c r="AS17" s="27">
        <v>411.2</v>
      </c>
      <c r="AT17" s="19">
        <v>43322.32</v>
      </c>
      <c r="AU17" s="5"/>
      <c r="AV17" s="27">
        <v>406.1</v>
      </c>
      <c r="AW17" s="19">
        <v>43166.4</v>
      </c>
      <c r="AX17" s="5"/>
      <c r="AY17" s="27">
        <v>404.4</v>
      </c>
      <c r="AZ17" s="19">
        <v>43149.48</v>
      </c>
      <c r="BA17" s="5"/>
      <c r="BB17" s="27">
        <v>410.75</v>
      </c>
      <c r="BC17" s="19">
        <v>43589.13</v>
      </c>
      <c r="BD17" s="5"/>
      <c r="BE17" s="27">
        <v>409.5</v>
      </c>
      <c r="BF17" s="19">
        <v>43641.1</v>
      </c>
      <c r="BG17" s="5"/>
      <c r="BH17" s="27">
        <v>400.8</v>
      </c>
      <c r="BI17" s="19">
        <v>42993.48</v>
      </c>
      <c r="BJ17" s="5"/>
      <c r="BK17" s="27">
        <f t="shared" si="0"/>
        <v>414.22249999999997</v>
      </c>
      <c r="BL17" s="19">
        <f t="shared" si="1"/>
        <v>43993.17749999999</v>
      </c>
      <c r="BM17" s="5"/>
    </row>
    <row r="18" spans="1:65" ht="15.75" customHeight="1">
      <c r="A18" s="16">
        <v>6</v>
      </c>
      <c r="B18" s="20" t="s">
        <v>19</v>
      </c>
      <c r="C18" s="27">
        <v>5.99</v>
      </c>
      <c r="D18" s="19">
        <v>632.61</v>
      </c>
      <c r="E18" s="5"/>
      <c r="F18" s="27">
        <v>6.24</v>
      </c>
      <c r="G18" s="19">
        <v>656.31</v>
      </c>
      <c r="H18" s="5"/>
      <c r="I18" s="27">
        <v>6.18</v>
      </c>
      <c r="J18" s="19">
        <v>653.64</v>
      </c>
      <c r="K18" s="5"/>
      <c r="L18" s="27">
        <v>6.2</v>
      </c>
      <c r="M18" s="19">
        <v>658</v>
      </c>
      <c r="N18" s="5"/>
      <c r="O18" s="27">
        <v>6.24</v>
      </c>
      <c r="P18" s="19">
        <v>658.39</v>
      </c>
      <c r="Q18" s="5"/>
      <c r="R18" s="27">
        <v>6.65</v>
      </c>
      <c r="S18" s="19">
        <v>697.78</v>
      </c>
      <c r="T18" s="5"/>
      <c r="U18" s="27">
        <v>6.61</v>
      </c>
      <c r="V18" s="19">
        <v>697.96</v>
      </c>
      <c r="W18" s="5"/>
      <c r="X18" s="27">
        <v>6.51</v>
      </c>
      <c r="Y18" s="19">
        <v>689.3</v>
      </c>
      <c r="Z18" s="5"/>
      <c r="AA18" s="27">
        <v>6.28</v>
      </c>
      <c r="AB18" s="19">
        <v>666.5</v>
      </c>
      <c r="AC18" s="5"/>
      <c r="AD18" s="27">
        <v>6.2</v>
      </c>
      <c r="AE18" s="19">
        <v>663.1</v>
      </c>
      <c r="AF18" s="5"/>
      <c r="AG18" s="27">
        <v>6.33</v>
      </c>
      <c r="AH18" s="19">
        <v>685.95</v>
      </c>
      <c r="AI18" s="5"/>
      <c r="AJ18" s="27">
        <v>6.36</v>
      </c>
      <c r="AK18" s="19">
        <v>686.04</v>
      </c>
      <c r="AL18" s="5"/>
      <c r="AM18" s="27">
        <v>6.32</v>
      </c>
      <c r="AN18" s="19">
        <v>670.92</v>
      </c>
      <c r="AO18" s="5"/>
      <c r="AP18" s="27">
        <v>6.23</v>
      </c>
      <c r="AQ18" s="19">
        <v>660.27</v>
      </c>
      <c r="AR18" s="5"/>
      <c r="AS18" s="27">
        <v>6.33</v>
      </c>
      <c r="AT18" s="19">
        <v>666.9</v>
      </c>
      <c r="AU18" s="5"/>
      <c r="AV18" s="27">
        <v>6.28</v>
      </c>
      <c r="AW18" s="19">
        <v>667.53</v>
      </c>
      <c r="AX18" s="5"/>
      <c r="AY18" s="27">
        <v>6.27</v>
      </c>
      <c r="AZ18" s="19">
        <v>669.01</v>
      </c>
      <c r="BA18" s="5"/>
      <c r="BB18" s="27">
        <v>6.53</v>
      </c>
      <c r="BC18" s="19">
        <v>692.97</v>
      </c>
      <c r="BD18" s="5"/>
      <c r="BE18" s="27">
        <v>6.52</v>
      </c>
      <c r="BF18" s="19">
        <v>694.85</v>
      </c>
      <c r="BG18" s="5"/>
      <c r="BH18" s="27">
        <v>6.23</v>
      </c>
      <c r="BI18" s="19">
        <v>668.29</v>
      </c>
      <c r="BJ18" s="5"/>
      <c r="BK18" s="27">
        <f t="shared" si="0"/>
        <v>6.325000000000001</v>
      </c>
      <c r="BL18" s="19">
        <f t="shared" si="1"/>
        <v>671.816</v>
      </c>
      <c r="BM18" s="5"/>
    </row>
    <row r="19" spans="1:65" ht="15.75" customHeight="1">
      <c r="A19" s="16">
        <v>7</v>
      </c>
      <c r="B19" s="17" t="s">
        <v>20</v>
      </c>
      <c r="C19" s="27">
        <f>1/0.7654</f>
        <v>1.3065064018813692</v>
      </c>
      <c r="D19" s="19">
        <v>80.84</v>
      </c>
      <c r="E19" s="5"/>
      <c r="F19" s="27">
        <f>1/0.7721</f>
        <v>1.2951690195570522</v>
      </c>
      <c r="G19" s="19">
        <v>81.21</v>
      </c>
      <c r="H19" s="5"/>
      <c r="I19" s="27">
        <f>1/0.767</f>
        <v>1.303780964797914</v>
      </c>
      <c r="J19" s="19">
        <v>81.12</v>
      </c>
      <c r="K19" s="5"/>
      <c r="L19" s="27">
        <f>1/0.7673</f>
        <v>1.3032712107389548</v>
      </c>
      <c r="M19" s="19">
        <v>81.43</v>
      </c>
      <c r="N19" s="5"/>
      <c r="O19" s="27">
        <f>1/0.7745</f>
        <v>1.2911555842479019</v>
      </c>
      <c r="P19" s="19">
        <v>81.72</v>
      </c>
      <c r="Q19" s="5"/>
      <c r="R19" s="27">
        <f>1/0.7783</f>
        <v>1.2848515996402416</v>
      </c>
      <c r="S19" s="19">
        <v>81.67</v>
      </c>
      <c r="T19" s="5"/>
      <c r="U19" s="27">
        <f>1/0.7794</f>
        <v>1.2830382345393894</v>
      </c>
      <c r="V19" s="19">
        <v>82.3</v>
      </c>
      <c r="W19" s="5"/>
      <c r="X19" s="27">
        <f>1/0.7763</f>
        <v>1.2881617931212161</v>
      </c>
      <c r="Y19" s="19">
        <v>82.2</v>
      </c>
      <c r="Z19" s="5"/>
      <c r="AA19" s="27">
        <f>1/0.774</f>
        <v>1.2919896640826873</v>
      </c>
      <c r="AB19" s="19">
        <v>82.15</v>
      </c>
      <c r="AC19" s="5"/>
      <c r="AD19" s="27">
        <f>1/0.7685</f>
        <v>1.3012361743656475</v>
      </c>
      <c r="AE19" s="19">
        <v>82.19</v>
      </c>
      <c r="AF19" s="5"/>
      <c r="AG19" s="27">
        <f>1/0.7572</f>
        <v>1.3206550449022716</v>
      </c>
      <c r="AH19" s="19">
        <v>82.05</v>
      </c>
      <c r="AI19" s="5"/>
      <c r="AJ19" s="27">
        <f>1/0.7608</f>
        <v>1.3144058885383807</v>
      </c>
      <c r="AK19" s="19">
        <v>82.07</v>
      </c>
      <c r="AL19" s="5"/>
      <c r="AM19" s="27">
        <f>1/0.7735</f>
        <v>1.292824822236587</v>
      </c>
      <c r="AN19" s="19">
        <v>82.11</v>
      </c>
      <c r="AO19" s="5"/>
      <c r="AP19" s="27">
        <f>1/0.7775</f>
        <v>1.2861736334405145</v>
      </c>
      <c r="AQ19" s="19">
        <v>82.4</v>
      </c>
      <c r="AR19" s="5"/>
      <c r="AS19" s="27">
        <f>1/0.7788</f>
        <v>1.2840267077555212</v>
      </c>
      <c r="AT19" s="19">
        <v>82.05</v>
      </c>
      <c r="AU19" s="5"/>
      <c r="AV19" s="27">
        <f>1/0.7727</f>
        <v>1.2941633234114145</v>
      </c>
      <c r="AW19" s="19">
        <v>82.13</v>
      </c>
      <c r="AX19" s="5"/>
      <c r="AY19" s="27">
        <f>1/0.773</f>
        <v>1.2936610608020698</v>
      </c>
      <c r="AZ19" s="19">
        <v>82.48</v>
      </c>
      <c r="BA19" s="5"/>
      <c r="BB19" s="27">
        <f>1/0.7759</f>
        <v>1.2888258796236627</v>
      </c>
      <c r="BC19" s="19">
        <v>82.34</v>
      </c>
      <c r="BD19" s="5"/>
      <c r="BE19" s="27">
        <f>1/0.7726</f>
        <v>1.2943308309603936</v>
      </c>
      <c r="BF19" s="19">
        <v>82.34</v>
      </c>
      <c r="BG19" s="5"/>
      <c r="BH19" s="27">
        <f>1/0.7599</f>
        <v>1.3159626266614028</v>
      </c>
      <c r="BI19" s="19">
        <v>81.51</v>
      </c>
      <c r="BJ19" s="5"/>
      <c r="BK19" s="27">
        <f t="shared" si="0"/>
        <v>1.2967095232652297</v>
      </c>
      <c r="BL19" s="19">
        <f t="shared" si="1"/>
        <v>81.91549999999998</v>
      </c>
      <c r="BM19" s="18"/>
    </row>
    <row r="20" spans="1:65" ht="15.75" customHeight="1">
      <c r="A20" s="16">
        <v>8</v>
      </c>
      <c r="B20" s="17" t="s">
        <v>21</v>
      </c>
      <c r="C20" s="27">
        <v>1.2875</v>
      </c>
      <c r="D20" s="19">
        <v>82.03</v>
      </c>
      <c r="E20" s="5"/>
      <c r="F20" s="27">
        <v>1.2784</v>
      </c>
      <c r="G20" s="19">
        <v>82.27</v>
      </c>
      <c r="H20" s="5"/>
      <c r="I20" s="27">
        <v>1.2893</v>
      </c>
      <c r="J20" s="19">
        <v>82.03</v>
      </c>
      <c r="K20" s="5"/>
      <c r="L20" s="27">
        <v>1.2923</v>
      </c>
      <c r="M20" s="19">
        <v>82.12</v>
      </c>
      <c r="N20" s="5"/>
      <c r="O20" s="27">
        <v>1.2819</v>
      </c>
      <c r="P20" s="19">
        <v>82.31</v>
      </c>
      <c r="Q20" s="5"/>
      <c r="R20" s="27">
        <v>1.2705</v>
      </c>
      <c r="S20" s="19">
        <v>82.59</v>
      </c>
      <c r="T20" s="5"/>
      <c r="U20" s="27">
        <v>1.2766</v>
      </c>
      <c r="V20" s="19">
        <v>82.71</v>
      </c>
      <c r="W20" s="5"/>
      <c r="X20" s="27">
        <v>1.2761</v>
      </c>
      <c r="Y20" s="19">
        <v>82.97</v>
      </c>
      <c r="Z20" s="5"/>
      <c r="AA20" s="27">
        <v>1.2909</v>
      </c>
      <c r="AB20" s="19">
        <v>82.21</v>
      </c>
      <c r="AC20" s="5"/>
      <c r="AD20" s="27">
        <v>1.2961</v>
      </c>
      <c r="AE20" s="19">
        <v>82.52</v>
      </c>
      <c r="AF20" s="5"/>
      <c r="AG20" s="27">
        <v>1.3028</v>
      </c>
      <c r="AH20" s="19">
        <v>83.18</v>
      </c>
      <c r="AI20" s="5"/>
      <c r="AJ20" s="27">
        <v>1.2999</v>
      </c>
      <c r="AK20" s="19">
        <v>82.98</v>
      </c>
      <c r="AL20" s="5"/>
      <c r="AM20" s="27">
        <v>1.2896</v>
      </c>
      <c r="AN20" s="19">
        <v>82.32</v>
      </c>
      <c r="AO20" s="5"/>
      <c r="AP20" s="27">
        <v>1.2939</v>
      </c>
      <c r="AQ20" s="19">
        <v>81.91</v>
      </c>
      <c r="AR20" s="5"/>
      <c r="AS20" s="27">
        <v>1.301</v>
      </c>
      <c r="AT20" s="19">
        <v>80.98</v>
      </c>
      <c r="AU20" s="5"/>
      <c r="AV20" s="27">
        <v>1.3115</v>
      </c>
      <c r="AW20" s="19">
        <v>81.05</v>
      </c>
      <c r="AX20" s="5"/>
      <c r="AY20" s="27">
        <v>1.3107</v>
      </c>
      <c r="AZ20" s="19">
        <v>81.41</v>
      </c>
      <c r="BA20" s="5"/>
      <c r="BB20" s="27">
        <v>1.311</v>
      </c>
      <c r="BC20" s="19">
        <v>80.95</v>
      </c>
      <c r="BD20" s="5"/>
      <c r="BE20" s="27">
        <v>1.3282</v>
      </c>
      <c r="BF20" s="19">
        <v>80.24</v>
      </c>
      <c r="BG20" s="5"/>
      <c r="BH20" s="27">
        <v>1.3296</v>
      </c>
      <c r="BI20" s="19">
        <v>80.68</v>
      </c>
      <c r="BJ20" s="5"/>
      <c r="BK20" s="27">
        <f t="shared" si="0"/>
        <v>1.2958899999999998</v>
      </c>
      <c r="BL20" s="19">
        <f t="shared" si="1"/>
        <v>81.97300000000001</v>
      </c>
      <c r="BM20" s="5"/>
    </row>
    <row r="21" spans="1:65" ht="15.75" customHeight="1">
      <c r="A21" s="16">
        <v>9</v>
      </c>
      <c r="B21" s="17" t="s">
        <v>22</v>
      </c>
      <c r="C21" s="27">
        <v>7.1595</v>
      </c>
      <c r="D21" s="19">
        <v>14.75</v>
      </c>
      <c r="E21" s="5"/>
      <c r="F21" s="27">
        <v>7.1237</v>
      </c>
      <c r="G21" s="19">
        <v>14.76</v>
      </c>
      <c r="H21" s="5"/>
      <c r="I21" s="27">
        <v>7.1801</v>
      </c>
      <c r="J21" s="19">
        <v>14.73</v>
      </c>
      <c r="K21" s="5"/>
      <c r="L21" s="27">
        <v>7.2199</v>
      </c>
      <c r="M21" s="19">
        <v>14.7</v>
      </c>
      <c r="N21" s="5"/>
      <c r="O21" s="27">
        <v>7.1654</v>
      </c>
      <c r="P21" s="19">
        <v>14.73</v>
      </c>
      <c r="Q21" s="5"/>
      <c r="R21" s="27">
        <v>7.0835</v>
      </c>
      <c r="S21" s="19">
        <v>14.81</v>
      </c>
      <c r="T21" s="5"/>
      <c r="U21" s="27">
        <v>7.1578</v>
      </c>
      <c r="V21" s="19">
        <v>14.75</v>
      </c>
      <c r="W21" s="5"/>
      <c r="X21" s="27">
        <v>7.2328</v>
      </c>
      <c r="Y21" s="19">
        <v>14.64</v>
      </c>
      <c r="Z21" s="5"/>
      <c r="AA21" s="27">
        <v>7.2436</v>
      </c>
      <c r="AB21" s="19">
        <v>14.65</v>
      </c>
      <c r="AC21" s="5"/>
      <c r="AD21" s="27">
        <v>7.349</v>
      </c>
      <c r="AE21" s="19">
        <v>14.55</v>
      </c>
      <c r="AF21" s="5"/>
      <c r="AG21" s="27">
        <v>7.4121</v>
      </c>
      <c r="AH21" s="19">
        <v>14.62</v>
      </c>
      <c r="AI21" s="5"/>
      <c r="AJ21" s="27">
        <v>7.3638</v>
      </c>
      <c r="AK21" s="19">
        <v>14.65</v>
      </c>
      <c r="AL21" s="5"/>
      <c r="AM21" s="27">
        <v>7.2619</v>
      </c>
      <c r="AN21" s="19">
        <v>14.62</v>
      </c>
      <c r="AO21" s="5"/>
      <c r="AP21" s="27">
        <v>7.1613</v>
      </c>
      <c r="AQ21" s="19">
        <v>14.8</v>
      </c>
      <c r="AR21" s="5"/>
      <c r="AS21" s="27">
        <v>7.1564</v>
      </c>
      <c r="AT21" s="19">
        <v>14.72</v>
      </c>
      <c r="AU21" s="5"/>
      <c r="AV21" s="27">
        <v>7.2964</v>
      </c>
      <c r="AW21" s="19">
        <v>14.57</v>
      </c>
      <c r="AX21" s="5"/>
      <c r="AY21" s="27">
        <v>7.3389</v>
      </c>
      <c r="AZ21" s="19">
        <v>14.54</v>
      </c>
      <c r="BA21" s="5"/>
      <c r="BB21" s="27">
        <v>7.2392</v>
      </c>
      <c r="BC21" s="19">
        <v>14.66</v>
      </c>
      <c r="BD21" s="5"/>
      <c r="BE21" s="27">
        <v>7.3151</v>
      </c>
      <c r="BF21" s="19">
        <v>14.57</v>
      </c>
      <c r="BG21" s="5"/>
      <c r="BH21" s="27">
        <v>7.4058</v>
      </c>
      <c r="BI21" s="19">
        <v>14.48</v>
      </c>
      <c r="BJ21" s="5"/>
      <c r="BK21" s="27">
        <f t="shared" si="0"/>
        <v>7.243309999999999</v>
      </c>
      <c r="BL21" s="19">
        <f t="shared" si="1"/>
        <v>14.665000000000003</v>
      </c>
      <c r="BM21" s="5"/>
    </row>
    <row r="22" spans="1:65" ht="15.75" customHeight="1">
      <c r="A22" s="16">
        <v>10</v>
      </c>
      <c r="B22" s="17" t="s">
        <v>23</v>
      </c>
      <c r="C22" s="27">
        <v>6.6418</v>
      </c>
      <c r="D22" s="19">
        <v>15.9</v>
      </c>
      <c r="E22" s="5"/>
      <c r="F22" s="27">
        <v>6.6832</v>
      </c>
      <c r="G22" s="19">
        <v>15.74</v>
      </c>
      <c r="H22" s="5"/>
      <c r="I22" s="27">
        <v>6.7438</v>
      </c>
      <c r="J22" s="19">
        <v>15.68</v>
      </c>
      <c r="K22" s="5"/>
      <c r="L22" s="27">
        <v>6.8565</v>
      </c>
      <c r="M22" s="19">
        <v>15.48</v>
      </c>
      <c r="N22" s="5"/>
      <c r="O22" s="27">
        <v>6.8389</v>
      </c>
      <c r="P22" s="19">
        <v>15.43</v>
      </c>
      <c r="Q22" s="5"/>
      <c r="R22" s="27">
        <v>6.694</v>
      </c>
      <c r="S22" s="19">
        <v>15.68</v>
      </c>
      <c r="T22" s="5"/>
      <c r="U22" s="27">
        <v>6.7407</v>
      </c>
      <c r="V22" s="19">
        <v>15.66</v>
      </c>
      <c r="W22" s="5"/>
      <c r="X22" s="27">
        <v>6.757</v>
      </c>
      <c r="Y22" s="19">
        <v>15.67</v>
      </c>
      <c r="Z22" s="5"/>
      <c r="AA22" s="27">
        <v>6.7288</v>
      </c>
      <c r="AB22" s="19">
        <v>15.77</v>
      </c>
      <c r="AC22" s="5"/>
      <c r="AD22" s="27">
        <v>6.879</v>
      </c>
      <c r="AE22" s="19">
        <v>15.55</v>
      </c>
      <c r="AF22" s="5"/>
      <c r="AG22" s="27">
        <v>6.962</v>
      </c>
      <c r="AH22" s="19">
        <v>15.57</v>
      </c>
      <c r="AI22" s="5"/>
      <c r="AJ22" s="27">
        <v>6.9116</v>
      </c>
      <c r="AK22" s="19">
        <v>15.61</v>
      </c>
      <c r="AL22" s="5"/>
      <c r="AM22" s="27">
        <v>6.8508</v>
      </c>
      <c r="AN22" s="19">
        <v>15.5</v>
      </c>
      <c r="AO22" s="5"/>
      <c r="AP22" s="27">
        <v>6.7228</v>
      </c>
      <c r="AQ22" s="19">
        <v>15.76</v>
      </c>
      <c r="AR22" s="5"/>
      <c r="AS22" s="27">
        <v>6.721</v>
      </c>
      <c r="AT22" s="19">
        <v>15.68</v>
      </c>
      <c r="AU22" s="5"/>
      <c r="AV22" s="27">
        <v>6.8558</v>
      </c>
      <c r="AW22" s="19">
        <v>15.5</v>
      </c>
      <c r="AX22" s="5"/>
      <c r="AY22" s="27">
        <v>6.8888</v>
      </c>
      <c r="AZ22" s="19">
        <v>15.49</v>
      </c>
      <c r="BA22" s="5"/>
      <c r="BB22" s="27">
        <v>6.836</v>
      </c>
      <c r="BC22" s="19">
        <v>15.52</v>
      </c>
      <c r="BD22" s="5"/>
      <c r="BE22" s="27">
        <v>7.0002</v>
      </c>
      <c r="BF22" s="19">
        <v>15.22</v>
      </c>
      <c r="BG22" s="5"/>
      <c r="BH22" s="27">
        <v>7.0478</v>
      </c>
      <c r="BI22" s="19">
        <v>15.22</v>
      </c>
      <c r="BJ22" s="5"/>
      <c r="BK22" s="27">
        <f t="shared" si="0"/>
        <v>6.818025000000001</v>
      </c>
      <c r="BL22" s="19">
        <f t="shared" si="1"/>
        <v>15.581500000000002</v>
      </c>
      <c r="BM22" s="5"/>
    </row>
    <row r="23" spans="1:65" ht="15.75" customHeight="1">
      <c r="A23" s="16">
        <v>11</v>
      </c>
      <c r="B23" s="17" t="s">
        <v>24</v>
      </c>
      <c r="C23" s="27">
        <v>5.8803</v>
      </c>
      <c r="D23" s="19">
        <v>17.96</v>
      </c>
      <c r="E23" s="5"/>
      <c r="F23" s="27">
        <v>5.838</v>
      </c>
      <c r="G23" s="19">
        <v>18.02</v>
      </c>
      <c r="H23" s="5"/>
      <c r="I23" s="27">
        <v>5.8801</v>
      </c>
      <c r="J23" s="19">
        <v>17.99</v>
      </c>
      <c r="K23" s="5"/>
      <c r="L23" s="27">
        <v>5.9207</v>
      </c>
      <c r="M23" s="19">
        <v>17.93</v>
      </c>
      <c r="N23" s="5"/>
      <c r="O23" s="27">
        <v>5.8461</v>
      </c>
      <c r="P23" s="19">
        <v>18.05</v>
      </c>
      <c r="Q23" s="5"/>
      <c r="R23" s="27">
        <v>5.7818</v>
      </c>
      <c r="S23" s="19">
        <v>18.15</v>
      </c>
      <c r="T23" s="5"/>
      <c r="U23" s="27">
        <v>5.8428</v>
      </c>
      <c r="V23" s="19">
        <v>18.07</v>
      </c>
      <c r="W23" s="5"/>
      <c r="X23" s="27">
        <v>5.8805</v>
      </c>
      <c r="Y23" s="19">
        <v>18.01</v>
      </c>
      <c r="Z23" s="5"/>
      <c r="AA23" s="27">
        <v>5.884</v>
      </c>
      <c r="AB23" s="19">
        <v>18.04</v>
      </c>
      <c r="AC23" s="5"/>
      <c r="AD23" s="27">
        <v>5.9536</v>
      </c>
      <c r="AE23" s="19">
        <v>17.96</v>
      </c>
      <c r="AF23" s="5"/>
      <c r="AG23" s="27">
        <v>6.019</v>
      </c>
      <c r="AH23" s="19">
        <v>18</v>
      </c>
      <c r="AI23" s="5"/>
      <c r="AJ23" s="27">
        <v>5.9842</v>
      </c>
      <c r="AK23" s="19">
        <v>18.03</v>
      </c>
      <c r="AL23" s="5"/>
      <c r="AM23" s="27">
        <v>5.8929</v>
      </c>
      <c r="AN23" s="19">
        <v>18.01</v>
      </c>
      <c r="AO23" s="5"/>
      <c r="AP23" s="27">
        <v>5.8491</v>
      </c>
      <c r="AQ23" s="19">
        <v>18.12</v>
      </c>
      <c r="AR23" s="5"/>
      <c r="AS23" s="27">
        <v>5.8359</v>
      </c>
      <c r="AT23" s="19">
        <v>18.05</v>
      </c>
      <c r="AU23" s="5"/>
      <c r="AV23" s="27">
        <v>5.9317</v>
      </c>
      <c r="AW23" s="19">
        <v>17.92</v>
      </c>
      <c r="AX23" s="5"/>
      <c r="AY23" s="27">
        <v>5.9645</v>
      </c>
      <c r="AZ23" s="19">
        <v>17.89</v>
      </c>
      <c r="BA23" s="5"/>
      <c r="BB23" s="27">
        <v>5.9113</v>
      </c>
      <c r="BC23" s="19">
        <v>17.95</v>
      </c>
      <c r="BD23" s="5"/>
      <c r="BE23" s="27">
        <v>5.9522</v>
      </c>
      <c r="BF23" s="19">
        <v>17.9</v>
      </c>
      <c r="BG23" s="5"/>
      <c r="BH23" s="27">
        <v>6.0048</v>
      </c>
      <c r="BI23" s="19">
        <v>17.86</v>
      </c>
      <c r="BJ23" s="5"/>
      <c r="BK23" s="27">
        <f t="shared" si="0"/>
        <v>5.902675</v>
      </c>
      <c r="BL23" s="19">
        <f t="shared" si="1"/>
        <v>17.9955</v>
      </c>
      <c r="BM23" s="5"/>
    </row>
    <row r="24" spans="1:65" ht="15.75" customHeight="1">
      <c r="A24" s="16">
        <v>12</v>
      </c>
      <c r="B24" s="17" t="s">
        <v>25</v>
      </c>
      <c r="C24" s="27">
        <f>1/1.48597</f>
        <v>0.6729610961190333</v>
      </c>
      <c r="D24" s="19">
        <v>156.94</v>
      </c>
      <c r="E24" s="5"/>
      <c r="F24" s="27">
        <f>1/1.49207</f>
        <v>0.6702098427017499</v>
      </c>
      <c r="G24" s="19">
        <v>156.93</v>
      </c>
      <c r="H24" s="5"/>
      <c r="I24" s="27">
        <f>1/1.49675</f>
        <v>0.6681142475363288</v>
      </c>
      <c r="J24" s="19">
        <v>158.31</v>
      </c>
      <c r="K24" s="5"/>
      <c r="L24" s="27">
        <f>1/1.49272</f>
        <v>0.6699180020365507</v>
      </c>
      <c r="M24" s="19">
        <v>158.42</v>
      </c>
      <c r="N24" s="5"/>
      <c r="O24" s="27">
        <f>1/1.48928</f>
        <v>0.6714654061022777</v>
      </c>
      <c r="P24" s="19">
        <v>157.14</v>
      </c>
      <c r="Q24" s="5"/>
      <c r="R24" s="27">
        <f>1/1.49773</f>
        <v>0.6676770846547776</v>
      </c>
      <c r="S24" s="19">
        <v>157.16</v>
      </c>
      <c r="T24" s="5"/>
      <c r="U24" s="27">
        <f>1/1.50418</f>
        <v>0.6648140515097927</v>
      </c>
      <c r="V24" s="19">
        <v>158.83</v>
      </c>
      <c r="W24" s="5"/>
      <c r="X24" s="27">
        <f>1/1.49808</f>
        <v>0.6675210936665599</v>
      </c>
      <c r="Y24" s="19">
        <v>158.62</v>
      </c>
      <c r="Z24" s="5"/>
      <c r="AA24" s="27">
        <f>1/1.49552</f>
        <v>0.6686637423772334</v>
      </c>
      <c r="AB24" s="19">
        <v>158.72</v>
      </c>
      <c r="AC24" s="5"/>
      <c r="AD24" s="27">
        <f>1/1.4923</f>
        <v>0.6701065469409636</v>
      </c>
      <c r="AE24" s="19">
        <v>159.6</v>
      </c>
      <c r="AF24" s="5"/>
      <c r="AG24" s="27">
        <f>1/1.48565</f>
        <v>0.67310604785784</v>
      </c>
      <c r="AH24" s="19">
        <v>160.99</v>
      </c>
      <c r="AI24" s="5"/>
      <c r="AJ24" s="27">
        <f>1/1.48565</f>
        <v>0.67310604785784</v>
      </c>
      <c r="AK24" s="19">
        <v>160.25</v>
      </c>
      <c r="AL24" s="5"/>
      <c r="AM24" s="27">
        <f>1/1.48315</f>
        <v>0.6742406364831609</v>
      </c>
      <c r="AN24" s="19">
        <v>157.45</v>
      </c>
      <c r="AO24" s="5"/>
      <c r="AP24" s="27">
        <f>1/1.49134</f>
        <v>0.6705379055077983</v>
      </c>
      <c r="AQ24" s="19">
        <v>158.06</v>
      </c>
      <c r="AR24" s="5"/>
      <c r="AS24" s="27">
        <f>1/1.49701</f>
        <v>0.6679982097647978</v>
      </c>
      <c r="AT24" s="19">
        <v>157.72</v>
      </c>
      <c r="AU24" s="5"/>
      <c r="AV24" s="27">
        <f>1/1.49979</f>
        <v>0.6667600130684963</v>
      </c>
      <c r="AW24" s="19">
        <v>159.42</v>
      </c>
      <c r="AX24" s="5"/>
      <c r="AY24" s="27">
        <f>1/1.49015</f>
        <v>0.6710733818743079</v>
      </c>
      <c r="AZ24" s="19">
        <v>159</v>
      </c>
      <c r="BA24" s="5"/>
      <c r="BB24" s="27">
        <f>1/1.48488</f>
        <v>0.6734550940143311</v>
      </c>
      <c r="BC24" s="19">
        <v>157.58</v>
      </c>
      <c r="BD24" s="5"/>
      <c r="BE24" s="27">
        <f>1/1.49313</f>
        <v>0.6697340486092972</v>
      </c>
      <c r="BF24" s="19">
        <v>159.13</v>
      </c>
      <c r="BG24" s="5"/>
      <c r="BH24" s="27">
        <f>1/1.48736</f>
        <v>0.6723321858864028</v>
      </c>
      <c r="BI24" s="19">
        <v>159.55</v>
      </c>
      <c r="BJ24" s="5"/>
      <c r="BK24" s="27">
        <f t="shared" si="0"/>
        <v>0.6701897342284769</v>
      </c>
      <c r="BL24" s="19">
        <f t="shared" si="1"/>
        <v>158.49099999999999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105.61</v>
      </c>
      <c r="E25" s="21"/>
      <c r="F25" s="28">
        <v>1</v>
      </c>
      <c r="G25" s="22">
        <v>105.18</v>
      </c>
      <c r="H25" s="21"/>
      <c r="I25" s="28">
        <v>1</v>
      </c>
      <c r="J25" s="22">
        <v>105.77</v>
      </c>
      <c r="K25" s="21"/>
      <c r="L25" s="28">
        <v>1</v>
      </c>
      <c r="M25" s="22">
        <v>106.13</v>
      </c>
      <c r="N25" s="21"/>
      <c r="O25" s="28">
        <v>1</v>
      </c>
      <c r="P25" s="22">
        <v>105.51</v>
      </c>
      <c r="Q25" s="21"/>
      <c r="R25" s="28">
        <v>1</v>
      </c>
      <c r="S25" s="22">
        <v>104.93</v>
      </c>
      <c r="T25" s="21"/>
      <c r="U25" s="28">
        <v>1</v>
      </c>
      <c r="V25" s="22">
        <v>105.59</v>
      </c>
      <c r="W25" s="21"/>
      <c r="X25" s="28">
        <v>1</v>
      </c>
      <c r="Y25" s="22">
        <v>105.88</v>
      </c>
      <c r="Z25" s="21"/>
      <c r="AA25" s="28">
        <v>1</v>
      </c>
      <c r="AB25" s="22">
        <v>106.13</v>
      </c>
      <c r="AC25" s="21"/>
      <c r="AD25" s="28">
        <v>1</v>
      </c>
      <c r="AE25" s="22">
        <v>106.95</v>
      </c>
      <c r="AF25" s="21"/>
      <c r="AG25" s="28">
        <v>1</v>
      </c>
      <c r="AH25" s="22">
        <v>108.36</v>
      </c>
      <c r="AI25" s="21"/>
      <c r="AJ25" s="28">
        <v>1</v>
      </c>
      <c r="AK25" s="22">
        <v>107.87</v>
      </c>
      <c r="AL25" s="21"/>
      <c r="AM25" s="28">
        <v>1</v>
      </c>
      <c r="AN25" s="22">
        <v>106.16</v>
      </c>
      <c r="AO25" s="21"/>
      <c r="AP25" s="28">
        <v>1</v>
      </c>
      <c r="AQ25" s="22">
        <v>105.98</v>
      </c>
      <c r="AR25" s="21"/>
      <c r="AS25" s="28">
        <v>1</v>
      </c>
      <c r="AT25" s="22">
        <v>105.36</v>
      </c>
      <c r="AU25" s="21"/>
      <c r="AV25" s="28">
        <v>1</v>
      </c>
      <c r="AW25" s="22">
        <v>106.3</v>
      </c>
      <c r="AX25" s="21"/>
      <c r="AY25" s="28">
        <v>1</v>
      </c>
      <c r="AZ25" s="22">
        <v>106.7</v>
      </c>
      <c r="BA25" s="21"/>
      <c r="BB25" s="28">
        <v>1</v>
      </c>
      <c r="BC25" s="22">
        <v>106.12</v>
      </c>
      <c r="BD25" s="21"/>
      <c r="BE25" s="28">
        <v>1</v>
      </c>
      <c r="BF25" s="22">
        <v>106.57</v>
      </c>
      <c r="BG25" s="21"/>
      <c r="BH25" s="28">
        <v>1</v>
      </c>
      <c r="BI25" s="22">
        <v>107.27</v>
      </c>
      <c r="BJ25" s="21"/>
      <c r="BK25" s="28">
        <f t="shared" si="0"/>
        <v>1</v>
      </c>
      <c r="BL25" s="22">
        <f t="shared" si="1"/>
        <v>106.21849999999999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9" sqref="D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227</v>
      </c>
      <c r="D4" s="4"/>
      <c r="E4" s="10"/>
      <c r="F4" s="4" t="s">
        <v>228</v>
      </c>
      <c r="G4" s="4"/>
      <c r="H4" s="10"/>
      <c r="I4" s="4" t="s">
        <v>229</v>
      </c>
      <c r="J4" s="4"/>
      <c r="K4" s="10"/>
      <c r="L4" s="4" t="s">
        <v>230</v>
      </c>
      <c r="M4" s="4"/>
      <c r="N4" s="10"/>
      <c r="O4" s="4" t="s">
        <v>231</v>
      </c>
      <c r="P4" s="4"/>
      <c r="Q4" s="10"/>
      <c r="R4" s="4" t="s">
        <v>232</v>
      </c>
      <c r="S4" s="4"/>
      <c r="T4" s="10"/>
      <c r="U4" s="4" t="s">
        <v>233</v>
      </c>
      <c r="V4" s="4"/>
      <c r="W4" s="10"/>
      <c r="X4" s="4" t="s">
        <v>234</v>
      </c>
      <c r="Y4" s="4"/>
      <c r="Z4" s="10"/>
      <c r="AA4" s="4" t="s">
        <v>235</v>
      </c>
      <c r="AB4" s="4"/>
      <c r="AC4" s="10"/>
      <c r="AD4" s="4" t="s">
        <v>236</v>
      </c>
      <c r="AE4" s="4"/>
      <c r="AF4" s="10"/>
      <c r="AG4" s="4" t="s">
        <v>237</v>
      </c>
      <c r="AH4" s="4"/>
      <c r="AI4" s="10"/>
      <c r="AJ4" s="4" t="s">
        <v>238</v>
      </c>
      <c r="AK4" s="4"/>
      <c r="AL4" s="10"/>
      <c r="AM4" s="4" t="s">
        <v>239</v>
      </c>
      <c r="AN4" s="4"/>
      <c r="AO4" s="10"/>
      <c r="AP4" s="4" t="s">
        <v>240</v>
      </c>
      <c r="AQ4" s="4"/>
      <c r="AR4" s="10"/>
      <c r="AS4" s="4" t="s">
        <v>241</v>
      </c>
      <c r="AT4" s="4"/>
      <c r="AU4" s="10"/>
      <c r="AV4" s="4" t="s">
        <v>242</v>
      </c>
      <c r="AW4" s="4"/>
      <c r="AX4" s="26"/>
      <c r="AY4" s="4" t="s">
        <v>243</v>
      </c>
      <c r="AZ4" s="4"/>
      <c r="BA4" s="26"/>
      <c r="BB4" s="4" t="s">
        <v>244</v>
      </c>
      <c r="BC4" s="4"/>
      <c r="BD4" s="26"/>
      <c r="BE4" s="4" t="s">
        <v>245</v>
      </c>
      <c r="BF4" s="4"/>
      <c r="BG4" s="4"/>
      <c r="BH4" s="4" t="s">
        <v>246</v>
      </c>
      <c r="BI4" s="4"/>
      <c r="BJ4" s="4"/>
      <c r="BK4" s="4" t="s">
        <v>3</v>
      </c>
      <c r="BL4" s="4"/>
      <c r="BM4" s="4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110.53</v>
      </c>
      <c r="D13" s="19">
        <v>90.98</v>
      </c>
      <c r="E13" s="5"/>
      <c r="F13" s="27">
        <v>110.63</v>
      </c>
      <c r="G13" s="19">
        <v>90.99</v>
      </c>
      <c r="H13" s="5"/>
      <c r="I13" s="27">
        <v>111</v>
      </c>
      <c r="J13" s="19">
        <v>91.4</v>
      </c>
      <c r="K13" s="5"/>
      <c r="L13" s="27">
        <v>111.25</v>
      </c>
      <c r="M13" s="19">
        <v>91.5</v>
      </c>
      <c r="N13" s="5"/>
      <c r="O13" s="27">
        <v>111.28</v>
      </c>
      <c r="P13" s="19">
        <v>91.54</v>
      </c>
      <c r="Q13" s="5"/>
      <c r="R13" s="27">
        <v>110.27</v>
      </c>
      <c r="S13" s="19">
        <v>92.08</v>
      </c>
      <c r="T13" s="5"/>
      <c r="U13" s="27">
        <v>109.22</v>
      </c>
      <c r="V13" s="19">
        <v>92.55</v>
      </c>
      <c r="W13" s="5"/>
      <c r="X13" s="27">
        <v>109.91</v>
      </c>
      <c r="Y13" s="19">
        <v>92.3</v>
      </c>
      <c r="Z13" s="5"/>
      <c r="AA13" s="27">
        <v>109.47</v>
      </c>
      <c r="AB13" s="19">
        <v>92.49</v>
      </c>
      <c r="AC13" s="5"/>
      <c r="AD13" s="27">
        <v>109.47</v>
      </c>
      <c r="AE13" s="19">
        <v>92.49</v>
      </c>
      <c r="AF13" s="5"/>
      <c r="AG13" s="27">
        <v>109.37</v>
      </c>
      <c r="AH13" s="19">
        <v>92.4</v>
      </c>
      <c r="AI13" s="5"/>
      <c r="AJ13" s="27">
        <v>109.31</v>
      </c>
      <c r="AK13" s="19">
        <v>92.08</v>
      </c>
      <c r="AL13" s="5"/>
      <c r="AM13" s="27">
        <v>108.39</v>
      </c>
      <c r="AN13" s="19">
        <v>92.52</v>
      </c>
      <c r="AO13" s="5"/>
      <c r="AP13" s="27">
        <v>107.74</v>
      </c>
      <c r="AQ13" s="19">
        <v>92.89</v>
      </c>
      <c r="AR13" s="5"/>
      <c r="AS13" s="27">
        <v>107.62</v>
      </c>
      <c r="AT13" s="19">
        <v>93</v>
      </c>
      <c r="AU13" s="5"/>
      <c r="AV13" s="27">
        <v>106.28</v>
      </c>
      <c r="AW13" s="19">
        <v>93.51</v>
      </c>
      <c r="AX13" s="5"/>
      <c r="AY13" s="27">
        <v>106.86</v>
      </c>
      <c r="AZ13" s="19">
        <v>92.89</v>
      </c>
      <c r="BA13" s="5"/>
      <c r="BB13" s="27">
        <v>106.7</v>
      </c>
      <c r="BC13" s="19">
        <v>93.18</v>
      </c>
      <c r="BD13" s="5"/>
      <c r="BE13" s="27">
        <v>106.4</v>
      </c>
      <c r="BF13" s="19">
        <v>93.46</v>
      </c>
      <c r="BG13" s="27"/>
      <c r="BH13" s="27">
        <v>106.1</v>
      </c>
      <c r="BI13" s="19">
        <v>93.61</v>
      </c>
      <c r="BJ13" s="27"/>
      <c r="BK13" s="27">
        <f>(+C13+F13+I13+L13+O13+R13+U13+X13+AA13+AD13+AG13+AJ13+AM13+AP13+AS13+AV13+AY13+BB13+BE13+BH13)/20</f>
        <v>108.88999999999999</v>
      </c>
      <c r="BL13" s="19">
        <f>(+D13+G13+J13+M13+P13+S13+V13+Y13+AB13+AE13+AH13+AK13+AN13+AQ13+AT13+AW13+AZ13+BC13+BF13+BI13)/20</f>
        <v>92.393</v>
      </c>
      <c r="BM13" s="19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1/1.7993</f>
        <v>0.5557716889901628</v>
      </c>
      <c r="D14" s="19">
        <v>180.94</v>
      </c>
      <c r="E14" s="5"/>
      <c r="F14" s="27">
        <f>1/1.7933</f>
        <v>0.5576311827357386</v>
      </c>
      <c r="G14" s="19">
        <v>180.51</v>
      </c>
      <c r="H14" s="5"/>
      <c r="I14" s="27">
        <f>1/1.7832</f>
        <v>0.5607895917451773</v>
      </c>
      <c r="J14" s="19">
        <v>180.92</v>
      </c>
      <c r="K14" s="5"/>
      <c r="L14" s="27">
        <f>1/1.7781</f>
        <v>0.5623980653506552</v>
      </c>
      <c r="M14" s="19">
        <v>180.99</v>
      </c>
      <c r="N14" s="5"/>
      <c r="O14" s="27">
        <f>1/1.7792</f>
        <v>0.5620503597122303</v>
      </c>
      <c r="P14" s="19">
        <v>181.25</v>
      </c>
      <c r="Q14" s="5"/>
      <c r="R14" s="27">
        <f>1/1.7864</f>
        <v>0.5597850425436632</v>
      </c>
      <c r="S14" s="19">
        <v>181.39</v>
      </c>
      <c r="T14" s="5"/>
      <c r="U14" s="27">
        <f>1/1.7951</f>
        <v>0.5570720294134032</v>
      </c>
      <c r="V14" s="19">
        <v>181.46</v>
      </c>
      <c r="W14" s="5"/>
      <c r="X14" s="27">
        <f>1/1.7876</f>
        <v>0.5594092638174087</v>
      </c>
      <c r="Y14" s="19">
        <v>181.34</v>
      </c>
      <c r="Z14" s="5"/>
      <c r="AA14" s="27">
        <f>1/1.7996</f>
        <v>0.5556790397866193</v>
      </c>
      <c r="AB14" s="19">
        <v>182.21</v>
      </c>
      <c r="AC14" s="5"/>
      <c r="AD14" s="27">
        <f>1/1.7996</f>
        <v>0.5556790397866193</v>
      </c>
      <c r="AE14" s="19">
        <v>182.21</v>
      </c>
      <c r="AF14" s="5"/>
      <c r="AG14" s="27">
        <f>1/1.7976</f>
        <v>0.5562972852692478</v>
      </c>
      <c r="AH14" s="19">
        <v>181.66</v>
      </c>
      <c r="AI14" s="5"/>
      <c r="AJ14" s="27">
        <f>1/1.8031</f>
        <v>0.5546004104043037</v>
      </c>
      <c r="AK14" s="19">
        <v>181.48</v>
      </c>
      <c r="AL14" s="5"/>
      <c r="AM14" s="27">
        <f>1/1.8078</f>
        <v>0.5531585352361986</v>
      </c>
      <c r="AN14" s="19">
        <v>181.28</v>
      </c>
      <c r="AO14" s="5"/>
      <c r="AP14" s="27">
        <f>1/1.8289</f>
        <v>0.5467767510525453</v>
      </c>
      <c r="AQ14" s="19">
        <v>183.04</v>
      </c>
      <c r="AR14" s="5"/>
      <c r="AS14" s="27">
        <f>1/1.824</f>
        <v>0.5482456140350876</v>
      </c>
      <c r="AT14" s="19">
        <v>182.57</v>
      </c>
      <c r="AU14" s="5"/>
      <c r="AV14" s="27">
        <f>1/1.8439</f>
        <v>0.5423287596941265</v>
      </c>
      <c r="AW14" s="19">
        <v>183.25</v>
      </c>
      <c r="AX14" s="5"/>
      <c r="AY14" s="27">
        <f>1/1.8365</f>
        <v>0.5445140212360469</v>
      </c>
      <c r="AZ14" s="19">
        <v>182.3</v>
      </c>
      <c r="BA14" s="5"/>
      <c r="BB14" s="27">
        <f>1/1.8365</f>
        <v>0.5445140212360469</v>
      </c>
      <c r="BC14" s="19">
        <v>182.59</v>
      </c>
      <c r="BD14" s="5"/>
      <c r="BE14" s="27">
        <f>1/1.8288</f>
        <v>0.5468066491688539</v>
      </c>
      <c r="BF14" s="19">
        <v>181.87</v>
      </c>
      <c r="BG14" s="27"/>
      <c r="BH14" s="27">
        <f>1/1.8301</f>
        <v>0.5464182285121032</v>
      </c>
      <c r="BI14" s="19">
        <v>181.77</v>
      </c>
      <c r="BJ14" s="27"/>
      <c r="BK14" s="27">
        <f aca="true" t="shared" si="0" ref="BK14:BK25">(+C14+F14+I14+L14+O14+R14+U14+X14+AA14+AD14+AG14+AJ14+AM14+AP14+AS14+AV14+AY14+BB14+BE14+BH14)/20</f>
        <v>0.5534962789863118</v>
      </c>
      <c r="BL14" s="19">
        <f aca="true" t="shared" si="1" ref="BL14:BL25">(+D14+G14+J14+M14+P14+S14+V14+Y14+AB14+AE14+AH14+AK14+AN14+AQ14+AT14+AW14+AZ14+BC14+BF14+BI14)/20</f>
        <v>181.75150000000002</v>
      </c>
      <c r="BM14" s="19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1.2491</v>
      </c>
      <c r="D15" s="19">
        <v>80.51</v>
      </c>
      <c r="E15" s="5"/>
      <c r="F15" s="27">
        <v>1.2532</v>
      </c>
      <c r="G15" s="19">
        <v>80.32</v>
      </c>
      <c r="H15" s="5"/>
      <c r="I15" s="27">
        <v>1.2634</v>
      </c>
      <c r="J15" s="19">
        <v>80.3</v>
      </c>
      <c r="K15" s="5"/>
      <c r="L15" s="27">
        <v>1.2658</v>
      </c>
      <c r="M15" s="19">
        <v>80.42</v>
      </c>
      <c r="N15" s="5"/>
      <c r="O15" s="27">
        <v>1.2646</v>
      </c>
      <c r="P15" s="19">
        <v>80.56</v>
      </c>
      <c r="Q15" s="5"/>
      <c r="R15" s="27">
        <v>1.2596</v>
      </c>
      <c r="S15" s="19">
        <v>80.61</v>
      </c>
      <c r="T15" s="5"/>
      <c r="U15" s="27">
        <v>1.2496</v>
      </c>
      <c r="V15" s="19">
        <v>80.9</v>
      </c>
      <c r="W15" s="5"/>
      <c r="X15" s="27">
        <v>1.2586</v>
      </c>
      <c r="Y15" s="19">
        <v>80.6</v>
      </c>
      <c r="Z15" s="5"/>
      <c r="AA15" s="27">
        <v>1.2492</v>
      </c>
      <c r="AB15" s="19">
        <v>81.05</v>
      </c>
      <c r="AC15" s="5"/>
      <c r="AD15" s="27">
        <v>1.2492</v>
      </c>
      <c r="AE15" s="19">
        <v>81.05</v>
      </c>
      <c r="AF15" s="5"/>
      <c r="AG15" s="27">
        <v>1.2442</v>
      </c>
      <c r="AH15" s="19">
        <v>81.22</v>
      </c>
      <c r="AI15" s="5"/>
      <c r="AJ15" s="27">
        <v>1.2332</v>
      </c>
      <c r="AK15" s="19">
        <v>81.62</v>
      </c>
      <c r="AL15" s="5"/>
      <c r="AM15" s="27">
        <v>1.2235</v>
      </c>
      <c r="AN15" s="19">
        <v>81.96</v>
      </c>
      <c r="AO15" s="5"/>
      <c r="AP15" s="27">
        <v>1.2171</v>
      </c>
      <c r="AQ15" s="19">
        <v>82.23</v>
      </c>
      <c r="AR15" s="5"/>
      <c r="AS15" s="27">
        <v>1.2187</v>
      </c>
      <c r="AT15" s="19">
        <v>82.13</v>
      </c>
      <c r="AU15" s="5"/>
      <c r="AV15" s="27">
        <v>1.1949</v>
      </c>
      <c r="AW15" s="19">
        <v>83.17</v>
      </c>
      <c r="AX15" s="5"/>
      <c r="AY15" s="27">
        <v>1.1986</v>
      </c>
      <c r="AZ15" s="19">
        <v>82.82</v>
      </c>
      <c r="BA15" s="5"/>
      <c r="BB15" s="27">
        <v>1.2006</v>
      </c>
      <c r="BC15" s="19">
        <v>82.81</v>
      </c>
      <c r="BD15" s="5"/>
      <c r="BE15" s="27">
        <v>1.2052</v>
      </c>
      <c r="BF15" s="19">
        <v>82.51</v>
      </c>
      <c r="BG15" s="27"/>
      <c r="BH15" s="27">
        <v>1.2005</v>
      </c>
      <c r="BI15" s="19">
        <v>82.73</v>
      </c>
      <c r="BJ15" s="27"/>
      <c r="BK15" s="27">
        <f t="shared" si="0"/>
        <v>1.23494</v>
      </c>
      <c r="BL15" s="19">
        <f t="shared" si="1"/>
        <v>81.476</v>
      </c>
      <c r="BM15" s="19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1/1.2403</f>
        <v>0.8062565508344756</v>
      </c>
      <c r="D16" s="19">
        <v>124.73</v>
      </c>
      <c r="E16" s="5"/>
      <c r="F16" s="27">
        <f>1/1.2375</f>
        <v>0.8080808080808081</v>
      </c>
      <c r="G16" s="19">
        <v>124.56</v>
      </c>
      <c r="H16" s="5"/>
      <c r="I16" s="27">
        <f>1/1.2288</f>
        <v>0.8138020833333334</v>
      </c>
      <c r="J16" s="19">
        <v>124.67</v>
      </c>
      <c r="K16" s="5"/>
      <c r="L16" s="27">
        <f>1/1.2269</f>
        <v>0.8150623522699486</v>
      </c>
      <c r="M16" s="19">
        <v>124.89</v>
      </c>
      <c r="N16" s="5"/>
      <c r="O16" s="27">
        <f>1/1.2282</f>
        <v>0.8141996417521576</v>
      </c>
      <c r="P16" s="19">
        <v>125.12</v>
      </c>
      <c r="Q16" s="5"/>
      <c r="R16" s="27">
        <f>1/1.2314</f>
        <v>0.8120838070488874</v>
      </c>
      <c r="S16" s="19">
        <v>125.04</v>
      </c>
      <c r="T16" s="5"/>
      <c r="U16" s="27">
        <f>1/1.2399</f>
        <v>0.8065166545689169</v>
      </c>
      <c r="V16" s="19">
        <v>125.34</v>
      </c>
      <c r="W16" s="5"/>
      <c r="X16" s="27">
        <f>1/1.2305</f>
        <v>0.8126777732629014</v>
      </c>
      <c r="Y16" s="19">
        <v>124.82</v>
      </c>
      <c r="Z16" s="5"/>
      <c r="AA16" s="27">
        <f>1/1.236</f>
        <v>0.8090614886731392</v>
      </c>
      <c r="AB16" s="19">
        <v>125.15</v>
      </c>
      <c r="AC16" s="5"/>
      <c r="AD16" s="27">
        <f>1/1.236</f>
        <v>0.8090614886731392</v>
      </c>
      <c r="AE16" s="19">
        <v>125.15</v>
      </c>
      <c r="AF16" s="5"/>
      <c r="AG16" s="27">
        <f>1/1.2389</f>
        <v>0.8071676487206394</v>
      </c>
      <c r="AH16" s="19">
        <v>125.2</v>
      </c>
      <c r="AI16" s="5"/>
      <c r="AJ16" s="27">
        <f>1/1.2474</f>
        <v>0.8016674683341349</v>
      </c>
      <c r="AK16" s="19">
        <v>125.55</v>
      </c>
      <c r="AL16" s="5"/>
      <c r="AM16" s="27">
        <f>1/1.2573</f>
        <v>0.7953551260637874</v>
      </c>
      <c r="AN16" s="19">
        <v>126.08</v>
      </c>
      <c r="AO16" s="5"/>
      <c r="AP16" s="27">
        <f>1/1.2623</f>
        <v>0.7922047056959518</v>
      </c>
      <c r="AQ16" s="19">
        <v>126.34</v>
      </c>
      <c r="AR16" s="5"/>
      <c r="AS16" s="27">
        <f>1/1.2623</f>
        <v>0.7922047056959518</v>
      </c>
      <c r="AT16" s="19">
        <v>126.34</v>
      </c>
      <c r="AU16" s="5"/>
      <c r="AV16" s="27">
        <f>1/1.2815</f>
        <v>0.7803355442840421</v>
      </c>
      <c r="AW16" s="19">
        <v>127.36</v>
      </c>
      <c r="AX16" s="5"/>
      <c r="AY16" s="27">
        <f>1/1.2786</f>
        <v>0.782105427811669</v>
      </c>
      <c r="AZ16" s="19">
        <v>126.92</v>
      </c>
      <c r="BA16" s="5"/>
      <c r="BB16" s="27">
        <f>1/1.2755</f>
        <v>0.7840062720501764</v>
      </c>
      <c r="BC16" s="19">
        <v>126.81</v>
      </c>
      <c r="BD16" s="5"/>
      <c r="BE16" s="27">
        <f>1/1.2717</f>
        <v>0.7863489816780687</v>
      </c>
      <c r="BF16" s="19">
        <v>126.47</v>
      </c>
      <c r="BG16" s="27"/>
      <c r="BH16" s="27">
        <f>1/1.2745</f>
        <v>0.7846214201647705</v>
      </c>
      <c r="BI16" s="19">
        <v>126.58</v>
      </c>
      <c r="BJ16" s="27"/>
      <c r="BK16" s="27">
        <f t="shared" si="0"/>
        <v>0.800640997449845</v>
      </c>
      <c r="BL16" s="19">
        <f t="shared" si="1"/>
        <v>125.65599999999998</v>
      </c>
      <c r="BM16" s="19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417.5</v>
      </c>
      <c r="D17" s="19">
        <v>41984.5</v>
      </c>
      <c r="E17" s="5"/>
      <c r="F17" s="27">
        <v>416.25</v>
      </c>
      <c r="G17" s="19">
        <v>41898.82</v>
      </c>
      <c r="H17" s="5"/>
      <c r="I17" s="27">
        <v>413.75</v>
      </c>
      <c r="J17" s="19">
        <v>41977.35</v>
      </c>
      <c r="K17" s="5"/>
      <c r="L17" s="27">
        <v>417.75</v>
      </c>
      <c r="M17" s="19">
        <v>42523.12</v>
      </c>
      <c r="N17" s="5"/>
      <c r="O17" s="27">
        <v>417.6</v>
      </c>
      <c r="P17" s="19">
        <v>42540.91</v>
      </c>
      <c r="Q17" s="5"/>
      <c r="R17" s="27">
        <v>417.3</v>
      </c>
      <c r="S17" s="19">
        <v>42373.34</v>
      </c>
      <c r="T17" s="5"/>
      <c r="U17" s="27">
        <v>421.15</v>
      </c>
      <c r="V17" s="19">
        <v>42572.65</v>
      </c>
      <c r="W17" s="5"/>
      <c r="X17" s="27">
        <v>417.75</v>
      </c>
      <c r="Y17" s="19">
        <v>42377.26</v>
      </c>
      <c r="Z17" s="5"/>
      <c r="AA17" s="27">
        <v>414.4</v>
      </c>
      <c r="AB17" s="19">
        <v>41958</v>
      </c>
      <c r="AC17" s="5"/>
      <c r="AD17" s="27">
        <v>414.4</v>
      </c>
      <c r="AE17" s="19">
        <v>41958</v>
      </c>
      <c r="AF17" s="5"/>
      <c r="AG17" s="27">
        <v>417.5</v>
      </c>
      <c r="AH17" s="19">
        <v>42192.2</v>
      </c>
      <c r="AI17" s="5"/>
      <c r="AJ17" s="27">
        <v>418.5</v>
      </c>
      <c r="AK17" s="19">
        <v>42121.26</v>
      </c>
      <c r="AL17" s="5"/>
      <c r="AM17" s="27">
        <v>421.5</v>
      </c>
      <c r="AN17" s="19">
        <v>42267.35</v>
      </c>
      <c r="AO17" s="5"/>
      <c r="AP17" s="27">
        <v>425.1</v>
      </c>
      <c r="AQ17" s="19">
        <v>42545.71</v>
      </c>
      <c r="AR17" s="5"/>
      <c r="AS17" s="27">
        <v>422.24</v>
      </c>
      <c r="AT17" s="19">
        <v>42262.35</v>
      </c>
      <c r="AU17" s="5"/>
      <c r="AV17" s="27">
        <v>428.75</v>
      </c>
      <c r="AW17" s="19">
        <v>42610.6</v>
      </c>
      <c r="AX17" s="5"/>
      <c r="AY17" s="27">
        <v>427.25</v>
      </c>
      <c r="AZ17" s="19">
        <v>42411.33</v>
      </c>
      <c r="BA17" s="5"/>
      <c r="BB17" s="27">
        <v>425.75</v>
      </c>
      <c r="BC17" s="19">
        <v>42328.35</v>
      </c>
      <c r="BD17" s="5"/>
      <c r="BE17" s="27">
        <v>423.8</v>
      </c>
      <c r="BF17" s="19">
        <v>42145.07</v>
      </c>
      <c r="BG17" s="27"/>
      <c r="BH17" s="27">
        <v>426.1</v>
      </c>
      <c r="BI17" s="19">
        <v>42320.25</v>
      </c>
      <c r="BJ17" s="27"/>
      <c r="BK17" s="27">
        <f t="shared" si="0"/>
        <v>420.217</v>
      </c>
      <c r="BL17" s="19">
        <f t="shared" si="1"/>
        <v>42268.42099999999</v>
      </c>
      <c r="BM17" s="19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6.85</v>
      </c>
      <c r="D18" s="19">
        <v>688.85</v>
      </c>
      <c r="E18" s="5"/>
      <c r="F18" s="27">
        <v>6.83</v>
      </c>
      <c r="G18" s="19">
        <v>687.49</v>
      </c>
      <c r="H18" s="5"/>
      <c r="I18" s="27">
        <v>6.72</v>
      </c>
      <c r="J18" s="19">
        <v>681.78</v>
      </c>
      <c r="K18" s="5"/>
      <c r="L18" s="27">
        <v>7.09</v>
      </c>
      <c r="M18" s="19">
        <v>721.7</v>
      </c>
      <c r="N18" s="5"/>
      <c r="O18" s="27">
        <v>7.15</v>
      </c>
      <c r="P18" s="19">
        <v>728.37</v>
      </c>
      <c r="Q18" s="5"/>
      <c r="R18" s="27">
        <v>7.14</v>
      </c>
      <c r="S18" s="19">
        <v>725.01</v>
      </c>
      <c r="T18" s="5"/>
      <c r="U18" s="27">
        <v>7.24</v>
      </c>
      <c r="V18" s="19">
        <v>731.87</v>
      </c>
      <c r="W18" s="5"/>
      <c r="X18" s="27">
        <v>7.02</v>
      </c>
      <c r="Y18" s="19">
        <v>712.12</v>
      </c>
      <c r="Z18" s="5"/>
      <c r="AA18" s="27">
        <v>6.97</v>
      </c>
      <c r="AB18" s="19">
        <v>705.71</v>
      </c>
      <c r="AC18" s="5"/>
      <c r="AD18" s="27">
        <v>6.97</v>
      </c>
      <c r="AE18" s="19">
        <v>705.71</v>
      </c>
      <c r="AF18" s="5"/>
      <c r="AG18" s="27">
        <v>7</v>
      </c>
      <c r="AH18" s="19">
        <v>707.41</v>
      </c>
      <c r="AI18" s="5"/>
      <c r="AJ18" s="27">
        <v>7.01</v>
      </c>
      <c r="AK18" s="19">
        <v>705.54</v>
      </c>
      <c r="AL18" s="5"/>
      <c r="AM18" s="27">
        <v>7.21</v>
      </c>
      <c r="AN18" s="19">
        <v>723.01</v>
      </c>
      <c r="AO18" s="5"/>
      <c r="AP18" s="27">
        <v>7.33</v>
      </c>
      <c r="AQ18" s="19">
        <v>733.62</v>
      </c>
      <c r="AR18" s="5"/>
      <c r="AS18" s="27">
        <v>7.24</v>
      </c>
      <c r="AT18" s="19">
        <v>724.66</v>
      </c>
      <c r="AU18" s="5"/>
      <c r="AV18" s="27">
        <v>7.45</v>
      </c>
      <c r="AW18" s="19">
        <v>740.41</v>
      </c>
      <c r="AX18" s="5"/>
      <c r="AY18" s="27">
        <v>7.28</v>
      </c>
      <c r="AZ18" s="19">
        <v>722.66</v>
      </c>
      <c r="BA18" s="5"/>
      <c r="BB18" s="27">
        <v>7.25</v>
      </c>
      <c r="BC18" s="19">
        <v>720.8</v>
      </c>
      <c r="BD18" s="5"/>
      <c r="BE18" s="27">
        <v>7.15</v>
      </c>
      <c r="BF18" s="19">
        <v>711.04</v>
      </c>
      <c r="BG18" s="27"/>
      <c r="BH18" s="27">
        <v>7.13</v>
      </c>
      <c r="BI18" s="19">
        <v>708.15</v>
      </c>
      <c r="BJ18" s="27"/>
      <c r="BK18" s="27">
        <f t="shared" si="0"/>
        <v>7.1015</v>
      </c>
      <c r="BL18" s="19">
        <f t="shared" si="1"/>
        <v>714.2955</v>
      </c>
      <c r="BM18" s="19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1/0.7231</f>
        <v>1.3829345871940257</v>
      </c>
      <c r="D19" s="19">
        <v>72.72</v>
      </c>
      <c r="E19" s="5"/>
      <c r="F19" s="27">
        <f>1/0.7233</f>
        <v>1.3825521913452232</v>
      </c>
      <c r="G19" s="19">
        <v>72.81</v>
      </c>
      <c r="H19" s="5"/>
      <c r="I19" s="27">
        <f>1/0.7207</f>
        <v>1.3875398917718884</v>
      </c>
      <c r="J19" s="19">
        <v>73.12</v>
      </c>
      <c r="K19" s="5"/>
      <c r="L19" s="27">
        <f>1/0.7209</f>
        <v>1.3871549452073797</v>
      </c>
      <c r="M19" s="19">
        <v>73.38</v>
      </c>
      <c r="N19" s="5"/>
      <c r="O19" s="27">
        <f>1/0.7259</f>
        <v>1.3776002204160354</v>
      </c>
      <c r="P19" s="19">
        <v>73.95</v>
      </c>
      <c r="Q19" s="5"/>
      <c r="R19" s="27">
        <f>1/0.7277</f>
        <v>1.374192661811186</v>
      </c>
      <c r="S19" s="19">
        <v>73.89</v>
      </c>
      <c r="T19" s="5"/>
      <c r="U19" s="27">
        <f>1/0.7343</f>
        <v>1.3618412093149939</v>
      </c>
      <c r="V19" s="19">
        <v>74.23</v>
      </c>
      <c r="W19" s="5"/>
      <c r="X19" s="27">
        <f>1/0.7274</f>
        <v>1.374759417102007</v>
      </c>
      <c r="Y19" s="19">
        <v>73.79</v>
      </c>
      <c r="Z19" s="5"/>
      <c r="AA19" s="27">
        <f>1/0.7257</f>
        <v>1.37797988149373</v>
      </c>
      <c r="AB19" s="19">
        <v>73.48</v>
      </c>
      <c r="AC19" s="5"/>
      <c r="AD19" s="27">
        <f>1/0.7257</f>
        <v>1.37797988149373</v>
      </c>
      <c r="AE19" s="19">
        <v>73.48</v>
      </c>
      <c r="AF19" s="5"/>
      <c r="AG19" s="27">
        <f>1/0.7289</f>
        <v>1.3719303059404582</v>
      </c>
      <c r="AH19" s="19">
        <v>73.66</v>
      </c>
      <c r="AI19" s="5"/>
      <c r="AJ19" s="27">
        <f>1/0.7309</f>
        <v>1.3681762210972774</v>
      </c>
      <c r="AK19" s="19">
        <v>73.56</v>
      </c>
      <c r="AL19" s="5"/>
      <c r="AM19" s="27">
        <f>1/0.7324</f>
        <v>1.3653741125068268</v>
      </c>
      <c r="AN19" s="19">
        <v>73.44</v>
      </c>
      <c r="AO19" s="5"/>
      <c r="AP19" s="27">
        <f>1/0.7363</f>
        <v>1.3581420616596498</v>
      </c>
      <c r="AQ19" s="19">
        <v>73.69</v>
      </c>
      <c r="AR19" s="5"/>
      <c r="AS19" s="27">
        <f>1/0.7367</f>
        <v>1.3574046423238768</v>
      </c>
      <c r="AT19" s="19">
        <v>73.74</v>
      </c>
      <c r="AU19" s="5"/>
      <c r="AV19" s="27">
        <f>1/0.7493</f>
        <v>1.3345789403443213</v>
      </c>
      <c r="AW19" s="19">
        <v>74.47</v>
      </c>
      <c r="AX19" s="18"/>
      <c r="AY19" s="27">
        <f>1/0.7457</f>
        <v>1.341021858656296</v>
      </c>
      <c r="AZ19" s="19">
        <v>74.02</v>
      </c>
      <c r="BA19" s="18"/>
      <c r="BB19" s="27">
        <f>1/0.745</f>
        <v>1.342281879194631</v>
      </c>
      <c r="BC19" s="19">
        <v>74.07</v>
      </c>
      <c r="BD19" s="18"/>
      <c r="BE19" s="27">
        <f>1/0.7469</f>
        <v>1.3388673182487616</v>
      </c>
      <c r="BF19" s="19">
        <v>74.28</v>
      </c>
      <c r="BG19" s="27"/>
      <c r="BH19" s="27">
        <f>1/0.7458</f>
        <v>1.3408420488066506</v>
      </c>
      <c r="BI19" s="19">
        <v>74.07</v>
      </c>
      <c r="BJ19" s="27"/>
      <c r="BK19" s="27">
        <f t="shared" si="0"/>
        <v>1.3651577137964475</v>
      </c>
      <c r="BL19" s="19">
        <f t="shared" si="1"/>
        <v>73.6925</v>
      </c>
      <c r="BM19" s="19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1.2639</v>
      </c>
      <c r="D20" s="19">
        <v>79.56</v>
      </c>
      <c r="E20" s="5"/>
      <c r="F20" s="27">
        <v>1.2652</v>
      </c>
      <c r="G20" s="19">
        <v>79.56</v>
      </c>
      <c r="H20" s="5"/>
      <c r="I20" s="27">
        <v>1.2713</v>
      </c>
      <c r="J20" s="19">
        <v>79.8</v>
      </c>
      <c r="K20" s="5"/>
      <c r="L20" s="27">
        <v>1.2647</v>
      </c>
      <c r="M20" s="19">
        <v>80.49</v>
      </c>
      <c r="N20" s="5"/>
      <c r="O20" s="27">
        <v>1.2571</v>
      </c>
      <c r="P20" s="19">
        <v>81.04</v>
      </c>
      <c r="Q20" s="5"/>
      <c r="R20" s="27">
        <v>1.2595</v>
      </c>
      <c r="S20" s="19">
        <v>80.62</v>
      </c>
      <c r="T20" s="5"/>
      <c r="U20" s="27">
        <v>1.2543</v>
      </c>
      <c r="V20" s="19">
        <v>80.59</v>
      </c>
      <c r="W20" s="5"/>
      <c r="X20" s="27">
        <v>1.2582</v>
      </c>
      <c r="Y20" s="19">
        <v>80.62</v>
      </c>
      <c r="Z20" s="5"/>
      <c r="AA20" s="27">
        <v>1.2571</v>
      </c>
      <c r="AB20" s="19">
        <v>80.54</v>
      </c>
      <c r="AC20" s="5"/>
      <c r="AD20" s="27">
        <v>1.2571</v>
      </c>
      <c r="AE20" s="19">
        <v>80.54</v>
      </c>
      <c r="AF20" s="5"/>
      <c r="AG20" s="27">
        <v>1.256</v>
      </c>
      <c r="AH20" s="19">
        <v>80.46</v>
      </c>
      <c r="AI20" s="5"/>
      <c r="AJ20" s="27">
        <v>1.2563</v>
      </c>
      <c r="AK20" s="19">
        <v>80.11</v>
      </c>
      <c r="AL20" s="5"/>
      <c r="AM20" s="27">
        <v>1.2522</v>
      </c>
      <c r="AN20" s="19">
        <v>80.08</v>
      </c>
      <c r="AO20" s="5"/>
      <c r="AP20" s="27">
        <v>1.2452</v>
      </c>
      <c r="AQ20" s="19">
        <v>80.38</v>
      </c>
      <c r="AR20" s="5"/>
      <c r="AS20" s="27">
        <v>1.2403</v>
      </c>
      <c r="AT20" s="19">
        <v>80.7</v>
      </c>
      <c r="AU20" s="5"/>
      <c r="AV20" s="27">
        <v>1.2182</v>
      </c>
      <c r="AW20" s="19">
        <v>81.58</v>
      </c>
      <c r="AX20" s="5"/>
      <c r="AY20" s="27">
        <v>1.2235</v>
      </c>
      <c r="AZ20" s="19">
        <v>81.13</v>
      </c>
      <c r="BA20" s="5"/>
      <c r="BB20" s="27">
        <v>1.2244</v>
      </c>
      <c r="BC20" s="19">
        <v>81.2</v>
      </c>
      <c r="BD20" s="5"/>
      <c r="BE20" s="27">
        <v>1.2242</v>
      </c>
      <c r="BF20" s="19">
        <v>81.23</v>
      </c>
      <c r="BG20" s="27"/>
      <c r="BH20" s="27">
        <v>1.221</v>
      </c>
      <c r="BI20" s="19">
        <v>81.34</v>
      </c>
      <c r="BJ20" s="27"/>
      <c r="BK20" s="27">
        <f t="shared" si="0"/>
        <v>1.248485</v>
      </c>
      <c r="BL20" s="19">
        <f t="shared" si="1"/>
        <v>80.57849999999999</v>
      </c>
      <c r="BM20" s="19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7.2723</v>
      </c>
      <c r="D21" s="19">
        <v>13.83</v>
      </c>
      <c r="E21" s="5"/>
      <c r="F21" s="27">
        <v>7.292</v>
      </c>
      <c r="G21" s="19">
        <v>13.8</v>
      </c>
      <c r="H21" s="5"/>
      <c r="I21" s="27">
        <v>7.3636</v>
      </c>
      <c r="J21" s="19">
        <v>13.78</v>
      </c>
      <c r="K21" s="5"/>
      <c r="L21" s="27">
        <v>7.3578</v>
      </c>
      <c r="M21" s="19">
        <v>13.83</v>
      </c>
      <c r="N21" s="5"/>
      <c r="O21" s="27">
        <v>7.3537</v>
      </c>
      <c r="P21" s="19">
        <v>13.85</v>
      </c>
      <c r="Q21" s="5"/>
      <c r="R21" s="27">
        <v>7.352</v>
      </c>
      <c r="S21" s="19">
        <v>13.81</v>
      </c>
      <c r="T21" s="5"/>
      <c r="U21" s="27">
        <v>7.2975</v>
      </c>
      <c r="V21" s="19">
        <v>13.85</v>
      </c>
      <c r="W21" s="5"/>
      <c r="X21" s="27">
        <v>7.3546</v>
      </c>
      <c r="Y21" s="19">
        <v>13.79</v>
      </c>
      <c r="Z21" s="5"/>
      <c r="AA21" s="27">
        <v>7.3368</v>
      </c>
      <c r="AB21" s="19">
        <v>13.8</v>
      </c>
      <c r="AC21" s="5"/>
      <c r="AD21" s="27">
        <v>7.3368</v>
      </c>
      <c r="AE21" s="19">
        <v>13.8</v>
      </c>
      <c r="AF21" s="5"/>
      <c r="AG21" s="27">
        <v>7.3474</v>
      </c>
      <c r="AH21" s="19">
        <v>13.75</v>
      </c>
      <c r="AI21" s="5"/>
      <c r="AJ21" s="27">
        <v>7.2979</v>
      </c>
      <c r="AK21" s="19">
        <v>13.79</v>
      </c>
      <c r="AL21" s="5"/>
      <c r="AM21" s="27">
        <v>7.2216</v>
      </c>
      <c r="AN21" s="19">
        <v>13.89</v>
      </c>
      <c r="AO21" s="5"/>
      <c r="AP21" s="27">
        <v>7.1881</v>
      </c>
      <c r="AQ21" s="19">
        <v>13.92</v>
      </c>
      <c r="AR21" s="5"/>
      <c r="AS21" s="27">
        <v>7.2035</v>
      </c>
      <c r="AT21" s="19">
        <v>13.89</v>
      </c>
      <c r="AU21" s="5"/>
      <c r="AV21" s="27">
        <v>7.0936</v>
      </c>
      <c r="AW21" s="19">
        <v>14.01</v>
      </c>
      <c r="AX21" s="5"/>
      <c r="AY21" s="27">
        <v>7.067</v>
      </c>
      <c r="AZ21" s="19">
        <v>14.05</v>
      </c>
      <c r="BA21" s="5"/>
      <c r="BB21" s="27">
        <v>7.0694</v>
      </c>
      <c r="BC21" s="19">
        <v>14.06</v>
      </c>
      <c r="BD21" s="5"/>
      <c r="BE21" s="27">
        <v>7.0956</v>
      </c>
      <c r="BF21" s="19">
        <v>14.02</v>
      </c>
      <c r="BG21" s="27"/>
      <c r="BH21" s="27">
        <v>7.1046</v>
      </c>
      <c r="BI21" s="19">
        <v>13.98</v>
      </c>
      <c r="BJ21" s="27"/>
      <c r="BK21" s="27">
        <f t="shared" si="0"/>
        <v>7.25029</v>
      </c>
      <c r="BL21" s="19">
        <f t="shared" si="1"/>
        <v>13.875</v>
      </c>
      <c r="BM21" s="19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6.7133</v>
      </c>
      <c r="D22" s="19">
        <v>14.98</v>
      </c>
      <c r="E22" s="5"/>
      <c r="F22" s="27">
        <v>6.698</v>
      </c>
      <c r="G22" s="19">
        <v>15.03</v>
      </c>
      <c r="H22" s="5"/>
      <c r="I22" s="27">
        <v>6.7394</v>
      </c>
      <c r="J22" s="19">
        <v>15.05</v>
      </c>
      <c r="K22" s="5"/>
      <c r="L22" s="27">
        <v>6.7364</v>
      </c>
      <c r="M22" s="19">
        <v>15.11</v>
      </c>
      <c r="N22" s="5"/>
      <c r="O22" s="27">
        <v>6.738</v>
      </c>
      <c r="P22" s="19">
        <v>15.12</v>
      </c>
      <c r="Q22" s="5"/>
      <c r="R22" s="27">
        <v>6.7378</v>
      </c>
      <c r="S22" s="19">
        <v>15.07</v>
      </c>
      <c r="T22" s="5"/>
      <c r="U22" s="27">
        <v>6.6359</v>
      </c>
      <c r="V22" s="19">
        <v>15.23</v>
      </c>
      <c r="W22" s="5"/>
      <c r="X22" s="27">
        <v>6.6576</v>
      </c>
      <c r="Y22" s="19">
        <v>15.24</v>
      </c>
      <c r="Z22" s="5"/>
      <c r="AA22" s="27">
        <v>6.6242</v>
      </c>
      <c r="AB22" s="19">
        <v>15.28</v>
      </c>
      <c r="AC22" s="5"/>
      <c r="AD22" s="27">
        <v>6.6242</v>
      </c>
      <c r="AE22" s="19">
        <v>15.28</v>
      </c>
      <c r="AF22" s="5"/>
      <c r="AG22" s="27">
        <v>6.6254</v>
      </c>
      <c r="AH22" s="19">
        <v>15.25</v>
      </c>
      <c r="AI22" s="5"/>
      <c r="AJ22" s="27">
        <v>6.586</v>
      </c>
      <c r="AK22" s="19">
        <v>15.28</v>
      </c>
      <c r="AL22" s="5"/>
      <c r="AM22" s="27">
        <v>6.5551</v>
      </c>
      <c r="AN22" s="19">
        <v>15.3</v>
      </c>
      <c r="AO22" s="5"/>
      <c r="AP22" s="27">
        <v>6.5267</v>
      </c>
      <c r="AQ22" s="19">
        <v>15.33</v>
      </c>
      <c r="AR22" s="5"/>
      <c r="AS22" s="27">
        <v>6.5106</v>
      </c>
      <c r="AT22" s="19">
        <v>15.37</v>
      </c>
      <c r="AU22" s="5"/>
      <c r="AV22" s="27">
        <v>6.4124</v>
      </c>
      <c r="AW22" s="19">
        <v>15.5</v>
      </c>
      <c r="AX22" s="5"/>
      <c r="AY22" s="27">
        <v>6.448</v>
      </c>
      <c r="AZ22" s="19">
        <v>15.39</v>
      </c>
      <c r="BA22" s="5"/>
      <c r="BB22" s="27">
        <v>6.4134</v>
      </c>
      <c r="BC22" s="19">
        <v>15.5</v>
      </c>
      <c r="BD22" s="5"/>
      <c r="BE22" s="27">
        <v>6.4347</v>
      </c>
      <c r="BF22" s="19">
        <v>15.45</v>
      </c>
      <c r="BG22" s="27"/>
      <c r="BH22" s="27">
        <v>6.3932</v>
      </c>
      <c r="BI22" s="19">
        <v>15.54</v>
      </c>
      <c r="BJ22" s="27"/>
      <c r="BK22" s="27">
        <f t="shared" si="0"/>
        <v>6.590515000000001</v>
      </c>
      <c r="BL22" s="19">
        <f t="shared" si="1"/>
        <v>15.265000000000004</v>
      </c>
      <c r="BM22" s="19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5.9976</v>
      </c>
      <c r="D23" s="19">
        <v>16.77</v>
      </c>
      <c r="E23" s="5"/>
      <c r="F23" s="27">
        <v>6.0118</v>
      </c>
      <c r="G23" s="19">
        <v>16.74</v>
      </c>
      <c r="H23" s="5"/>
      <c r="I23" s="27">
        <v>6.052</v>
      </c>
      <c r="J23" s="19">
        <v>16.76</v>
      </c>
      <c r="K23" s="5"/>
      <c r="L23" s="27">
        <v>6.0622</v>
      </c>
      <c r="M23" s="19">
        <v>16.79</v>
      </c>
      <c r="N23" s="5"/>
      <c r="O23" s="27">
        <v>6.0572</v>
      </c>
      <c r="P23" s="19">
        <v>16.82</v>
      </c>
      <c r="Q23" s="5"/>
      <c r="R23" s="27">
        <v>6.0398</v>
      </c>
      <c r="S23" s="19">
        <v>16.81</v>
      </c>
      <c r="T23" s="5"/>
      <c r="U23" s="27">
        <v>5.9987</v>
      </c>
      <c r="V23" s="19">
        <v>16.85</v>
      </c>
      <c r="W23" s="5"/>
      <c r="X23" s="27">
        <v>6.0439</v>
      </c>
      <c r="Y23" s="19">
        <v>16.78</v>
      </c>
      <c r="Z23" s="5"/>
      <c r="AA23" s="27">
        <v>6.0155</v>
      </c>
      <c r="AB23" s="19">
        <v>16.83</v>
      </c>
      <c r="AC23" s="5"/>
      <c r="AD23" s="27">
        <v>6.0155</v>
      </c>
      <c r="AE23" s="19">
        <v>16.83</v>
      </c>
      <c r="AF23" s="5"/>
      <c r="AG23" s="27">
        <v>6.002</v>
      </c>
      <c r="AH23" s="19">
        <v>16.84</v>
      </c>
      <c r="AI23" s="5"/>
      <c r="AJ23" s="27">
        <v>5.9617</v>
      </c>
      <c r="AK23" s="19">
        <v>16.88</v>
      </c>
      <c r="AL23" s="5"/>
      <c r="AM23" s="27">
        <v>5.9125</v>
      </c>
      <c r="AN23" s="19">
        <v>16.96</v>
      </c>
      <c r="AO23" s="5"/>
      <c r="AP23" s="27">
        <v>5.89</v>
      </c>
      <c r="AQ23" s="19">
        <v>16.99</v>
      </c>
      <c r="AR23" s="5"/>
      <c r="AS23" s="27">
        <v>5.8891</v>
      </c>
      <c r="AT23" s="19">
        <v>17</v>
      </c>
      <c r="AU23" s="5"/>
      <c r="AV23" s="27">
        <v>5.7991</v>
      </c>
      <c r="AW23" s="19">
        <v>17.14</v>
      </c>
      <c r="AX23" s="5"/>
      <c r="AY23" s="27">
        <v>5.814</v>
      </c>
      <c r="AZ23" s="19">
        <v>17.07</v>
      </c>
      <c r="BA23" s="5"/>
      <c r="BB23" s="27">
        <v>5.8277</v>
      </c>
      <c r="BC23" s="19">
        <v>17.06</v>
      </c>
      <c r="BD23" s="5"/>
      <c r="BE23" s="27">
        <v>5.8438</v>
      </c>
      <c r="BF23" s="19">
        <v>17.02</v>
      </c>
      <c r="BG23" s="27"/>
      <c r="BH23" s="27">
        <v>5.8309</v>
      </c>
      <c r="BI23" s="19">
        <v>17.03</v>
      </c>
      <c r="BJ23" s="27"/>
      <c r="BK23" s="27">
        <f t="shared" si="0"/>
        <v>5.95325</v>
      </c>
      <c r="BL23" s="19">
        <f t="shared" si="1"/>
        <v>16.898499999999995</v>
      </c>
      <c r="BM23" s="19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1/1.46899</f>
        <v>0.6807398280451195</v>
      </c>
      <c r="D24" s="19">
        <v>147.72</v>
      </c>
      <c r="E24" s="5"/>
      <c r="F24" s="27">
        <f>1/1.46899</f>
        <v>0.6807398280451195</v>
      </c>
      <c r="G24" s="19">
        <v>147.87</v>
      </c>
      <c r="H24" s="5"/>
      <c r="I24" s="27">
        <f>1/1.46694</f>
        <v>0.6816911393785704</v>
      </c>
      <c r="J24" s="19">
        <v>148.83</v>
      </c>
      <c r="K24" s="5"/>
      <c r="L24" s="27">
        <f>1/1.46475</f>
        <v>0.682710360129715</v>
      </c>
      <c r="M24" s="19">
        <v>149.1</v>
      </c>
      <c r="N24" s="5"/>
      <c r="O24" s="27">
        <f>1/1.46444</f>
        <v>0.6828548796809703</v>
      </c>
      <c r="P24" s="19">
        <v>149.18</v>
      </c>
      <c r="Q24" s="5"/>
      <c r="R24" s="27">
        <f>1/1.46454</f>
        <v>0.6828082537861718</v>
      </c>
      <c r="S24" s="19">
        <v>148.71</v>
      </c>
      <c r="T24" s="5"/>
      <c r="U24" s="27">
        <f>1/1.4675</f>
        <v>0.6814310051107325</v>
      </c>
      <c r="V24" s="19">
        <v>148.34</v>
      </c>
      <c r="W24" s="5"/>
      <c r="X24" s="27">
        <f>1/1.4675</f>
        <v>0.6814310051107325</v>
      </c>
      <c r="Y24" s="19">
        <v>148.87</v>
      </c>
      <c r="Z24" s="5"/>
      <c r="AA24" s="27">
        <f>1/1.4679</f>
        <v>0.6812453164384495</v>
      </c>
      <c r="AB24" s="19">
        <v>148.62</v>
      </c>
      <c r="AC24" s="5"/>
      <c r="AD24" s="27">
        <f>1/1.4679</f>
        <v>0.6812453164384495</v>
      </c>
      <c r="AE24" s="19">
        <v>148.62</v>
      </c>
      <c r="AF24" s="5"/>
      <c r="AG24" s="27">
        <f>1/1.47272</f>
        <v>0.6790156988429572</v>
      </c>
      <c r="AH24" s="19">
        <v>148.83</v>
      </c>
      <c r="AI24" s="5"/>
      <c r="AJ24" s="27">
        <f>1/1.47419</f>
        <v>0.6783386130688718</v>
      </c>
      <c r="AK24" s="19">
        <v>148.37</v>
      </c>
      <c r="AL24" s="5"/>
      <c r="AM24" s="27">
        <f>1/1.48051</f>
        <v>0.6754429216959021</v>
      </c>
      <c r="AN24" s="19">
        <v>148.46</v>
      </c>
      <c r="AO24" s="5"/>
      <c r="AP24" s="27">
        <f>1/1.48461</f>
        <v>0.673577572561144</v>
      </c>
      <c r="AQ24" s="19">
        <v>148.59</v>
      </c>
      <c r="AR24" s="5"/>
      <c r="AS24" s="27">
        <f>1/1.48995</f>
        <v>0.6711634618611362</v>
      </c>
      <c r="AT24" s="19">
        <v>149.13</v>
      </c>
      <c r="AU24" s="5"/>
      <c r="AV24" s="27">
        <f>1/1.49015</f>
        <v>0.6710733818743079</v>
      </c>
      <c r="AW24" s="19">
        <v>148.1</v>
      </c>
      <c r="AX24" s="5"/>
      <c r="AY24" s="27">
        <f>1/1.50081</f>
        <v>0.6663068609617473</v>
      </c>
      <c r="AZ24" s="19">
        <v>148.98</v>
      </c>
      <c r="BA24" s="5"/>
      <c r="BB24" s="27">
        <f>1/1.49941</f>
        <v>0.6669289920702143</v>
      </c>
      <c r="BC24" s="19">
        <v>149.07</v>
      </c>
      <c r="BD24" s="5"/>
      <c r="BE24" s="27">
        <f>1/1.49964</f>
        <v>0.6668267050758848</v>
      </c>
      <c r="BF24" s="19">
        <v>149.13</v>
      </c>
      <c r="BG24" s="27"/>
      <c r="BH24" s="27">
        <f>1/1.49374</f>
        <v>0.6694605486898657</v>
      </c>
      <c r="BI24" s="19">
        <v>148.36</v>
      </c>
      <c r="BJ24" s="27"/>
      <c r="BK24" s="27">
        <f t="shared" si="0"/>
        <v>0.676751584443303</v>
      </c>
      <c r="BL24" s="19">
        <f t="shared" si="1"/>
        <v>148.644</v>
      </c>
      <c r="BM24" s="19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100.56</v>
      </c>
      <c r="E25" s="21"/>
      <c r="F25" s="28">
        <v>1</v>
      </c>
      <c r="G25" s="22">
        <v>100.66</v>
      </c>
      <c r="H25" s="21"/>
      <c r="I25" s="28">
        <v>1</v>
      </c>
      <c r="J25" s="22">
        <v>101.46</v>
      </c>
      <c r="K25" s="21"/>
      <c r="L25" s="28">
        <v>1</v>
      </c>
      <c r="M25" s="22">
        <v>101.79</v>
      </c>
      <c r="N25" s="21"/>
      <c r="O25" s="28">
        <v>1</v>
      </c>
      <c r="P25" s="22">
        <v>101.87</v>
      </c>
      <c r="Q25" s="21"/>
      <c r="R25" s="28">
        <v>1</v>
      </c>
      <c r="S25" s="22">
        <v>101.54</v>
      </c>
      <c r="T25" s="21"/>
      <c r="U25" s="28">
        <v>1</v>
      </c>
      <c r="V25" s="22">
        <v>101.09</v>
      </c>
      <c r="W25" s="21"/>
      <c r="X25" s="28">
        <v>1</v>
      </c>
      <c r="Y25" s="22">
        <v>101.44</v>
      </c>
      <c r="Z25" s="21"/>
      <c r="AA25" s="28">
        <v>1</v>
      </c>
      <c r="AB25" s="22">
        <v>101.25</v>
      </c>
      <c r="AC25" s="21"/>
      <c r="AD25" s="28">
        <v>1</v>
      </c>
      <c r="AE25" s="22">
        <v>101.25</v>
      </c>
      <c r="AF25" s="21"/>
      <c r="AG25" s="28">
        <v>1</v>
      </c>
      <c r="AH25" s="22">
        <v>101.06</v>
      </c>
      <c r="AI25" s="21"/>
      <c r="AJ25" s="28">
        <v>1</v>
      </c>
      <c r="AK25" s="22">
        <v>100.65</v>
      </c>
      <c r="AL25" s="21"/>
      <c r="AM25" s="28">
        <v>1</v>
      </c>
      <c r="AN25" s="22">
        <v>100.28</v>
      </c>
      <c r="AO25" s="21"/>
      <c r="AP25" s="28">
        <v>1</v>
      </c>
      <c r="AQ25" s="22">
        <v>100.08</v>
      </c>
      <c r="AR25" s="21"/>
      <c r="AS25" s="28">
        <v>1</v>
      </c>
      <c r="AT25" s="22">
        <v>100.09</v>
      </c>
      <c r="AU25" s="21"/>
      <c r="AV25" s="28">
        <v>1</v>
      </c>
      <c r="AW25" s="22">
        <v>99.38</v>
      </c>
      <c r="AX25" s="21"/>
      <c r="AY25" s="28">
        <v>1</v>
      </c>
      <c r="AZ25" s="22">
        <v>99.27</v>
      </c>
      <c r="BA25" s="21"/>
      <c r="BB25" s="28">
        <v>1</v>
      </c>
      <c r="BC25" s="22">
        <v>99.42</v>
      </c>
      <c r="BD25" s="21"/>
      <c r="BE25" s="28">
        <v>1</v>
      </c>
      <c r="BF25" s="22">
        <v>99.45</v>
      </c>
      <c r="BG25" s="28"/>
      <c r="BH25" s="28">
        <v>1</v>
      </c>
      <c r="BI25" s="22">
        <v>99.32</v>
      </c>
      <c r="BJ25" s="28"/>
      <c r="BK25" s="28">
        <f t="shared" si="0"/>
        <v>1</v>
      </c>
      <c r="BL25" s="22">
        <f t="shared" si="1"/>
        <v>100.59549999999999</v>
      </c>
      <c r="BM25" s="2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7" sqref="C7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248</v>
      </c>
      <c r="D4" s="4"/>
      <c r="E4" s="10"/>
      <c r="F4" s="4" t="s">
        <v>249</v>
      </c>
      <c r="G4" s="4"/>
      <c r="H4" s="10"/>
      <c r="I4" s="4" t="s">
        <v>250</v>
      </c>
      <c r="J4" s="4"/>
      <c r="K4" s="10"/>
      <c r="L4" s="4" t="s">
        <v>251</v>
      </c>
      <c r="M4" s="4"/>
      <c r="N4" s="10"/>
      <c r="O4" s="4" t="s">
        <v>252</v>
      </c>
      <c r="P4" s="4"/>
      <c r="Q4" s="10"/>
      <c r="R4" s="4" t="s">
        <v>253</v>
      </c>
      <c r="S4" s="4"/>
      <c r="T4" s="10"/>
      <c r="U4" s="4" t="s">
        <v>254</v>
      </c>
      <c r="V4" s="4"/>
      <c r="W4" s="10"/>
      <c r="X4" s="4" t="s">
        <v>255</v>
      </c>
      <c r="Y4" s="4"/>
      <c r="Z4" s="10"/>
      <c r="AA4" s="4" t="s">
        <v>256</v>
      </c>
      <c r="AB4" s="4"/>
      <c r="AC4" s="10"/>
      <c r="AD4" s="4" t="s">
        <v>257</v>
      </c>
      <c r="AE4" s="4"/>
      <c r="AF4" s="10"/>
      <c r="AG4" s="4" t="s">
        <v>258</v>
      </c>
      <c r="AH4" s="4"/>
      <c r="AI4" s="10"/>
      <c r="AJ4" s="4" t="s">
        <v>259</v>
      </c>
      <c r="AK4" s="4"/>
      <c r="AL4" s="10"/>
      <c r="AM4" s="4" t="s">
        <v>260</v>
      </c>
      <c r="AN4" s="4"/>
      <c r="AO4" s="10"/>
      <c r="AP4" s="4" t="s">
        <v>261</v>
      </c>
      <c r="AQ4" s="4"/>
      <c r="AR4" s="10"/>
      <c r="AS4" s="4" t="s">
        <v>262</v>
      </c>
      <c r="AT4" s="4"/>
      <c r="AU4" s="10"/>
      <c r="AV4" s="4" t="s">
        <v>263</v>
      </c>
      <c r="AW4" s="4"/>
      <c r="AX4" s="26"/>
      <c r="AY4" s="4" t="s">
        <v>264</v>
      </c>
      <c r="AZ4" s="4"/>
      <c r="BA4" s="26"/>
      <c r="BB4" s="4" t="s">
        <v>265</v>
      </c>
      <c r="BC4" s="4"/>
      <c r="BD4" s="26"/>
      <c r="BE4" s="4" t="s">
        <v>266</v>
      </c>
      <c r="BF4" s="4"/>
      <c r="BG4" s="37"/>
      <c r="BH4" s="4" t="s">
        <v>3</v>
      </c>
      <c r="BI4" s="4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106.34</v>
      </c>
      <c r="D13" s="19">
        <v>93.18</v>
      </c>
      <c r="E13" s="5"/>
      <c r="F13" s="27">
        <v>106.4</v>
      </c>
      <c r="G13" s="19">
        <v>93.32</v>
      </c>
      <c r="H13" s="5"/>
      <c r="I13" s="27">
        <v>106.64</v>
      </c>
      <c r="J13" s="19">
        <v>93.35</v>
      </c>
      <c r="K13" s="5"/>
      <c r="L13" s="27">
        <v>106.25</v>
      </c>
      <c r="M13" s="19">
        <v>93.19</v>
      </c>
      <c r="N13" s="5"/>
      <c r="O13" s="27">
        <v>106.27</v>
      </c>
      <c r="P13" s="19">
        <v>93.16</v>
      </c>
      <c r="Q13" s="5"/>
      <c r="R13" s="27">
        <v>105.45</v>
      </c>
      <c r="S13" s="19">
        <v>93.37</v>
      </c>
      <c r="T13" s="5"/>
      <c r="U13" s="27">
        <v>105.81</v>
      </c>
      <c r="V13" s="19">
        <v>93.23</v>
      </c>
      <c r="W13" s="5"/>
      <c r="X13" s="27">
        <v>106.03</v>
      </c>
      <c r="Y13" s="19">
        <v>93.05</v>
      </c>
      <c r="Z13" s="5"/>
      <c r="AA13" s="27">
        <v>106.89</v>
      </c>
      <c r="AB13" s="19">
        <v>92.32</v>
      </c>
      <c r="AC13" s="5"/>
      <c r="AD13" s="27">
        <v>105.9</v>
      </c>
      <c r="AE13" s="19">
        <v>92.97</v>
      </c>
      <c r="AF13" s="5"/>
      <c r="AG13" s="27">
        <v>105.26</v>
      </c>
      <c r="AH13" s="19">
        <v>93.21</v>
      </c>
      <c r="AI13" s="5"/>
      <c r="AJ13" s="27">
        <v>104.41</v>
      </c>
      <c r="AK13" s="19">
        <v>93.79</v>
      </c>
      <c r="AL13" s="5"/>
      <c r="AM13" s="27">
        <v>104.03</v>
      </c>
      <c r="AN13" s="19">
        <v>93.76</v>
      </c>
      <c r="AO13" s="5"/>
      <c r="AP13" s="27">
        <v>103.67</v>
      </c>
      <c r="AQ13" s="19">
        <v>94.22</v>
      </c>
      <c r="AR13" s="5"/>
      <c r="AS13" s="27">
        <v>103.06</v>
      </c>
      <c r="AT13" s="19">
        <v>94.62</v>
      </c>
      <c r="AU13" s="5"/>
      <c r="AV13" s="27">
        <v>103.3</v>
      </c>
      <c r="AW13" s="19">
        <v>94.47</v>
      </c>
      <c r="AX13" s="5"/>
      <c r="AY13" s="27">
        <v>103.02</v>
      </c>
      <c r="AZ13" s="19">
        <v>94.48</v>
      </c>
      <c r="BA13" s="5"/>
      <c r="BB13" s="27">
        <v>102.58</v>
      </c>
      <c r="BC13" s="19">
        <v>94.68</v>
      </c>
      <c r="BD13" s="5"/>
      <c r="BE13" s="27">
        <v>102.93</v>
      </c>
      <c r="BF13" s="19">
        <v>94.21</v>
      </c>
      <c r="BG13" s="31"/>
      <c r="BH13" s="27">
        <f>(+C13+F13+I13+L13+O13+R13+U13+X13+AA13+AD13+AG13+AJ13+AM13+AP13+AS13+AV13+AY13+BB13+BE13)/19</f>
        <v>104.96</v>
      </c>
      <c r="BI13" s="19">
        <f>(+D13+G13+J13+M13+P13+S13+V13+Y13+AB13+AE13+AH13+AK13+AN13+AQ13+AT13+AW13+AZ13+BC13+BF13)/19</f>
        <v>93.60947368421054</v>
      </c>
      <c r="BJ13" s="31"/>
      <c r="BK13" s="31"/>
      <c r="BL13" s="32"/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1/1.8338</f>
        <v>0.5453157378121932</v>
      </c>
      <c r="D14" s="19">
        <v>181.7</v>
      </c>
      <c r="E14" s="5"/>
      <c r="F14" s="27">
        <f>1/1.8325</f>
        <v>0.5457025920873124</v>
      </c>
      <c r="G14" s="19">
        <v>181.96</v>
      </c>
      <c r="H14" s="5"/>
      <c r="I14" s="27">
        <f>1/1.8406</f>
        <v>0.5433010974682169</v>
      </c>
      <c r="J14" s="19">
        <v>183.22</v>
      </c>
      <c r="K14" s="5"/>
      <c r="L14" s="27">
        <f>1/1.8456</f>
        <v>0.541829215431296</v>
      </c>
      <c r="M14" s="19">
        <v>182.74</v>
      </c>
      <c r="N14" s="5"/>
      <c r="O14" s="27">
        <f>1/1.8404</f>
        <v>0.5433601391001956</v>
      </c>
      <c r="P14" s="19">
        <v>182.2</v>
      </c>
      <c r="Q14" s="5"/>
      <c r="R14" s="27">
        <f>1/1.8595</f>
        <v>0.5377789728421619</v>
      </c>
      <c r="S14" s="19">
        <v>183.08</v>
      </c>
      <c r="T14" s="5"/>
      <c r="U14" s="27">
        <f>1/1.8532</f>
        <v>0.5396071659831643</v>
      </c>
      <c r="V14" s="19">
        <v>182.81</v>
      </c>
      <c r="W14" s="5"/>
      <c r="X14" s="27">
        <f>1/1.8568</f>
        <v>0.5385609651012495</v>
      </c>
      <c r="Y14" s="19">
        <v>183.19</v>
      </c>
      <c r="Z14" s="5"/>
      <c r="AA14" s="27">
        <f>1/1.8443</f>
        <v>0.5422111370167543</v>
      </c>
      <c r="AB14" s="19">
        <v>182</v>
      </c>
      <c r="AC14" s="5"/>
      <c r="AD14" s="27">
        <f>1/1.8461</f>
        <v>0.541682465738584</v>
      </c>
      <c r="AE14" s="19">
        <v>181.75</v>
      </c>
      <c r="AF14" s="5"/>
      <c r="AG14" s="27">
        <f>1/1.8528</f>
        <v>0.5397236614853195</v>
      </c>
      <c r="AH14" s="19">
        <v>181.78</v>
      </c>
      <c r="AI14" s="5"/>
      <c r="AJ14" s="27">
        <f>1/1.861</f>
        <v>0.537345513164965</v>
      </c>
      <c r="AK14" s="19">
        <v>182.23</v>
      </c>
      <c r="AL14" s="5"/>
      <c r="AM14" s="27">
        <f>1/1.8566</f>
        <v>0.5386189809328881</v>
      </c>
      <c r="AN14" s="19">
        <v>181.08</v>
      </c>
      <c r="AO14" s="5"/>
      <c r="AP14" s="27">
        <f>1/1.857</f>
        <v>0.5385029617662898</v>
      </c>
      <c r="AQ14" s="19">
        <v>181.38</v>
      </c>
      <c r="AR14" s="5"/>
      <c r="AS14" s="27">
        <f>1/1.8542</f>
        <v>0.539316147125445</v>
      </c>
      <c r="AT14" s="19">
        <v>180.81</v>
      </c>
      <c r="AU14" s="5"/>
      <c r="AV14" s="27">
        <f>1/1.8656</f>
        <v>0.5360205831903946</v>
      </c>
      <c r="AW14" s="19">
        <v>182.07</v>
      </c>
      <c r="AX14" s="5"/>
      <c r="AY14" s="27">
        <f>1/1.876</f>
        <v>0.5330490405117271</v>
      </c>
      <c r="AZ14" s="19">
        <v>182.6</v>
      </c>
      <c r="BA14" s="5"/>
      <c r="BB14" s="27">
        <f>1/1.8862</f>
        <v>0.5301664722722935</v>
      </c>
      <c r="BC14" s="19">
        <v>183.19</v>
      </c>
      <c r="BD14" s="5"/>
      <c r="BE14" s="27">
        <f>1/1.8903</f>
        <v>0.5290165582182722</v>
      </c>
      <c r="BF14" s="19">
        <v>183.3</v>
      </c>
      <c r="BG14" s="31"/>
      <c r="BH14" s="27">
        <f aca="true" t="shared" si="0" ref="BH14:BH25">(+C14+F14+I14+L14+O14+R14+U14+X14+AA14+AD14+AG14+AJ14+AM14+AP14+AS14+AV14+AY14+BB14+BE14)/19</f>
        <v>0.5390057582762486</v>
      </c>
      <c r="BI14" s="19">
        <f aca="true" t="shared" si="1" ref="BI14:BI25">(+D14+G14+J14+M14+P14+S14+V14+Y14+AB14+AE14+AH14+AK14+AN14+AQ14+AT14+AW14+AZ14+BC14+BF14)/19</f>
        <v>182.26789473684212</v>
      </c>
      <c r="BJ14" s="31"/>
      <c r="BK14" s="31"/>
      <c r="BL14" s="32"/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1.2009</v>
      </c>
      <c r="D15" s="19">
        <v>82.51</v>
      </c>
      <c r="E15" s="5"/>
      <c r="F15" s="27">
        <v>1.2055</v>
      </c>
      <c r="G15" s="19">
        <v>82.37</v>
      </c>
      <c r="H15" s="5"/>
      <c r="I15" s="27">
        <v>1.2063</v>
      </c>
      <c r="J15" s="19">
        <v>82.52</v>
      </c>
      <c r="K15" s="5"/>
      <c r="L15" s="27">
        <v>1.192</v>
      </c>
      <c r="M15" s="19">
        <v>83.06</v>
      </c>
      <c r="N15" s="5"/>
      <c r="O15" s="27">
        <v>1.1911</v>
      </c>
      <c r="P15" s="19">
        <v>83.12</v>
      </c>
      <c r="Q15" s="5"/>
      <c r="R15" s="27">
        <v>1.179</v>
      </c>
      <c r="S15" s="19">
        <v>83.51</v>
      </c>
      <c r="T15" s="5"/>
      <c r="U15" s="27">
        <v>1.1838</v>
      </c>
      <c r="V15" s="19">
        <v>83.33</v>
      </c>
      <c r="W15" s="5"/>
      <c r="X15" s="27">
        <v>1.1775</v>
      </c>
      <c r="Y15" s="19">
        <v>83.79</v>
      </c>
      <c r="Z15" s="5"/>
      <c r="AA15" s="27">
        <v>1.1813</v>
      </c>
      <c r="AB15" s="19">
        <v>83.54</v>
      </c>
      <c r="AC15" s="5"/>
      <c r="AD15" s="27">
        <v>1.1771</v>
      </c>
      <c r="AE15" s="19">
        <v>83.64</v>
      </c>
      <c r="AF15" s="5"/>
      <c r="AG15" s="27">
        <v>1.1743</v>
      </c>
      <c r="AH15" s="19">
        <v>83.55</v>
      </c>
      <c r="AI15" s="5"/>
      <c r="AJ15" s="27">
        <v>1.165</v>
      </c>
      <c r="AK15" s="19">
        <v>84.05</v>
      </c>
      <c r="AL15" s="5"/>
      <c r="AM15" s="27">
        <v>1.163</v>
      </c>
      <c r="AN15" s="19">
        <v>83.86</v>
      </c>
      <c r="AO15" s="5"/>
      <c r="AP15" s="27">
        <v>1.1634</v>
      </c>
      <c r="AQ15" s="19">
        <v>83.96</v>
      </c>
      <c r="AR15" s="5"/>
      <c r="AS15" s="27">
        <v>1.1622</v>
      </c>
      <c r="AT15" s="19">
        <v>83.9</v>
      </c>
      <c r="AU15" s="5"/>
      <c r="AV15" s="27">
        <v>1.1616</v>
      </c>
      <c r="AW15" s="19">
        <v>84.01</v>
      </c>
      <c r="AX15" s="5"/>
      <c r="AY15" s="27">
        <v>1.1518</v>
      </c>
      <c r="AZ15" s="19">
        <v>84.51</v>
      </c>
      <c r="BA15" s="5"/>
      <c r="BB15" s="27">
        <v>1.1444</v>
      </c>
      <c r="BC15" s="19">
        <v>84.87</v>
      </c>
      <c r="BD15" s="5"/>
      <c r="BE15" s="27">
        <v>1.1466</v>
      </c>
      <c r="BF15" s="19">
        <v>84.57</v>
      </c>
      <c r="BG15" s="31"/>
      <c r="BH15" s="27">
        <f t="shared" si="0"/>
        <v>1.1750947368421054</v>
      </c>
      <c r="BI15" s="19">
        <f t="shared" si="1"/>
        <v>83.61421052631579</v>
      </c>
      <c r="BJ15" s="31"/>
      <c r="BK15" s="31"/>
      <c r="BL15" s="32"/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1/1.2745</f>
        <v>0.7846214201647705</v>
      </c>
      <c r="D16" s="19">
        <v>126.28</v>
      </c>
      <c r="E16" s="5"/>
      <c r="F16" s="27">
        <f>1/1.2701</f>
        <v>0.7873395795606645</v>
      </c>
      <c r="G16" s="19">
        <v>126.11</v>
      </c>
      <c r="H16" s="5"/>
      <c r="I16" s="27">
        <f>1/1.2714</f>
        <v>0.7865345288658172</v>
      </c>
      <c r="J16" s="19">
        <v>126.56</v>
      </c>
      <c r="K16" s="5"/>
      <c r="L16" s="27">
        <f>1/1.2837</f>
        <v>0.7789982083041208</v>
      </c>
      <c r="M16" s="19">
        <v>127.1</v>
      </c>
      <c r="N16" s="5"/>
      <c r="O16" s="27">
        <f>1/1.2854</f>
        <v>0.7779679477205539</v>
      </c>
      <c r="P16" s="19">
        <v>127.25</v>
      </c>
      <c r="Q16" s="5"/>
      <c r="R16" s="27">
        <f>1/1.2958</f>
        <v>0.7717240314863405</v>
      </c>
      <c r="S16" s="19">
        <v>127.58</v>
      </c>
      <c r="T16" s="5"/>
      <c r="U16" s="27">
        <f>1/1.2899</f>
        <v>0.7752538956508256</v>
      </c>
      <c r="V16" s="19">
        <v>127.24</v>
      </c>
      <c r="W16" s="5"/>
      <c r="X16" s="27">
        <f>1/1.294</f>
        <v>0.7727975270479134</v>
      </c>
      <c r="Y16" s="19">
        <v>127.66</v>
      </c>
      <c r="Z16" s="5"/>
      <c r="AA16" s="27">
        <f>1/1.2884</f>
        <v>0.776156473144986</v>
      </c>
      <c r="AB16" s="19">
        <v>127.14</v>
      </c>
      <c r="AC16" s="5"/>
      <c r="AD16" s="27">
        <f>1/1.2922</f>
        <v>0.773874013310633</v>
      </c>
      <c r="AE16" s="19">
        <v>127.22</v>
      </c>
      <c r="AF16" s="5"/>
      <c r="AG16" s="27">
        <f>1/1.2975</f>
        <v>0.770712909441233</v>
      </c>
      <c r="AH16" s="19">
        <v>127.3</v>
      </c>
      <c r="AI16" s="5"/>
      <c r="AJ16" s="27">
        <f>1/1.304</f>
        <v>0.7668711656441718</v>
      </c>
      <c r="AK16" s="19">
        <v>127.69</v>
      </c>
      <c r="AL16" s="5"/>
      <c r="AM16" s="27">
        <f>1/1.3046</f>
        <v>0.7665184730952016</v>
      </c>
      <c r="AN16" s="19">
        <v>127.24</v>
      </c>
      <c r="AO16" s="5"/>
      <c r="AP16" s="27">
        <f>1/1.3016</f>
        <v>0.7682851874615857</v>
      </c>
      <c r="AQ16" s="19">
        <v>127.13</v>
      </c>
      <c r="AR16" s="5"/>
      <c r="AS16" s="27">
        <f>1/1.3034</f>
        <v>0.7672241829062453</v>
      </c>
      <c r="AT16" s="19">
        <v>127.1</v>
      </c>
      <c r="AU16" s="5"/>
      <c r="AV16" s="27">
        <f>1/1.3052</f>
        <v>0.7661661048115231</v>
      </c>
      <c r="AW16" s="19">
        <v>127.38</v>
      </c>
      <c r="AX16" s="5"/>
      <c r="AY16" s="27">
        <f>1/1.3145</f>
        <v>0.7607455306200076</v>
      </c>
      <c r="AZ16" s="19">
        <v>127.95</v>
      </c>
      <c r="BA16" s="5"/>
      <c r="BB16" s="27">
        <f>1/1.3195</f>
        <v>0.7578628268283442</v>
      </c>
      <c r="BC16" s="19">
        <v>128.15</v>
      </c>
      <c r="BD16" s="5"/>
      <c r="BE16" s="27">
        <f>1/1.322</f>
        <v>0.75642965204236</v>
      </c>
      <c r="BF16" s="19">
        <v>128.19</v>
      </c>
      <c r="BG16" s="31"/>
      <c r="BH16" s="27">
        <f t="shared" si="0"/>
        <v>0.7718991399003842</v>
      </c>
      <c r="BI16" s="19">
        <f t="shared" si="1"/>
        <v>127.27736842105263</v>
      </c>
      <c r="BJ16" s="31"/>
      <c r="BK16" s="31"/>
      <c r="BL16" s="32"/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427.8</v>
      </c>
      <c r="D17" s="19">
        <v>42387.81</v>
      </c>
      <c r="E17" s="5"/>
      <c r="F17" s="27">
        <v>425</v>
      </c>
      <c r="G17" s="19">
        <v>42200.02</v>
      </c>
      <c r="H17" s="5"/>
      <c r="I17" s="27">
        <v>421.9</v>
      </c>
      <c r="J17" s="19">
        <v>41998.39</v>
      </c>
      <c r="K17" s="5"/>
      <c r="L17" s="27">
        <v>426.5</v>
      </c>
      <c r="M17" s="19">
        <v>42228.83</v>
      </c>
      <c r="N17" s="5"/>
      <c r="O17" s="27">
        <v>428.75</v>
      </c>
      <c r="P17" s="19">
        <v>42446.25</v>
      </c>
      <c r="Q17" s="5"/>
      <c r="R17" s="27">
        <v>433</v>
      </c>
      <c r="S17" s="19">
        <v>42632.82</v>
      </c>
      <c r="T17" s="5"/>
      <c r="U17" s="27">
        <v>432</v>
      </c>
      <c r="V17" s="19">
        <v>42615</v>
      </c>
      <c r="W17" s="5"/>
      <c r="X17" s="27">
        <v>434.7</v>
      </c>
      <c r="Y17" s="19">
        <v>42886.78</v>
      </c>
      <c r="Z17" s="5"/>
      <c r="AA17" s="27">
        <v>433</v>
      </c>
      <c r="AB17" s="19">
        <v>42729.88</v>
      </c>
      <c r="AC17" s="5"/>
      <c r="AD17" s="27">
        <v>436.6</v>
      </c>
      <c r="AE17" s="19">
        <v>42983.27</v>
      </c>
      <c r="AF17" s="5"/>
      <c r="AG17" s="27">
        <v>437.75</v>
      </c>
      <c r="AH17" s="19">
        <v>42948.75</v>
      </c>
      <c r="AI17" s="5"/>
      <c r="AJ17" s="27">
        <v>444.25</v>
      </c>
      <c r="AK17" s="19">
        <v>43502.07</v>
      </c>
      <c r="AL17" s="5"/>
      <c r="AM17" s="27">
        <v>444</v>
      </c>
      <c r="AN17" s="19">
        <v>43304.8</v>
      </c>
      <c r="AO17" s="5"/>
      <c r="AP17" s="27">
        <v>443.5</v>
      </c>
      <c r="AQ17" s="19">
        <v>43319.23</v>
      </c>
      <c r="AR17" s="5"/>
      <c r="AS17" s="27">
        <v>447</v>
      </c>
      <c r="AT17" s="19">
        <v>43588.09</v>
      </c>
      <c r="AU17" s="5"/>
      <c r="AV17" s="27">
        <v>447.75</v>
      </c>
      <c r="AW17" s="19">
        <v>43696.67</v>
      </c>
      <c r="AX17" s="5"/>
      <c r="AY17" s="27">
        <v>448</v>
      </c>
      <c r="AZ17" s="19">
        <v>43606.08</v>
      </c>
      <c r="BA17" s="5"/>
      <c r="BB17" s="27">
        <v>451.5</v>
      </c>
      <c r="BC17" s="19">
        <v>43850.06</v>
      </c>
      <c r="BD17" s="5"/>
      <c r="BE17" s="27">
        <v>450.25</v>
      </c>
      <c r="BF17" s="19">
        <v>43659.24</v>
      </c>
      <c r="BG17" s="31"/>
      <c r="BH17" s="27">
        <f t="shared" si="0"/>
        <v>437.5394736842105</v>
      </c>
      <c r="BI17" s="19">
        <f t="shared" si="1"/>
        <v>42978.10736842106</v>
      </c>
      <c r="BJ17" s="31"/>
      <c r="BK17" s="31"/>
      <c r="BL17" s="32"/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7.22</v>
      </c>
      <c r="D18" s="19">
        <v>715.38</v>
      </c>
      <c r="E18" s="5"/>
      <c r="F18" s="27">
        <v>7.17</v>
      </c>
      <c r="G18" s="19">
        <v>711.94</v>
      </c>
      <c r="H18" s="5"/>
      <c r="I18" s="27">
        <v>7.04</v>
      </c>
      <c r="J18" s="19">
        <v>700.8</v>
      </c>
      <c r="K18" s="5"/>
      <c r="L18" s="27">
        <v>7.18</v>
      </c>
      <c r="M18" s="19">
        <v>710.91</v>
      </c>
      <c r="N18" s="5"/>
      <c r="O18" s="27">
        <v>7.34</v>
      </c>
      <c r="P18" s="19">
        <v>726.66</v>
      </c>
      <c r="Q18" s="5"/>
      <c r="R18" s="27">
        <v>7.46</v>
      </c>
      <c r="S18" s="19">
        <v>734.51</v>
      </c>
      <c r="T18" s="5"/>
      <c r="U18" s="27">
        <v>7.42</v>
      </c>
      <c r="V18" s="19">
        <v>731.95</v>
      </c>
      <c r="W18" s="5"/>
      <c r="X18" s="27">
        <v>7.49</v>
      </c>
      <c r="Y18" s="19">
        <v>738.95</v>
      </c>
      <c r="Z18" s="5"/>
      <c r="AA18" s="27">
        <v>7.41</v>
      </c>
      <c r="AB18" s="19">
        <v>731.24</v>
      </c>
      <c r="AC18" s="5"/>
      <c r="AD18" s="27">
        <v>7.48</v>
      </c>
      <c r="AE18" s="19">
        <v>736.41</v>
      </c>
      <c r="AF18" s="5"/>
      <c r="AG18" s="27">
        <v>7.5</v>
      </c>
      <c r="AH18" s="19">
        <v>735.84</v>
      </c>
      <c r="AI18" s="5"/>
      <c r="AJ18" s="27">
        <v>7.62</v>
      </c>
      <c r="AK18" s="19">
        <v>746.17</v>
      </c>
      <c r="AL18" s="5"/>
      <c r="AM18" s="27">
        <v>7.64</v>
      </c>
      <c r="AN18" s="19">
        <v>745.15</v>
      </c>
      <c r="AO18" s="5"/>
      <c r="AP18" s="27">
        <v>7.56</v>
      </c>
      <c r="AQ18" s="19">
        <v>738.43</v>
      </c>
      <c r="AR18" s="5"/>
      <c r="AS18" s="27">
        <v>7.61</v>
      </c>
      <c r="AT18" s="19">
        <v>742.07</v>
      </c>
      <c r="AU18" s="5"/>
      <c r="AV18" s="27">
        <v>7.52</v>
      </c>
      <c r="AW18" s="19">
        <v>733.89</v>
      </c>
      <c r="AX18" s="5"/>
      <c r="AY18" s="27">
        <v>7.52</v>
      </c>
      <c r="AZ18" s="19">
        <v>731.96</v>
      </c>
      <c r="BA18" s="5"/>
      <c r="BB18" s="27">
        <v>7.61</v>
      </c>
      <c r="BC18" s="19">
        <v>739.09</v>
      </c>
      <c r="BD18" s="5"/>
      <c r="BE18" s="27">
        <v>7.64</v>
      </c>
      <c r="BF18" s="19">
        <v>740.83</v>
      </c>
      <c r="BG18" s="31"/>
      <c r="BH18" s="27">
        <f t="shared" si="0"/>
        <v>7.443684210526317</v>
      </c>
      <c r="BI18" s="19">
        <f t="shared" si="1"/>
        <v>731.1673684210525</v>
      </c>
      <c r="BJ18" s="31"/>
      <c r="BK18" s="31"/>
      <c r="BL18" s="32"/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1/0.745</f>
        <v>1.342281879194631</v>
      </c>
      <c r="D19" s="19">
        <v>73.82</v>
      </c>
      <c r="E19" s="5"/>
      <c r="F19" s="27">
        <f>1/0.7451</f>
        <v>1.3421017313112333</v>
      </c>
      <c r="G19" s="19">
        <v>73.98</v>
      </c>
      <c r="H19" s="5"/>
      <c r="I19" s="27">
        <f>1/0.7495</f>
        <v>1.33422281521014</v>
      </c>
      <c r="J19" s="19">
        <v>74.61</v>
      </c>
      <c r="K19" s="5"/>
      <c r="L19" s="27">
        <f>1/0.756</f>
        <v>1.3227513227513228</v>
      </c>
      <c r="M19" s="19">
        <v>74.85</v>
      </c>
      <c r="N19" s="5"/>
      <c r="O19" s="27">
        <f>1/0.756</f>
        <v>1.3227513227513228</v>
      </c>
      <c r="P19" s="19">
        <v>74.84</v>
      </c>
      <c r="Q19" s="5"/>
      <c r="R19" s="27">
        <f>1/0.7599</f>
        <v>1.3159626266614028</v>
      </c>
      <c r="S19" s="19">
        <v>74.82</v>
      </c>
      <c r="T19" s="5"/>
      <c r="U19" s="27">
        <f>1/0.7563</f>
        <v>1.322226629644321</v>
      </c>
      <c r="V19" s="19">
        <v>74.61</v>
      </c>
      <c r="W19" s="5"/>
      <c r="X19" s="27">
        <f>1/0.7607</f>
        <v>1.3145786775338504</v>
      </c>
      <c r="Y19" s="19">
        <v>75.05</v>
      </c>
      <c r="Z19" s="5"/>
      <c r="AA19" s="27">
        <f>1/0.7588</f>
        <v>1.3178703215603584</v>
      </c>
      <c r="AB19" s="19">
        <v>74.88</v>
      </c>
      <c r="AC19" s="5"/>
      <c r="AD19" s="27">
        <f>1/0.7664</f>
        <v>1.3048016701461378</v>
      </c>
      <c r="AE19" s="19">
        <v>75.45</v>
      </c>
      <c r="AF19" s="5"/>
      <c r="AG19" s="27">
        <f>1/0.7727</f>
        <v>1.2941633234114145</v>
      </c>
      <c r="AH19" s="19">
        <v>75.81</v>
      </c>
      <c r="AI19" s="5"/>
      <c r="AJ19" s="27">
        <f>1/0.7784</f>
        <v>1.2846865364850977</v>
      </c>
      <c r="AK19" s="19">
        <v>76.22</v>
      </c>
      <c r="AL19" s="5"/>
      <c r="AM19" s="27">
        <f>1/0.7827</f>
        <v>1.2776287210936503</v>
      </c>
      <c r="AN19" s="19">
        <v>76.34</v>
      </c>
      <c r="AO19" s="5"/>
      <c r="AP19" s="27">
        <f>1/0.7828</f>
        <v>1.2774655084312723</v>
      </c>
      <c r="AQ19" s="19">
        <v>76.46</v>
      </c>
      <c r="AR19" s="5"/>
      <c r="AS19" s="27">
        <f>1/0.7821</f>
        <v>1.2786088735455823</v>
      </c>
      <c r="AT19" s="19">
        <v>76.26</v>
      </c>
      <c r="AU19" s="5"/>
      <c r="AV19" s="27">
        <f>1/0.784</f>
        <v>1.2755102040816326</v>
      </c>
      <c r="AW19" s="19">
        <v>76.51</v>
      </c>
      <c r="AX19" s="18"/>
      <c r="AY19" s="27">
        <f>1/0.7877</f>
        <v>1.2695188523549576</v>
      </c>
      <c r="AZ19" s="19">
        <v>76.67</v>
      </c>
      <c r="BA19" s="18"/>
      <c r="BB19" s="27">
        <f>1/0.7909</f>
        <v>1.2643823492224049</v>
      </c>
      <c r="BC19" s="19">
        <v>76.81</v>
      </c>
      <c r="BD19" s="18"/>
      <c r="BE19" s="27">
        <f>1/0.7875</f>
        <v>1.2698412698412698</v>
      </c>
      <c r="BF19" s="19">
        <v>76.36</v>
      </c>
      <c r="BG19" s="31"/>
      <c r="BH19" s="27">
        <f t="shared" si="0"/>
        <v>1.301650243959579</v>
      </c>
      <c r="BI19" s="19">
        <f t="shared" si="1"/>
        <v>75.4921052631579</v>
      </c>
      <c r="BJ19" s="31"/>
      <c r="BK19" s="31"/>
      <c r="BL19" s="32"/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1.2214</v>
      </c>
      <c r="D20" s="19">
        <v>81.12</v>
      </c>
      <c r="E20" s="5"/>
      <c r="F20" s="27">
        <v>1.2253</v>
      </c>
      <c r="G20" s="19">
        <v>81.04</v>
      </c>
      <c r="H20" s="5"/>
      <c r="I20" s="27">
        <v>1.2238</v>
      </c>
      <c r="J20" s="19">
        <v>81.34</v>
      </c>
      <c r="K20" s="5"/>
      <c r="L20" s="27">
        <v>1.2075</v>
      </c>
      <c r="M20" s="19">
        <v>82</v>
      </c>
      <c r="N20" s="5"/>
      <c r="O20" s="27">
        <v>1.2078</v>
      </c>
      <c r="P20" s="19">
        <v>81.97</v>
      </c>
      <c r="Q20" s="5"/>
      <c r="R20" s="27">
        <v>1.1953</v>
      </c>
      <c r="S20" s="19">
        <v>82.37</v>
      </c>
      <c r="T20" s="5"/>
      <c r="U20" s="27">
        <v>1.196</v>
      </c>
      <c r="V20" s="19">
        <v>82.48</v>
      </c>
      <c r="W20" s="5"/>
      <c r="X20" s="27">
        <v>1.1962</v>
      </c>
      <c r="Y20" s="19">
        <v>82.48</v>
      </c>
      <c r="Z20" s="5"/>
      <c r="AA20" s="27">
        <v>1.1977</v>
      </c>
      <c r="AB20" s="19">
        <v>82.39</v>
      </c>
      <c r="AC20" s="5"/>
      <c r="AD20" s="27">
        <v>1.1932</v>
      </c>
      <c r="AE20" s="19">
        <v>82.51</v>
      </c>
      <c r="AF20" s="5"/>
      <c r="AG20" s="27">
        <v>1.1936</v>
      </c>
      <c r="AH20" s="19">
        <v>82.2</v>
      </c>
      <c r="AI20" s="5"/>
      <c r="AJ20" s="27">
        <v>1.189</v>
      </c>
      <c r="AK20" s="19">
        <v>82.36</v>
      </c>
      <c r="AL20" s="5"/>
      <c r="AM20" s="27">
        <v>1.1957</v>
      </c>
      <c r="AN20" s="19">
        <v>81.57</v>
      </c>
      <c r="AO20" s="5"/>
      <c r="AP20" s="27">
        <v>1.1999</v>
      </c>
      <c r="AQ20" s="19">
        <v>81.4</v>
      </c>
      <c r="AR20" s="5"/>
      <c r="AS20" s="27">
        <v>1.1896</v>
      </c>
      <c r="AT20" s="19">
        <v>81.97</v>
      </c>
      <c r="AU20" s="5"/>
      <c r="AV20" s="27">
        <v>1.1859</v>
      </c>
      <c r="AW20" s="19">
        <v>82.29</v>
      </c>
      <c r="AX20" s="5"/>
      <c r="AY20" s="27">
        <v>1.1816</v>
      </c>
      <c r="AZ20" s="19">
        <v>82.38</v>
      </c>
      <c r="BA20" s="5"/>
      <c r="BB20" s="27">
        <v>1.1773</v>
      </c>
      <c r="BC20" s="19">
        <v>82.49</v>
      </c>
      <c r="BD20" s="5"/>
      <c r="BE20" s="27">
        <v>1.1785</v>
      </c>
      <c r="BF20" s="19">
        <v>82.28</v>
      </c>
      <c r="BG20" s="31"/>
      <c r="BH20" s="27">
        <f t="shared" si="0"/>
        <v>1.1976473684210525</v>
      </c>
      <c r="BI20" s="19">
        <f t="shared" si="1"/>
        <v>82.03368421052633</v>
      </c>
      <c r="BJ20" s="31"/>
      <c r="BK20" s="31"/>
      <c r="BL20" s="32"/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7.0989</v>
      </c>
      <c r="D21" s="19">
        <v>13.96</v>
      </c>
      <c r="E21" s="5"/>
      <c r="F21" s="27">
        <v>7.1199</v>
      </c>
      <c r="G21" s="19">
        <v>13.95</v>
      </c>
      <c r="H21" s="5"/>
      <c r="I21" s="27">
        <v>7.1237</v>
      </c>
      <c r="J21" s="19">
        <v>13.97</v>
      </c>
      <c r="K21" s="5"/>
      <c r="L21" s="27">
        <v>7.056</v>
      </c>
      <c r="M21" s="19">
        <v>14.03</v>
      </c>
      <c r="N21" s="5"/>
      <c r="O21" s="27">
        <v>7.073</v>
      </c>
      <c r="P21" s="19">
        <v>14</v>
      </c>
      <c r="Q21" s="5"/>
      <c r="R21" s="27">
        <v>7.0053</v>
      </c>
      <c r="S21" s="19">
        <v>14.05</v>
      </c>
      <c r="T21" s="5"/>
      <c r="U21" s="27">
        <v>7.058</v>
      </c>
      <c r="V21" s="19">
        <v>13.98</v>
      </c>
      <c r="W21" s="5"/>
      <c r="X21" s="27">
        <v>7.012</v>
      </c>
      <c r="Y21" s="19">
        <v>14.07</v>
      </c>
      <c r="Z21" s="5"/>
      <c r="AA21" s="27">
        <v>7.0155</v>
      </c>
      <c r="AB21" s="19">
        <v>14.07</v>
      </c>
      <c r="AC21" s="5"/>
      <c r="AD21" s="27">
        <v>6.9454</v>
      </c>
      <c r="AE21" s="19">
        <v>14.17</v>
      </c>
      <c r="AF21" s="5"/>
      <c r="AG21" s="27">
        <v>6.9075</v>
      </c>
      <c r="AH21" s="19">
        <v>14.2</v>
      </c>
      <c r="AI21" s="5"/>
      <c r="AJ21" s="27">
        <v>6.8601</v>
      </c>
      <c r="AK21" s="19">
        <v>14.27</v>
      </c>
      <c r="AL21" s="5"/>
      <c r="AM21" s="27">
        <v>6.8827</v>
      </c>
      <c r="AN21" s="19">
        <v>14.17</v>
      </c>
      <c r="AO21" s="5"/>
      <c r="AP21" s="27">
        <v>6.8855</v>
      </c>
      <c r="AQ21" s="19">
        <v>14.19</v>
      </c>
      <c r="AR21" s="5"/>
      <c r="AS21" s="27">
        <v>6.8719</v>
      </c>
      <c r="AT21" s="19">
        <v>14.19</v>
      </c>
      <c r="AU21" s="5"/>
      <c r="AV21" s="27">
        <v>6.862</v>
      </c>
      <c r="AW21" s="19">
        <v>14.22</v>
      </c>
      <c r="AX21" s="5"/>
      <c r="AY21" s="27">
        <v>6.7881</v>
      </c>
      <c r="AZ21" s="19">
        <v>14.34</v>
      </c>
      <c r="BA21" s="5"/>
      <c r="BB21" s="27">
        <v>6.7607</v>
      </c>
      <c r="BC21" s="19">
        <v>14.37</v>
      </c>
      <c r="BD21" s="5"/>
      <c r="BE21" s="27">
        <v>6.7577</v>
      </c>
      <c r="BF21" s="19">
        <v>14.35</v>
      </c>
      <c r="BG21" s="31"/>
      <c r="BH21" s="27">
        <f t="shared" si="0"/>
        <v>6.951784210526317</v>
      </c>
      <c r="BI21" s="19">
        <f t="shared" si="1"/>
        <v>14.134210526315787</v>
      </c>
      <c r="BJ21" s="31"/>
      <c r="BK21" s="31"/>
      <c r="BL21" s="32"/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6.3866</v>
      </c>
      <c r="D22" s="19">
        <v>15.51</v>
      </c>
      <c r="E22" s="5"/>
      <c r="F22" s="27">
        <v>6.426</v>
      </c>
      <c r="G22" s="19">
        <v>15.45</v>
      </c>
      <c r="H22" s="5"/>
      <c r="I22" s="27">
        <v>6.4322</v>
      </c>
      <c r="J22" s="19">
        <v>15.48</v>
      </c>
      <c r="K22" s="5"/>
      <c r="L22" s="27">
        <v>6.3469</v>
      </c>
      <c r="M22" s="19">
        <v>15.6</v>
      </c>
      <c r="N22" s="5"/>
      <c r="O22" s="27">
        <v>6.3595</v>
      </c>
      <c r="P22" s="19">
        <v>15.57</v>
      </c>
      <c r="Q22" s="5"/>
      <c r="R22" s="27">
        <v>6.3106</v>
      </c>
      <c r="S22" s="19">
        <v>15.6</v>
      </c>
      <c r="T22" s="5"/>
      <c r="U22" s="27">
        <v>6.3755</v>
      </c>
      <c r="V22" s="19">
        <v>15.47</v>
      </c>
      <c r="W22" s="5"/>
      <c r="X22" s="27">
        <v>6.3236</v>
      </c>
      <c r="Y22" s="19">
        <v>15.6</v>
      </c>
      <c r="Z22" s="5"/>
      <c r="AA22" s="27">
        <v>6.3205</v>
      </c>
      <c r="AB22" s="19">
        <v>15.61</v>
      </c>
      <c r="AC22" s="5"/>
      <c r="AD22" s="27">
        <v>6.2909</v>
      </c>
      <c r="AE22" s="19">
        <v>15.65</v>
      </c>
      <c r="AF22" s="5"/>
      <c r="AG22" s="27">
        <v>6.2333</v>
      </c>
      <c r="AH22" s="19">
        <v>15.74</v>
      </c>
      <c r="AI22" s="5"/>
      <c r="AJ22" s="27">
        <v>6.2065</v>
      </c>
      <c r="AK22" s="19">
        <v>15.78</v>
      </c>
      <c r="AL22" s="5"/>
      <c r="AM22" s="27">
        <v>6.2195</v>
      </c>
      <c r="AN22" s="19">
        <v>15.68</v>
      </c>
      <c r="AO22" s="5"/>
      <c r="AP22" s="27">
        <v>6.2413</v>
      </c>
      <c r="AQ22" s="19">
        <v>15.65</v>
      </c>
      <c r="AR22" s="5"/>
      <c r="AS22" s="27">
        <v>6.2582</v>
      </c>
      <c r="AT22" s="19">
        <v>15.58</v>
      </c>
      <c r="AU22" s="5"/>
      <c r="AV22" s="27">
        <v>6.2455</v>
      </c>
      <c r="AW22" s="19">
        <v>15.63</v>
      </c>
      <c r="AX22" s="5"/>
      <c r="AY22" s="27">
        <v>6.187</v>
      </c>
      <c r="AZ22" s="19">
        <v>15.73</v>
      </c>
      <c r="BA22" s="5"/>
      <c r="BB22" s="27">
        <v>6.1532</v>
      </c>
      <c r="BC22" s="19">
        <v>15.78</v>
      </c>
      <c r="BD22" s="5"/>
      <c r="BE22" s="27">
        <v>6.1428</v>
      </c>
      <c r="BF22" s="19">
        <v>15.79</v>
      </c>
      <c r="BG22" s="31"/>
      <c r="BH22" s="27">
        <f t="shared" si="0"/>
        <v>6.2873473684210515</v>
      </c>
      <c r="BI22" s="19">
        <f t="shared" si="1"/>
        <v>15.626315789473686</v>
      </c>
      <c r="BJ22" s="31"/>
      <c r="BK22" s="31"/>
      <c r="BL22" s="32"/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5.8294</v>
      </c>
      <c r="D23" s="19">
        <v>17</v>
      </c>
      <c r="E23" s="5"/>
      <c r="F23" s="27">
        <v>5.8498</v>
      </c>
      <c r="G23" s="19">
        <v>16.97</v>
      </c>
      <c r="H23" s="5"/>
      <c r="I23" s="27">
        <v>5.8452</v>
      </c>
      <c r="J23" s="19">
        <v>17.03</v>
      </c>
      <c r="K23" s="5"/>
      <c r="L23" s="27">
        <v>5.7883</v>
      </c>
      <c r="M23" s="19">
        <v>17.11</v>
      </c>
      <c r="N23" s="5"/>
      <c r="O23" s="27">
        <v>5.781</v>
      </c>
      <c r="P23" s="19">
        <v>17.13</v>
      </c>
      <c r="Q23" s="5"/>
      <c r="R23" s="27">
        <v>5.7347</v>
      </c>
      <c r="S23" s="19">
        <v>17.17</v>
      </c>
      <c r="T23" s="5"/>
      <c r="U23" s="27">
        <v>5.7606</v>
      </c>
      <c r="V23" s="19">
        <v>17.12</v>
      </c>
      <c r="W23" s="5"/>
      <c r="X23" s="27">
        <v>5.7418</v>
      </c>
      <c r="Y23" s="19">
        <v>17.18</v>
      </c>
      <c r="Z23" s="5"/>
      <c r="AA23" s="27">
        <v>5.7659</v>
      </c>
      <c r="AB23" s="19">
        <v>17.11</v>
      </c>
      <c r="AC23" s="5"/>
      <c r="AD23" s="27">
        <v>5.7489</v>
      </c>
      <c r="AE23" s="19">
        <v>17.13</v>
      </c>
      <c r="AF23" s="5"/>
      <c r="AG23" s="27">
        <v>5.7256</v>
      </c>
      <c r="AH23" s="19">
        <v>17.14</v>
      </c>
      <c r="AI23" s="5"/>
      <c r="AJ23" s="27">
        <v>5.6979</v>
      </c>
      <c r="AK23" s="19">
        <v>17.19</v>
      </c>
      <c r="AL23" s="5"/>
      <c r="AM23" s="27">
        <v>5.6937</v>
      </c>
      <c r="AN23" s="19">
        <v>17.13</v>
      </c>
      <c r="AO23" s="5"/>
      <c r="AP23" s="27">
        <v>5.7062</v>
      </c>
      <c r="AQ23" s="19">
        <v>17.12</v>
      </c>
      <c r="AR23" s="5"/>
      <c r="AS23" s="27">
        <v>5.6997</v>
      </c>
      <c r="AT23" s="19">
        <v>17.11</v>
      </c>
      <c r="AU23" s="5"/>
      <c r="AV23" s="27">
        <v>5.692</v>
      </c>
      <c r="AW23" s="19">
        <v>17.15</v>
      </c>
      <c r="AX23" s="5"/>
      <c r="AY23" s="27">
        <v>5.6516</v>
      </c>
      <c r="AZ23" s="19">
        <v>17.22</v>
      </c>
      <c r="BA23" s="5"/>
      <c r="BB23" s="27">
        <v>5.6279</v>
      </c>
      <c r="BC23" s="19">
        <v>17.26</v>
      </c>
      <c r="BD23" s="5"/>
      <c r="BE23" s="27">
        <v>5.6273</v>
      </c>
      <c r="BF23" s="19">
        <v>17.23</v>
      </c>
      <c r="BG23" s="31"/>
      <c r="BH23" s="27">
        <f t="shared" si="0"/>
        <v>5.735131578947368</v>
      </c>
      <c r="BI23" s="19">
        <f t="shared" si="1"/>
        <v>17.13157894736842</v>
      </c>
      <c r="BJ23" s="31"/>
      <c r="BK23" s="31"/>
      <c r="BL23" s="32"/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1/1.49878</f>
        <v>0.6672093302552743</v>
      </c>
      <c r="D24" s="19">
        <v>148.5</v>
      </c>
      <c r="E24" s="5"/>
      <c r="F24" s="27">
        <f>1/1.498</f>
        <v>0.6675567423230975</v>
      </c>
      <c r="G24" s="19">
        <v>148.74</v>
      </c>
      <c r="H24" s="5"/>
      <c r="I24" s="27">
        <f>1/1.49615</f>
        <v>0.6683821809310564</v>
      </c>
      <c r="J24" s="19">
        <v>148.94</v>
      </c>
      <c r="K24" s="5"/>
      <c r="L24" s="27">
        <f>1/1.49632</f>
        <v>0.66830624465355</v>
      </c>
      <c r="M24" s="19">
        <v>148.15</v>
      </c>
      <c r="N24" s="5"/>
      <c r="O24" s="27">
        <f>1/1.50398</f>
        <v>0.6649024588092927</v>
      </c>
      <c r="P24" s="19">
        <v>148.89</v>
      </c>
      <c r="Q24" s="5"/>
      <c r="R24" s="27">
        <f>1/1.50491</f>
        <v>0.6644915642795914</v>
      </c>
      <c r="S24" s="19">
        <v>148.17</v>
      </c>
      <c r="T24" s="5"/>
      <c r="U24" s="27">
        <f>1/1.51037</f>
        <v>0.6620894217973079</v>
      </c>
      <c r="V24" s="19">
        <v>148.99</v>
      </c>
      <c r="W24" s="5"/>
      <c r="X24" s="27">
        <f>1/1.50722</f>
        <v>0.6634731492416502</v>
      </c>
      <c r="Y24" s="19">
        <v>148.7</v>
      </c>
      <c r="Z24" s="5"/>
      <c r="AA24" s="27">
        <f>1/1.51047</f>
        <v>0.6620455884592213</v>
      </c>
      <c r="AB24" s="19">
        <v>149.06</v>
      </c>
      <c r="AC24" s="5"/>
      <c r="AD24" s="27">
        <f>1/1.50276</f>
        <v>0.6654422529212914</v>
      </c>
      <c r="AE24" s="19">
        <v>147.95</v>
      </c>
      <c r="AF24" s="5"/>
      <c r="AG24" s="27">
        <f>1/1.5098</f>
        <v>0.6623393826996953</v>
      </c>
      <c r="AH24" s="19">
        <v>148.13</v>
      </c>
      <c r="AI24" s="5"/>
      <c r="AJ24" s="27">
        <f>1/1.51096</f>
        <v>0.66183088897125</v>
      </c>
      <c r="AK24" s="19">
        <v>147.96</v>
      </c>
      <c r="AL24" s="5"/>
      <c r="AM24" s="27">
        <f>1/1.51621</f>
        <v>0.6595392458828262</v>
      </c>
      <c r="AN24" s="19">
        <v>147.88</v>
      </c>
      <c r="AO24" s="5"/>
      <c r="AP24" s="27">
        <f>1/1.51658</f>
        <v>0.6593783381028366</v>
      </c>
      <c r="AQ24" s="19">
        <v>148.13</v>
      </c>
      <c r="AR24" s="5"/>
      <c r="AS24" s="27">
        <f>1/1.51704</f>
        <v>0.6591784000421874</v>
      </c>
      <c r="AT24" s="19">
        <v>147.93</v>
      </c>
      <c r="AU24" s="5"/>
      <c r="AV24" s="27">
        <f>1/1.51858</f>
        <v>0.6585099237445509</v>
      </c>
      <c r="AW24" s="19">
        <v>148.2</v>
      </c>
      <c r="AX24" s="5"/>
      <c r="AY24" s="27">
        <f>1/1.52103</f>
        <v>0.6574492284833303</v>
      </c>
      <c r="AZ24" s="19">
        <v>148.05</v>
      </c>
      <c r="BA24" s="5"/>
      <c r="BB24" s="27">
        <f>1/1.52603</f>
        <v>0.6552951121537585</v>
      </c>
      <c r="BC24" s="19">
        <v>148.21</v>
      </c>
      <c r="BD24" s="5"/>
      <c r="BE24" s="27">
        <f>1/1.52603</f>
        <v>0.6552951121537585</v>
      </c>
      <c r="BF24" s="19">
        <v>147.97</v>
      </c>
      <c r="BG24" s="31"/>
      <c r="BH24" s="27">
        <f t="shared" si="0"/>
        <v>0.6622481350476593</v>
      </c>
      <c r="BI24" s="19">
        <f t="shared" si="1"/>
        <v>148.34473684210528</v>
      </c>
      <c r="BJ24" s="31"/>
      <c r="BK24" s="31"/>
      <c r="BL24" s="32"/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99.08</v>
      </c>
      <c r="E25" s="21"/>
      <c r="F25" s="28">
        <v>1</v>
      </c>
      <c r="G25" s="22">
        <v>99.29</v>
      </c>
      <c r="H25" s="21"/>
      <c r="I25" s="28">
        <v>1</v>
      </c>
      <c r="J25" s="22">
        <v>99.55</v>
      </c>
      <c r="K25" s="21"/>
      <c r="L25" s="28">
        <v>1</v>
      </c>
      <c r="M25" s="22">
        <v>99.01</v>
      </c>
      <c r="N25" s="21"/>
      <c r="O25" s="28">
        <v>1</v>
      </c>
      <c r="P25" s="22">
        <v>99</v>
      </c>
      <c r="Q25" s="21"/>
      <c r="R25" s="28">
        <v>1</v>
      </c>
      <c r="S25" s="22">
        <v>98.46</v>
      </c>
      <c r="T25" s="21"/>
      <c r="U25" s="28">
        <v>1</v>
      </c>
      <c r="V25" s="22">
        <v>98.65</v>
      </c>
      <c r="W25" s="21"/>
      <c r="X25" s="28">
        <v>1</v>
      </c>
      <c r="Y25" s="22">
        <v>98.66</v>
      </c>
      <c r="Z25" s="21"/>
      <c r="AA25" s="28">
        <v>1</v>
      </c>
      <c r="AB25" s="22">
        <v>98.68</v>
      </c>
      <c r="AC25" s="21"/>
      <c r="AD25" s="28">
        <v>1</v>
      </c>
      <c r="AE25" s="22">
        <v>98.45</v>
      </c>
      <c r="AF25" s="21"/>
      <c r="AG25" s="28">
        <v>1</v>
      </c>
      <c r="AH25" s="22">
        <v>98.11</v>
      </c>
      <c r="AI25" s="21"/>
      <c r="AJ25" s="28">
        <v>1</v>
      </c>
      <c r="AK25" s="22">
        <v>97.92</v>
      </c>
      <c r="AL25" s="21"/>
      <c r="AM25" s="28">
        <v>1</v>
      </c>
      <c r="AN25" s="22">
        <v>97.53</v>
      </c>
      <c r="AO25" s="21"/>
      <c r="AP25" s="28">
        <v>1</v>
      </c>
      <c r="AQ25" s="22">
        <v>97.68</v>
      </c>
      <c r="AR25" s="21"/>
      <c r="AS25" s="28">
        <v>1</v>
      </c>
      <c r="AT25" s="22">
        <v>97.51</v>
      </c>
      <c r="AU25" s="21"/>
      <c r="AV25" s="28">
        <v>1</v>
      </c>
      <c r="AW25" s="22">
        <v>97.59</v>
      </c>
      <c r="AX25" s="21"/>
      <c r="AY25" s="28">
        <v>1</v>
      </c>
      <c r="AZ25" s="22">
        <v>97.34</v>
      </c>
      <c r="BA25" s="21"/>
      <c r="BB25" s="28">
        <v>1</v>
      </c>
      <c r="BC25" s="22">
        <v>97.12</v>
      </c>
      <c r="BD25" s="21"/>
      <c r="BE25" s="28">
        <v>1</v>
      </c>
      <c r="BF25" s="22">
        <v>96.97</v>
      </c>
      <c r="BG25" s="28"/>
      <c r="BH25" s="28">
        <f t="shared" si="0"/>
        <v>1</v>
      </c>
      <c r="BI25" s="22">
        <f t="shared" si="1"/>
        <v>98.24210526315788</v>
      </c>
      <c r="BJ25" s="31"/>
      <c r="BK25" s="31"/>
      <c r="BL25" s="32"/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9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268</v>
      </c>
      <c r="D4" s="4"/>
      <c r="E4" s="10"/>
      <c r="F4" s="4" t="s">
        <v>269</v>
      </c>
      <c r="G4" s="4"/>
      <c r="H4" s="10"/>
      <c r="I4" s="4" t="s">
        <v>270</v>
      </c>
      <c r="J4" s="4"/>
      <c r="K4" s="10"/>
      <c r="L4" s="4" t="s">
        <v>271</v>
      </c>
      <c r="M4" s="4"/>
      <c r="N4" s="10"/>
      <c r="O4" s="4" t="s">
        <v>272</v>
      </c>
      <c r="P4" s="4"/>
      <c r="Q4" s="10"/>
      <c r="R4" s="4" t="s">
        <v>273</v>
      </c>
      <c r="S4" s="4"/>
      <c r="T4" s="10"/>
      <c r="U4" s="4" t="s">
        <v>274</v>
      </c>
      <c r="V4" s="4"/>
      <c r="W4" s="10"/>
      <c r="X4" s="4" t="s">
        <v>275</v>
      </c>
      <c r="Y4" s="4"/>
      <c r="Z4" s="10"/>
      <c r="AA4" s="4" t="s">
        <v>276</v>
      </c>
      <c r="AB4" s="4"/>
      <c r="AC4" s="10"/>
      <c r="AD4" s="4" t="s">
        <v>277</v>
      </c>
      <c r="AE4" s="4"/>
      <c r="AF4" s="10"/>
      <c r="AG4" s="4" t="s">
        <v>278</v>
      </c>
      <c r="AH4" s="4"/>
      <c r="AI4" s="10"/>
      <c r="AJ4" s="4" t="s">
        <v>279</v>
      </c>
      <c r="AK4" s="4"/>
      <c r="AL4" s="10"/>
      <c r="AM4" s="4" t="s">
        <v>280</v>
      </c>
      <c r="AN4" s="4"/>
      <c r="AO4" s="10"/>
      <c r="AP4" s="4" t="s">
        <v>281</v>
      </c>
      <c r="AQ4" s="4"/>
      <c r="AR4" s="10"/>
      <c r="AS4" s="4" t="s">
        <v>282</v>
      </c>
      <c r="AT4" s="4"/>
      <c r="AU4" s="10"/>
      <c r="AV4" s="4" t="s">
        <v>283</v>
      </c>
      <c r="AW4" s="4"/>
      <c r="AX4" s="26"/>
      <c r="AY4" s="4" t="s">
        <v>284</v>
      </c>
      <c r="AZ4" s="4"/>
      <c r="BA4" s="26"/>
      <c r="BB4" s="4" t="s">
        <v>285</v>
      </c>
      <c r="BC4" s="4"/>
      <c r="BD4" s="26"/>
      <c r="BE4" s="4" t="s">
        <v>286</v>
      </c>
      <c r="BF4" s="4"/>
      <c r="BG4" s="26"/>
      <c r="BH4" s="4" t="s">
        <v>287</v>
      </c>
      <c r="BI4" s="4"/>
      <c r="BJ4" s="26"/>
      <c r="BK4" s="4" t="s">
        <v>288</v>
      </c>
      <c r="BL4" s="4"/>
      <c r="BM4" s="26"/>
      <c r="BN4" s="4" t="s">
        <v>289</v>
      </c>
      <c r="BO4" s="4"/>
      <c r="BP4" s="37"/>
      <c r="BQ4" s="4" t="s">
        <v>3</v>
      </c>
      <c r="BR4" s="4"/>
      <c r="BS4" s="37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43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21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102.79</v>
      </c>
      <c r="D13" s="19">
        <v>93.88</v>
      </c>
      <c r="E13" s="5"/>
      <c r="F13" s="27">
        <v>102.71</v>
      </c>
      <c r="G13" s="19">
        <v>93.59</v>
      </c>
      <c r="H13" s="5"/>
      <c r="I13" s="27">
        <v>103.4</v>
      </c>
      <c r="J13" s="19">
        <v>93.07</v>
      </c>
      <c r="K13" s="5"/>
      <c r="L13" s="27">
        <v>102.35</v>
      </c>
      <c r="M13" s="19">
        <v>93.05</v>
      </c>
      <c r="N13" s="5"/>
      <c r="O13" s="27">
        <v>102.5</v>
      </c>
      <c r="P13" s="19">
        <v>92.37</v>
      </c>
      <c r="Q13" s="5"/>
      <c r="R13" s="27">
        <v>103.78</v>
      </c>
      <c r="S13" s="19">
        <v>92.06</v>
      </c>
      <c r="T13" s="5"/>
      <c r="U13" s="27">
        <v>104.24</v>
      </c>
      <c r="V13" s="19">
        <v>91.92</v>
      </c>
      <c r="W13" s="5"/>
      <c r="X13" s="27">
        <v>105.91</v>
      </c>
      <c r="Y13" s="19">
        <v>91.35</v>
      </c>
      <c r="Z13" s="5"/>
      <c r="AA13" s="27">
        <v>104.92</v>
      </c>
      <c r="AB13" s="19">
        <v>91.88</v>
      </c>
      <c r="AC13" s="5"/>
      <c r="AD13" s="27">
        <v>104.92</v>
      </c>
      <c r="AE13" s="19">
        <v>91.53</v>
      </c>
      <c r="AF13" s="5"/>
      <c r="AG13" s="27">
        <v>104.36</v>
      </c>
      <c r="AH13" s="19">
        <v>91.74</v>
      </c>
      <c r="AI13" s="5"/>
      <c r="AJ13" s="27">
        <v>104.15</v>
      </c>
      <c r="AK13" s="19">
        <v>91.19</v>
      </c>
      <c r="AL13" s="5"/>
      <c r="AM13" s="27">
        <v>104.19</v>
      </c>
      <c r="AN13" s="19">
        <v>91.01</v>
      </c>
      <c r="AO13" s="5"/>
      <c r="AP13" s="27">
        <v>104.38</v>
      </c>
      <c r="AQ13" s="19">
        <v>90.02</v>
      </c>
      <c r="AR13" s="5"/>
      <c r="AS13" s="27">
        <v>104.19</v>
      </c>
      <c r="AT13" s="19">
        <v>89.9</v>
      </c>
      <c r="AU13" s="5"/>
      <c r="AV13" s="27">
        <v>104.13</v>
      </c>
      <c r="AW13" s="19">
        <v>89.78</v>
      </c>
      <c r="AX13" s="5"/>
      <c r="AY13" s="27">
        <v>103.94</v>
      </c>
      <c r="AZ13" s="19">
        <v>89.41</v>
      </c>
      <c r="BA13" s="5"/>
      <c r="BB13" s="27">
        <v>103.57</v>
      </c>
      <c r="BC13" s="19">
        <v>88.87</v>
      </c>
      <c r="BD13" s="5"/>
      <c r="BE13" s="27">
        <v>103.04</v>
      </c>
      <c r="BF13" s="19">
        <v>89.59</v>
      </c>
      <c r="BG13" s="5"/>
      <c r="BH13" s="27">
        <v>103.31</v>
      </c>
      <c r="BI13" s="19">
        <v>89.29</v>
      </c>
      <c r="BJ13" s="5"/>
      <c r="BK13" s="27">
        <v>103.79</v>
      </c>
      <c r="BL13" s="19">
        <v>89.14</v>
      </c>
      <c r="BM13" s="5"/>
      <c r="BN13" s="27">
        <v>102.52</v>
      </c>
      <c r="BO13" s="19">
        <v>90.36</v>
      </c>
      <c r="BP13" s="32"/>
      <c r="BQ13" s="27">
        <f>(+C13+F13+I13+L13+O13+R13+U13+X13+AA13+AD13+AG13+AJ13+AM13+AP13+AS13+AV13+AY13+BB13+BE13+BH13+BK13+BN13)/22</f>
        <v>103.77681818181819</v>
      </c>
      <c r="BR13" s="19">
        <f>(+D13+G13+J13+M13+P13+S13+V13+Y13+AB13+AE13+AH13+AK13+AN13+AQ13+AT13+AW13+AZ13+BC13+BF13+BI13+BL13+BO13)/22</f>
        <v>91.13636363636363</v>
      </c>
      <c r="BS13" s="32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1/1.9229</f>
        <v>0.5200478444016849</v>
      </c>
      <c r="D14" s="19">
        <v>185.56</v>
      </c>
      <c r="E14" s="5"/>
      <c r="F14" s="27">
        <f>1/1.9307</f>
        <v>0.5179468586523023</v>
      </c>
      <c r="G14" s="19">
        <v>185.59</v>
      </c>
      <c r="H14" s="5"/>
      <c r="I14" s="27">
        <f>1/1.9234</f>
        <v>0.5199126546740148</v>
      </c>
      <c r="J14" s="19">
        <v>185.1</v>
      </c>
      <c r="K14" s="5"/>
      <c r="L14" s="27">
        <f>1/1.9423</f>
        <v>0.514853524172373</v>
      </c>
      <c r="M14" s="19">
        <v>184.98</v>
      </c>
      <c r="N14" s="5"/>
      <c r="O14" s="27">
        <f>1/1.9504</f>
        <v>0.5127153404429861</v>
      </c>
      <c r="P14" s="19">
        <v>184.65</v>
      </c>
      <c r="Q14" s="5"/>
      <c r="R14" s="27">
        <f>1/1.9302</f>
        <v>0.5180810278727593</v>
      </c>
      <c r="S14" s="19">
        <v>184.41</v>
      </c>
      <c r="T14" s="5"/>
      <c r="U14" s="27">
        <f>1/1.9171</f>
        <v>0.5216211986855146</v>
      </c>
      <c r="V14" s="19">
        <v>183.68</v>
      </c>
      <c r="W14" s="5"/>
      <c r="X14" s="27">
        <f>1/1.9053</f>
        <v>0.5248517293864483</v>
      </c>
      <c r="Y14" s="19">
        <v>184.34</v>
      </c>
      <c r="Z14" s="5"/>
      <c r="AA14" s="27">
        <f>1/1.9152</f>
        <v>0.5221386800334169</v>
      </c>
      <c r="AB14" s="19">
        <v>184.62</v>
      </c>
      <c r="AC14" s="5"/>
      <c r="AD14" s="27">
        <f>1/1.9246</f>
        <v>0.519588485919152</v>
      </c>
      <c r="AE14" s="19">
        <v>184.83</v>
      </c>
      <c r="AF14" s="5"/>
      <c r="AG14" s="27">
        <f>1/1.9342</f>
        <v>0.5170096163788647</v>
      </c>
      <c r="AH14" s="19">
        <v>185.18</v>
      </c>
      <c r="AI14" s="5"/>
      <c r="AJ14" s="27">
        <f>1/1.9454</f>
        <v>0.5140331037318804</v>
      </c>
      <c r="AK14" s="19">
        <v>184.77</v>
      </c>
      <c r="AL14" s="5"/>
      <c r="AM14" s="27">
        <f>1/1.9383</f>
        <v>0.5159160088737553</v>
      </c>
      <c r="AN14" s="19">
        <v>183.8</v>
      </c>
      <c r="AO14" s="5"/>
      <c r="AP14" s="27">
        <f>1/1.9445</f>
        <v>0.5142710208279764</v>
      </c>
      <c r="AQ14" s="19">
        <v>182.72</v>
      </c>
      <c r="AR14" s="5"/>
      <c r="AS14" s="27">
        <f>1/1.934</f>
        <v>0.5170630816959669</v>
      </c>
      <c r="AT14" s="19">
        <v>181.15</v>
      </c>
      <c r="AU14" s="5"/>
      <c r="AV14" s="27">
        <f>1/1.9226</f>
        <v>0.5201289919900135</v>
      </c>
      <c r="AW14" s="19">
        <v>179.75</v>
      </c>
      <c r="AX14" s="5"/>
      <c r="AY14" s="27">
        <f>1/1.9205</f>
        <v>0.5206977349648528</v>
      </c>
      <c r="AZ14" s="19">
        <v>178.48</v>
      </c>
      <c r="BA14" s="5"/>
      <c r="BB14" s="27">
        <f>1/1.9284</f>
        <v>0.5185646131507986</v>
      </c>
      <c r="BC14" s="19">
        <v>177.49</v>
      </c>
      <c r="BD14" s="5"/>
      <c r="BE14" s="27">
        <f>1/1.9383</f>
        <v>0.5159160088737553</v>
      </c>
      <c r="BF14" s="19">
        <v>178.94</v>
      </c>
      <c r="BG14" s="5"/>
      <c r="BH14" s="27">
        <f>1/1.9273</f>
        <v>0.5188605821615732</v>
      </c>
      <c r="BI14" s="19">
        <v>177.79</v>
      </c>
      <c r="BJ14" s="5"/>
      <c r="BK14" s="27">
        <f>1/1.9219</f>
        <v>0.5203184348821479</v>
      </c>
      <c r="BL14" s="19">
        <v>177.81</v>
      </c>
      <c r="BM14" s="5"/>
      <c r="BN14" s="27">
        <f>1/1.929</f>
        <v>0.5184033177812338</v>
      </c>
      <c r="BO14" s="19">
        <v>178.69</v>
      </c>
      <c r="BP14" s="32"/>
      <c r="BQ14" s="27">
        <f aca="true" t="shared" si="0" ref="BQ14:BQ25">(+C14+F14+I14+L14+O14+R14+U14+X14+AA14+AD14+AG14+AJ14+AM14+AP14+AS14+AV14+AY14+BB14+BE14+BH14+BK14+BN14)/22</f>
        <v>0.5183154481615214</v>
      </c>
      <c r="BR14" s="19">
        <f aca="true" t="shared" si="1" ref="BR14:BR25">(+D14+G14+J14+M14+P14+S14+V14+Y14+AB14+AE14+AH14+AK14+AN14+AQ14+AT14+AW14+AZ14+BC14+BF14+BI14+BL14+BO14)/22</f>
        <v>182.46954545454548</v>
      </c>
      <c r="BS14" s="32"/>
      <c r="BT14" s="31"/>
      <c r="BU14" s="32"/>
    </row>
    <row r="15" spans="1:73" ht="15.75" customHeight="1">
      <c r="A15" s="16">
        <v>3</v>
      </c>
      <c r="B15" s="17" t="s">
        <v>16</v>
      </c>
      <c r="C15" s="27">
        <v>1.1392</v>
      </c>
      <c r="D15" s="19">
        <v>84.71</v>
      </c>
      <c r="E15" s="5"/>
      <c r="F15" s="27">
        <v>1.1437</v>
      </c>
      <c r="G15" s="19">
        <v>84.05</v>
      </c>
      <c r="H15" s="5"/>
      <c r="I15" s="27">
        <v>1.1492</v>
      </c>
      <c r="J15" s="19">
        <v>83.74</v>
      </c>
      <c r="K15" s="5"/>
      <c r="L15" s="27">
        <v>1.1356</v>
      </c>
      <c r="M15" s="19">
        <v>83.86</v>
      </c>
      <c r="N15" s="5"/>
      <c r="O15" s="27">
        <v>1.1357</v>
      </c>
      <c r="P15" s="19">
        <v>83.36</v>
      </c>
      <c r="Q15" s="5"/>
      <c r="R15" s="27">
        <v>1.151</v>
      </c>
      <c r="S15" s="19">
        <v>83.01</v>
      </c>
      <c r="T15" s="5"/>
      <c r="U15" s="27">
        <v>1.152</v>
      </c>
      <c r="V15" s="19">
        <v>83.17</v>
      </c>
      <c r="W15" s="5"/>
      <c r="X15" s="27">
        <v>1.1645</v>
      </c>
      <c r="Y15" s="19">
        <v>83.08</v>
      </c>
      <c r="Z15" s="5"/>
      <c r="AA15" s="27">
        <v>1.1568</v>
      </c>
      <c r="AB15" s="19">
        <v>83.33</v>
      </c>
      <c r="AC15" s="5"/>
      <c r="AD15" s="27">
        <v>1.1549</v>
      </c>
      <c r="AE15" s="19">
        <v>83.15</v>
      </c>
      <c r="AF15" s="5"/>
      <c r="AG15" s="27">
        <v>1.1442</v>
      </c>
      <c r="AH15" s="19">
        <v>83.67</v>
      </c>
      <c r="AI15" s="5"/>
      <c r="AJ15" s="27">
        <v>1.1447</v>
      </c>
      <c r="AK15" s="19">
        <v>82.97</v>
      </c>
      <c r="AL15" s="5"/>
      <c r="AM15" s="27">
        <v>1.1545</v>
      </c>
      <c r="AN15" s="19">
        <v>82.13</v>
      </c>
      <c r="AO15" s="5"/>
      <c r="AP15" s="27">
        <v>1.1502</v>
      </c>
      <c r="AQ15" s="19">
        <v>81.7</v>
      </c>
      <c r="AR15" s="5"/>
      <c r="AS15" s="27">
        <v>1.1498</v>
      </c>
      <c r="AT15" s="19">
        <v>81.46</v>
      </c>
      <c r="AU15" s="5"/>
      <c r="AV15" s="27">
        <v>1.1501</v>
      </c>
      <c r="AW15" s="19">
        <v>81.29</v>
      </c>
      <c r="AX15" s="5"/>
      <c r="AY15" s="27">
        <v>1.1483</v>
      </c>
      <c r="AZ15" s="19">
        <v>80.93</v>
      </c>
      <c r="BA15" s="5"/>
      <c r="BB15" s="27">
        <v>1.141</v>
      </c>
      <c r="BC15" s="19">
        <v>80.67</v>
      </c>
      <c r="BD15" s="5"/>
      <c r="BE15" s="27">
        <v>1.1332</v>
      </c>
      <c r="BF15" s="19">
        <v>81.47</v>
      </c>
      <c r="BG15" s="5"/>
      <c r="BH15" s="27">
        <v>1.1339</v>
      </c>
      <c r="BI15" s="19">
        <v>81.35</v>
      </c>
      <c r="BJ15" s="5"/>
      <c r="BK15" s="27">
        <v>1.1334</v>
      </c>
      <c r="BL15" s="19">
        <v>81.63</v>
      </c>
      <c r="BM15" s="5"/>
      <c r="BN15" s="27">
        <v>1.1315</v>
      </c>
      <c r="BO15" s="19">
        <v>81.87</v>
      </c>
      <c r="BP15" s="32"/>
      <c r="BQ15" s="27">
        <f t="shared" si="0"/>
        <v>1.1453363636363636</v>
      </c>
      <c r="BR15" s="19">
        <f t="shared" si="1"/>
        <v>82.57272727272726</v>
      </c>
      <c r="BS15" s="32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1/1.3306</f>
        <v>0.7515406583496167</v>
      </c>
      <c r="D16" s="19">
        <v>128.4</v>
      </c>
      <c r="E16" s="5"/>
      <c r="F16" s="27">
        <f>1/1.3312</f>
        <v>0.7512019230769231</v>
      </c>
      <c r="G16" s="19">
        <v>127.97</v>
      </c>
      <c r="H16" s="5"/>
      <c r="I16" s="27">
        <f>1/1.3275</f>
        <v>0.7532956685499059</v>
      </c>
      <c r="J16" s="19">
        <v>127.76</v>
      </c>
      <c r="K16" s="5"/>
      <c r="L16" s="27">
        <f>1/1.3447</f>
        <v>0.7436602959767978</v>
      </c>
      <c r="M16" s="19">
        <v>128.06</v>
      </c>
      <c r="N16" s="5"/>
      <c r="O16" s="27">
        <f>1/1.3466</f>
        <v>0.7426110203475419</v>
      </c>
      <c r="P16" s="19">
        <v>127.49</v>
      </c>
      <c r="Q16" s="5"/>
      <c r="R16" s="27">
        <f>1/1.3316</f>
        <v>0.7509762691498949</v>
      </c>
      <c r="S16" s="19">
        <v>127.22</v>
      </c>
      <c r="T16" s="5"/>
      <c r="U16" s="27">
        <f>1/1.3309</f>
        <v>0.751371252535878</v>
      </c>
      <c r="V16" s="19">
        <v>127.52</v>
      </c>
      <c r="W16" s="5"/>
      <c r="X16" s="27">
        <f>1/1.3168</f>
        <v>0.7594167679222358</v>
      </c>
      <c r="Y16" s="19">
        <v>127.4</v>
      </c>
      <c r="Z16" s="5"/>
      <c r="AA16" s="27">
        <f>1/1.3268</f>
        <v>0.753693096171239</v>
      </c>
      <c r="AB16" s="19">
        <v>127.9</v>
      </c>
      <c r="AC16" s="5"/>
      <c r="AD16" s="27">
        <f>1/1.3308</f>
        <v>0.7514277126540427</v>
      </c>
      <c r="AE16" s="19">
        <v>127.8</v>
      </c>
      <c r="AF16" s="5"/>
      <c r="AG16" s="27">
        <f>1/1.3358</f>
        <v>0.7486150621350501</v>
      </c>
      <c r="AH16" s="19">
        <v>127.89</v>
      </c>
      <c r="AI16" s="5"/>
      <c r="AJ16" s="27">
        <f>1/1.3386</f>
        <v>0.7470491558344539</v>
      </c>
      <c r="AK16" s="19">
        <v>127.14</v>
      </c>
      <c r="AL16" s="5"/>
      <c r="AM16" s="27">
        <f>1/1.3294</f>
        <v>0.7522190461862495</v>
      </c>
      <c r="AN16" s="19">
        <v>126.06</v>
      </c>
      <c r="AO16" s="5"/>
      <c r="AP16" s="27">
        <f>1/1.3356</f>
        <v>0.7487271638215035</v>
      </c>
      <c r="AQ16" s="19">
        <v>125.5</v>
      </c>
      <c r="AR16" s="5"/>
      <c r="AS16" s="27">
        <f>1/1.339</f>
        <v>0.7468259895444361</v>
      </c>
      <c r="AT16" s="19">
        <v>125.42</v>
      </c>
      <c r="AU16" s="5"/>
      <c r="AV16" s="27">
        <f>1/1.3394</f>
        <v>0.7466029565477079</v>
      </c>
      <c r="AW16" s="19">
        <v>125.22</v>
      </c>
      <c r="AX16" s="5"/>
      <c r="AY16" s="27">
        <f>1/1.3447</f>
        <v>0.7436602959767978</v>
      </c>
      <c r="AZ16" s="19">
        <v>124.97</v>
      </c>
      <c r="BA16" s="5"/>
      <c r="BB16" s="27">
        <f>1/1.3539</f>
        <v>0.738606987222099</v>
      </c>
      <c r="BC16" s="19">
        <v>124.62</v>
      </c>
      <c r="BD16" s="5"/>
      <c r="BE16" s="27">
        <f>1/1.3632</f>
        <v>0.7335680751173709</v>
      </c>
      <c r="BF16" s="19">
        <v>125.85</v>
      </c>
      <c r="BG16" s="5"/>
      <c r="BH16" s="27">
        <f>1/1.3623</f>
        <v>0.7340527049842178</v>
      </c>
      <c r="BI16" s="19">
        <v>125.67</v>
      </c>
      <c r="BJ16" s="5"/>
      <c r="BK16" s="27">
        <f>1/1.3616</f>
        <v>0.7344300822561692</v>
      </c>
      <c r="BL16" s="19">
        <v>125.97</v>
      </c>
      <c r="BM16" s="5"/>
      <c r="BN16" s="27">
        <f>1/1.3639</f>
        <v>0.7331915829606277</v>
      </c>
      <c r="BO16" s="19">
        <v>126.35</v>
      </c>
      <c r="BP16" s="32"/>
      <c r="BQ16" s="27">
        <f t="shared" si="0"/>
        <v>0.7462156257873073</v>
      </c>
      <c r="BR16" s="19">
        <f t="shared" si="1"/>
        <v>126.73545454545454</v>
      </c>
      <c r="BS16" s="32"/>
      <c r="BT16" s="31"/>
      <c r="BU16" s="32"/>
    </row>
    <row r="17" spans="1:73" ht="15.75" customHeight="1">
      <c r="A17" s="16">
        <v>5</v>
      </c>
      <c r="B17" s="17" t="s">
        <v>18</v>
      </c>
      <c r="C17" s="27">
        <v>450.65</v>
      </c>
      <c r="D17" s="19">
        <v>43487.73</v>
      </c>
      <c r="E17" s="5"/>
      <c r="F17" s="27">
        <v>454</v>
      </c>
      <c r="G17" s="19">
        <v>43642.26</v>
      </c>
      <c r="H17" s="5"/>
      <c r="I17" s="27">
        <v>448.75</v>
      </c>
      <c r="J17" s="19">
        <v>43186.58</v>
      </c>
      <c r="K17" s="5"/>
      <c r="L17" s="27">
        <v>455.25</v>
      </c>
      <c r="M17" s="19">
        <v>43356.49</v>
      </c>
      <c r="N17" s="5"/>
      <c r="O17" s="27">
        <v>453.8</v>
      </c>
      <c r="P17" s="19">
        <v>42963.52</v>
      </c>
      <c r="Q17" s="5"/>
      <c r="R17" s="27">
        <v>445.5</v>
      </c>
      <c r="S17" s="19">
        <v>42563.81</v>
      </c>
      <c r="T17" s="5"/>
      <c r="U17" s="27">
        <v>437.25</v>
      </c>
      <c r="V17" s="19">
        <v>41894.02</v>
      </c>
      <c r="W17" s="5"/>
      <c r="X17" s="27">
        <v>433.5</v>
      </c>
      <c r="Y17" s="19">
        <v>41941.13</v>
      </c>
      <c r="Z17" s="5"/>
      <c r="AA17" s="27">
        <v>435.9</v>
      </c>
      <c r="AB17" s="19">
        <v>42019.31</v>
      </c>
      <c r="AC17" s="5"/>
      <c r="AD17" s="27">
        <v>438</v>
      </c>
      <c r="AE17" s="19">
        <v>42062.6</v>
      </c>
      <c r="AF17" s="5"/>
      <c r="AG17" s="27">
        <v>437.75</v>
      </c>
      <c r="AH17" s="19">
        <v>41909.09</v>
      </c>
      <c r="AI17" s="5"/>
      <c r="AJ17" s="27">
        <v>440.75</v>
      </c>
      <c r="AK17" s="19">
        <v>41862.07</v>
      </c>
      <c r="AL17" s="5"/>
      <c r="AM17" s="27">
        <v>439</v>
      </c>
      <c r="AN17" s="19">
        <v>41627.81</v>
      </c>
      <c r="AO17" s="5"/>
      <c r="AP17" s="27">
        <v>441.6</v>
      </c>
      <c r="AQ17" s="19">
        <v>41495.68</v>
      </c>
      <c r="AR17" s="5"/>
      <c r="AS17" s="27">
        <v>441.75</v>
      </c>
      <c r="AT17" s="19">
        <v>41377.25</v>
      </c>
      <c r="AU17" s="5"/>
      <c r="AV17" s="27">
        <v>442.25</v>
      </c>
      <c r="AW17" s="19">
        <v>41346.69</v>
      </c>
      <c r="AX17" s="5"/>
      <c r="AY17" s="27">
        <v>441.5</v>
      </c>
      <c r="AZ17" s="19">
        <v>41030.07</v>
      </c>
      <c r="BA17" s="5"/>
      <c r="BB17" s="27">
        <v>442</v>
      </c>
      <c r="BC17" s="19">
        <v>40682.42</v>
      </c>
      <c r="BD17" s="5"/>
      <c r="BE17" s="27">
        <v>444.5</v>
      </c>
      <c r="BF17" s="19">
        <v>41034.76</v>
      </c>
      <c r="BG17" s="5"/>
      <c r="BH17" s="27">
        <v>443.5</v>
      </c>
      <c r="BI17" s="19">
        <v>40911.03</v>
      </c>
      <c r="BJ17" s="5"/>
      <c r="BK17" s="27">
        <v>434.6</v>
      </c>
      <c r="BL17" s="19">
        <v>40207.38</v>
      </c>
      <c r="BM17" s="5"/>
      <c r="BN17" s="27">
        <v>437.1</v>
      </c>
      <c r="BO17" s="19">
        <v>40491.12</v>
      </c>
      <c r="BP17" s="32"/>
      <c r="BQ17" s="27">
        <f t="shared" si="0"/>
        <v>442.6772727272728</v>
      </c>
      <c r="BR17" s="19">
        <f t="shared" si="1"/>
        <v>41867.85545454546</v>
      </c>
      <c r="BS17" s="32"/>
      <c r="BT17" s="31"/>
      <c r="BU17" s="32"/>
    </row>
    <row r="18" spans="1:73" ht="15.75" customHeight="1">
      <c r="A18" s="16">
        <v>6</v>
      </c>
      <c r="B18" s="20" t="s">
        <v>19</v>
      </c>
      <c r="C18" s="27">
        <v>7.705</v>
      </c>
      <c r="D18" s="19">
        <v>743.53</v>
      </c>
      <c r="E18" s="5"/>
      <c r="F18" s="27">
        <v>7.99</v>
      </c>
      <c r="G18" s="19">
        <v>768.07</v>
      </c>
      <c r="H18" s="5"/>
      <c r="I18" s="27">
        <v>7.8</v>
      </c>
      <c r="J18" s="19">
        <v>750.65</v>
      </c>
      <c r="K18" s="5"/>
      <c r="L18" s="27">
        <v>7.98</v>
      </c>
      <c r="M18" s="19">
        <v>759.99</v>
      </c>
      <c r="N18" s="5"/>
      <c r="O18" s="27">
        <v>7.83</v>
      </c>
      <c r="P18" s="19">
        <v>741.31</v>
      </c>
      <c r="Q18" s="5"/>
      <c r="R18" s="27">
        <v>7.57</v>
      </c>
      <c r="S18" s="19">
        <v>723.25</v>
      </c>
      <c r="T18" s="5"/>
      <c r="U18" s="27">
        <v>6.94</v>
      </c>
      <c r="V18" s="19">
        <v>664.94</v>
      </c>
      <c r="W18" s="5"/>
      <c r="X18" s="27">
        <v>6.7</v>
      </c>
      <c r="Y18" s="19">
        <v>648.23</v>
      </c>
      <c r="Z18" s="5"/>
      <c r="AA18" s="27">
        <v>6.79</v>
      </c>
      <c r="AB18" s="19">
        <v>654.53</v>
      </c>
      <c r="AC18" s="5"/>
      <c r="AD18" s="27">
        <v>6.78</v>
      </c>
      <c r="AE18" s="19">
        <v>651.11</v>
      </c>
      <c r="AF18" s="5"/>
      <c r="AG18" s="27">
        <v>6.77</v>
      </c>
      <c r="AH18" s="19">
        <v>648.14</v>
      </c>
      <c r="AI18" s="5"/>
      <c r="AJ18" s="27">
        <v>6.81</v>
      </c>
      <c r="AK18" s="19">
        <v>646.81</v>
      </c>
      <c r="AL18" s="5"/>
      <c r="AM18" s="27">
        <v>6.69</v>
      </c>
      <c r="AN18" s="19">
        <v>634.37</v>
      </c>
      <c r="AO18" s="5"/>
      <c r="AP18" s="27">
        <v>6.78</v>
      </c>
      <c r="AQ18" s="19">
        <v>637.09</v>
      </c>
      <c r="AR18" s="5"/>
      <c r="AS18" s="27">
        <v>6.83</v>
      </c>
      <c r="AT18" s="19">
        <v>639.74</v>
      </c>
      <c r="AU18" s="5"/>
      <c r="AV18" s="27">
        <v>6.9</v>
      </c>
      <c r="AW18" s="19">
        <v>645.09</v>
      </c>
      <c r="AX18" s="5"/>
      <c r="AY18" s="27">
        <v>6.83</v>
      </c>
      <c r="AZ18" s="19">
        <v>634.73</v>
      </c>
      <c r="BA18" s="5"/>
      <c r="BB18" s="27">
        <v>6.92</v>
      </c>
      <c r="BC18" s="19">
        <v>636.93</v>
      </c>
      <c r="BD18" s="5"/>
      <c r="BE18" s="27">
        <v>6.99</v>
      </c>
      <c r="BF18" s="19">
        <v>645.29</v>
      </c>
      <c r="BG18" s="5"/>
      <c r="BH18" s="27">
        <v>6.99</v>
      </c>
      <c r="BI18" s="19">
        <v>644.8</v>
      </c>
      <c r="BJ18" s="5"/>
      <c r="BK18" s="27">
        <v>6.78</v>
      </c>
      <c r="BL18" s="19">
        <v>627.26</v>
      </c>
      <c r="BM18" s="5"/>
      <c r="BN18" s="27">
        <v>6.79</v>
      </c>
      <c r="BO18" s="19">
        <v>629</v>
      </c>
      <c r="BP18" s="32"/>
      <c r="BQ18" s="27">
        <f t="shared" si="0"/>
        <v>7.098409090909092</v>
      </c>
      <c r="BR18" s="19">
        <f t="shared" si="1"/>
        <v>671.5845454545454</v>
      </c>
      <c r="BS18" s="32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1/0.773</f>
        <v>1.2936610608020698</v>
      </c>
      <c r="D19" s="19">
        <v>74.59</v>
      </c>
      <c r="E19" s="5"/>
      <c r="F19" s="27">
        <f>1/0.7772</f>
        <v>1.2866700977869274</v>
      </c>
      <c r="G19" s="19">
        <v>74.71</v>
      </c>
      <c r="H19" s="5"/>
      <c r="I19" s="27">
        <f>1/0.7725</f>
        <v>1.2944983818770228</v>
      </c>
      <c r="J19" s="19">
        <v>74.34</v>
      </c>
      <c r="K19" s="5"/>
      <c r="L19" s="27">
        <f>1/0.777</f>
        <v>1.287001287001287</v>
      </c>
      <c r="M19" s="19">
        <v>74</v>
      </c>
      <c r="N19" s="5"/>
      <c r="O19" s="27">
        <f>1/0.7793</f>
        <v>1.2832028743744386</v>
      </c>
      <c r="P19" s="19">
        <v>73.78</v>
      </c>
      <c r="Q19" s="5"/>
      <c r="R19" s="27">
        <f>1/0.7597</f>
        <v>1.3163090693694879</v>
      </c>
      <c r="S19" s="19">
        <v>72.58</v>
      </c>
      <c r="T19" s="5"/>
      <c r="U19" s="27">
        <f>1/0.7553</f>
        <v>1.3239772275916855</v>
      </c>
      <c r="V19" s="19">
        <v>72.37</v>
      </c>
      <c r="W19" s="5"/>
      <c r="X19" s="27">
        <f>1/0.7472</f>
        <v>1.3383297644539616</v>
      </c>
      <c r="Y19" s="19">
        <v>72.29</v>
      </c>
      <c r="Z19" s="5"/>
      <c r="AA19" s="27">
        <f>1/0.7571</f>
        <v>1.320829480914014</v>
      </c>
      <c r="AB19" s="19">
        <v>72.98</v>
      </c>
      <c r="AC19" s="5"/>
      <c r="AD19" s="27">
        <f>1/0.7607</f>
        <v>1.3145786775338504</v>
      </c>
      <c r="AE19" s="19">
        <v>73.05</v>
      </c>
      <c r="AF19" s="5"/>
      <c r="AG19" s="27">
        <f>1/0.76</f>
        <v>1.3157894736842106</v>
      </c>
      <c r="AH19" s="19">
        <v>72.76</v>
      </c>
      <c r="AI19" s="5"/>
      <c r="AJ19" s="27">
        <f>1/1.7628</f>
        <v>0.5672793283412753</v>
      </c>
      <c r="AK19" s="19">
        <v>72.45</v>
      </c>
      <c r="AL19" s="5"/>
      <c r="AM19" s="27">
        <f>1/0.7606</f>
        <v>1.3147515119642386</v>
      </c>
      <c r="AN19" s="19">
        <v>72.12</v>
      </c>
      <c r="AO19" s="5"/>
      <c r="AP19" s="27">
        <f>1/1.763</f>
        <v>0.5672149744753262</v>
      </c>
      <c r="AQ19" s="19">
        <v>71.7</v>
      </c>
      <c r="AR19" s="5"/>
      <c r="AS19" s="27">
        <f>1/0.7666</f>
        <v>1.3044612575006522</v>
      </c>
      <c r="AT19" s="19">
        <v>71.8</v>
      </c>
      <c r="AU19" s="5"/>
      <c r="AV19" s="27">
        <f>1/0.7664</f>
        <v>1.3048016701461378</v>
      </c>
      <c r="AW19" s="19">
        <v>71.65</v>
      </c>
      <c r="AX19" s="18"/>
      <c r="AY19" s="27">
        <f>1/0.7658</f>
        <v>1.3058239749281797</v>
      </c>
      <c r="AZ19" s="19">
        <v>71.17</v>
      </c>
      <c r="BA19" s="18"/>
      <c r="BB19" s="27">
        <f>1/0.7698</f>
        <v>1.2990387113535982</v>
      </c>
      <c r="BC19" s="19">
        <v>70.85</v>
      </c>
      <c r="BD19" s="18"/>
      <c r="BE19" s="27">
        <f>1/0.78</f>
        <v>1.282051282051282</v>
      </c>
      <c r="BF19" s="19">
        <v>72.01</v>
      </c>
      <c r="BG19" s="18"/>
      <c r="BH19" s="27">
        <f>1/0.7796</f>
        <v>1.2827090815802977</v>
      </c>
      <c r="BI19" s="19">
        <v>71.91</v>
      </c>
      <c r="BJ19" s="18"/>
      <c r="BK19" s="27">
        <f>1/0.7747</f>
        <v>1.290822253775655</v>
      </c>
      <c r="BL19" s="19">
        <v>71.67</v>
      </c>
      <c r="BM19" s="18"/>
      <c r="BN19" s="27">
        <f>1/0.7794</f>
        <v>1.2830382345393894</v>
      </c>
      <c r="BO19" s="19">
        <v>72.2</v>
      </c>
      <c r="BP19" s="32"/>
      <c r="BQ19" s="27">
        <f t="shared" si="0"/>
        <v>1.2353108943656812</v>
      </c>
      <c r="BR19" s="19">
        <f t="shared" si="1"/>
        <v>72.59000000000002</v>
      </c>
      <c r="BS19" s="32"/>
      <c r="BT19" s="31"/>
      <c r="BU19" s="32"/>
    </row>
    <row r="20" spans="1:73" ht="15.75" customHeight="1">
      <c r="A20" s="16">
        <v>8</v>
      </c>
      <c r="B20" s="17" t="s">
        <v>21</v>
      </c>
      <c r="C20" s="27">
        <v>1.1875</v>
      </c>
      <c r="D20" s="19">
        <v>81.26</v>
      </c>
      <c r="E20" s="5"/>
      <c r="F20" s="27">
        <v>1.1872</v>
      </c>
      <c r="G20" s="19">
        <v>80.97</v>
      </c>
      <c r="H20" s="5"/>
      <c r="I20" s="27">
        <v>1.1924</v>
      </c>
      <c r="J20" s="19">
        <v>80.71</v>
      </c>
      <c r="K20" s="5"/>
      <c r="L20" s="27">
        <v>1.1948</v>
      </c>
      <c r="M20" s="19">
        <v>79.71</v>
      </c>
      <c r="N20" s="5"/>
      <c r="O20" s="27">
        <v>1.1941</v>
      </c>
      <c r="P20" s="19">
        <v>79.29</v>
      </c>
      <c r="Q20" s="5"/>
      <c r="R20" s="27">
        <v>1.2197</v>
      </c>
      <c r="S20" s="19">
        <v>78.33</v>
      </c>
      <c r="T20" s="5"/>
      <c r="U20" s="27">
        <v>1.2227</v>
      </c>
      <c r="V20" s="19">
        <v>78.36</v>
      </c>
      <c r="W20" s="5"/>
      <c r="X20" s="27">
        <v>1.2306</v>
      </c>
      <c r="Y20" s="19">
        <v>78.62</v>
      </c>
      <c r="Z20" s="5"/>
      <c r="AA20" s="27">
        <v>1.2252</v>
      </c>
      <c r="AB20" s="19">
        <v>78.68</v>
      </c>
      <c r="AC20" s="5"/>
      <c r="AD20" s="27">
        <v>1.2273</v>
      </c>
      <c r="AE20" s="19">
        <v>78.25</v>
      </c>
      <c r="AF20" s="5"/>
      <c r="AG20" s="27">
        <v>1.2306</v>
      </c>
      <c r="AH20" s="19">
        <v>77.8</v>
      </c>
      <c r="AI20" s="5"/>
      <c r="AJ20" s="27">
        <v>1.227</v>
      </c>
      <c r="AK20" s="19">
        <v>77.41</v>
      </c>
      <c r="AL20" s="5"/>
      <c r="AM20" s="27">
        <v>1.2288</v>
      </c>
      <c r="AN20" s="19">
        <v>77.17</v>
      </c>
      <c r="AO20" s="5"/>
      <c r="AP20" s="27">
        <v>1.2273</v>
      </c>
      <c r="AQ20" s="19">
        <v>76.56</v>
      </c>
      <c r="AR20" s="5"/>
      <c r="AS20" s="27">
        <v>1.224</v>
      </c>
      <c r="AT20" s="19">
        <v>76.53</v>
      </c>
      <c r="AU20" s="5"/>
      <c r="AV20" s="27">
        <v>1.2278</v>
      </c>
      <c r="AW20" s="19">
        <v>76.15</v>
      </c>
      <c r="AX20" s="5"/>
      <c r="AY20" s="27">
        <v>1.2375</v>
      </c>
      <c r="AZ20" s="19">
        <v>75.1</v>
      </c>
      <c r="BA20" s="5"/>
      <c r="BB20" s="27">
        <v>1.2293</v>
      </c>
      <c r="BC20" s="19">
        <v>74.87</v>
      </c>
      <c r="BD20" s="5"/>
      <c r="BE20" s="27">
        <v>1.2164</v>
      </c>
      <c r="BF20" s="19">
        <v>75.89</v>
      </c>
      <c r="BG20" s="5"/>
      <c r="BH20" s="27">
        <v>1.218</v>
      </c>
      <c r="BI20" s="19">
        <v>75.74</v>
      </c>
      <c r="BJ20" s="5"/>
      <c r="BK20" s="27">
        <v>1.2101</v>
      </c>
      <c r="BL20" s="19">
        <v>76.45</v>
      </c>
      <c r="BM20" s="5"/>
      <c r="BN20" s="27">
        <v>1.2043</v>
      </c>
      <c r="BO20" s="19">
        <v>76.92</v>
      </c>
      <c r="BP20" s="32"/>
      <c r="BQ20" s="27">
        <f t="shared" si="0"/>
        <v>1.216481818181818</v>
      </c>
      <c r="BR20" s="19">
        <f t="shared" si="1"/>
        <v>77.76227272727273</v>
      </c>
      <c r="BS20" s="32"/>
      <c r="BT20" s="31"/>
      <c r="BU20" s="32"/>
    </row>
    <row r="21" spans="1:73" ht="15.75" customHeight="1">
      <c r="A21" s="16">
        <v>9</v>
      </c>
      <c r="B21" s="17" t="s">
        <v>22</v>
      </c>
      <c r="C21" s="27">
        <v>6.7139</v>
      </c>
      <c r="D21" s="19">
        <v>14.37</v>
      </c>
      <c r="E21" s="5"/>
      <c r="F21" s="27">
        <v>6.7399</v>
      </c>
      <c r="G21" s="19">
        <v>14.26</v>
      </c>
      <c r="H21" s="5"/>
      <c r="I21" s="27">
        <v>6.7628</v>
      </c>
      <c r="J21" s="19">
        <v>14.23</v>
      </c>
      <c r="K21" s="5"/>
      <c r="L21" s="27">
        <v>6.617</v>
      </c>
      <c r="M21" s="19">
        <v>14.39</v>
      </c>
      <c r="N21" s="5"/>
      <c r="O21" s="27">
        <v>6.6103</v>
      </c>
      <c r="P21" s="19">
        <v>14.32</v>
      </c>
      <c r="Q21" s="5"/>
      <c r="R21" s="27">
        <v>6.7293</v>
      </c>
      <c r="S21" s="19">
        <v>14.2</v>
      </c>
      <c r="T21" s="5"/>
      <c r="U21" s="27">
        <v>6.748</v>
      </c>
      <c r="V21" s="19">
        <v>14.2</v>
      </c>
      <c r="W21" s="5"/>
      <c r="X21" s="27">
        <v>6.8543</v>
      </c>
      <c r="Y21" s="19">
        <v>14.12</v>
      </c>
      <c r="Z21" s="5"/>
      <c r="AA21" s="27">
        <v>6.7557</v>
      </c>
      <c r="AB21" s="19">
        <v>14.27</v>
      </c>
      <c r="AC21" s="5"/>
      <c r="AD21" s="27">
        <v>6.7112</v>
      </c>
      <c r="AE21" s="19">
        <v>14.31</v>
      </c>
      <c r="AF21" s="5"/>
      <c r="AG21" s="27">
        <v>6.7145</v>
      </c>
      <c r="AH21" s="19">
        <v>14.26</v>
      </c>
      <c r="AI21" s="5"/>
      <c r="AJ21" s="27">
        <v>6.7076</v>
      </c>
      <c r="AK21" s="19">
        <v>14.16</v>
      </c>
      <c r="AL21" s="5"/>
      <c r="AM21" s="27">
        <v>6.7595</v>
      </c>
      <c r="AN21" s="19">
        <v>14.03</v>
      </c>
      <c r="AO21" s="5"/>
      <c r="AP21" s="27">
        <v>6.7097</v>
      </c>
      <c r="AQ21" s="19">
        <v>14</v>
      </c>
      <c r="AR21" s="5"/>
      <c r="AS21" s="27">
        <v>6.688</v>
      </c>
      <c r="AT21" s="19">
        <v>14.01</v>
      </c>
      <c r="AU21" s="5"/>
      <c r="AV21" s="27">
        <v>6.7189</v>
      </c>
      <c r="AW21" s="19">
        <v>13.91</v>
      </c>
      <c r="AX21" s="5"/>
      <c r="AY21" s="27">
        <v>6.7149</v>
      </c>
      <c r="AZ21" s="19">
        <v>13.84</v>
      </c>
      <c r="BA21" s="5"/>
      <c r="BB21" s="27">
        <v>6.6655</v>
      </c>
      <c r="BC21" s="19">
        <v>13.81</v>
      </c>
      <c r="BD21" s="5"/>
      <c r="BE21" s="27">
        <v>6.6021</v>
      </c>
      <c r="BF21" s="19">
        <v>13.98</v>
      </c>
      <c r="BG21" s="5"/>
      <c r="BH21" s="27">
        <v>6.5809</v>
      </c>
      <c r="BI21" s="19">
        <v>14.02</v>
      </c>
      <c r="BJ21" s="5"/>
      <c r="BK21" s="27">
        <v>6.6086</v>
      </c>
      <c r="BL21" s="19">
        <v>14</v>
      </c>
      <c r="BM21" s="5"/>
      <c r="BN21" s="27">
        <v>6.608</v>
      </c>
      <c r="BO21" s="19">
        <v>14.02</v>
      </c>
      <c r="BP21" s="32"/>
      <c r="BQ21" s="27">
        <f t="shared" si="0"/>
        <v>6.696390909090908</v>
      </c>
      <c r="BR21" s="19">
        <f t="shared" si="1"/>
        <v>14.123181818181818</v>
      </c>
      <c r="BS21" s="32"/>
      <c r="BT21" s="31"/>
      <c r="BU21" s="32"/>
    </row>
    <row r="22" spans="1:73" ht="15.75" customHeight="1">
      <c r="A22" s="16">
        <v>10</v>
      </c>
      <c r="B22" s="17" t="s">
        <v>23</v>
      </c>
      <c r="C22" s="27">
        <v>6.1058</v>
      </c>
      <c r="D22" s="19">
        <v>15.8</v>
      </c>
      <c r="E22" s="5"/>
      <c r="F22" s="27">
        <v>6.1308</v>
      </c>
      <c r="G22" s="19">
        <v>15.68</v>
      </c>
      <c r="H22" s="5"/>
      <c r="I22" s="27">
        <v>6.174</v>
      </c>
      <c r="J22" s="19">
        <v>15.59</v>
      </c>
      <c r="K22" s="5"/>
      <c r="L22" s="27">
        <v>6.0542</v>
      </c>
      <c r="M22" s="19">
        <v>15.73</v>
      </c>
      <c r="N22" s="5"/>
      <c r="O22" s="27">
        <v>6.045</v>
      </c>
      <c r="P22" s="19">
        <v>15.66</v>
      </c>
      <c r="Q22" s="5"/>
      <c r="R22" s="27">
        <v>6.1536</v>
      </c>
      <c r="S22" s="19">
        <v>15.53</v>
      </c>
      <c r="T22" s="5"/>
      <c r="U22" s="27">
        <v>6.1769</v>
      </c>
      <c r="V22" s="19">
        <v>15.51</v>
      </c>
      <c r="W22" s="5"/>
      <c r="X22" s="27">
        <v>6.2503</v>
      </c>
      <c r="Y22" s="19">
        <v>15.48</v>
      </c>
      <c r="Z22" s="5"/>
      <c r="AA22" s="27">
        <v>6.1786</v>
      </c>
      <c r="AB22" s="19">
        <v>15.6</v>
      </c>
      <c r="AC22" s="5"/>
      <c r="AD22" s="27">
        <v>6.1586</v>
      </c>
      <c r="AE22" s="19">
        <v>15.59</v>
      </c>
      <c r="AF22" s="5"/>
      <c r="AG22" s="27">
        <v>6.1627</v>
      </c>
      <c r="AH22" s="19">
        <v>15.53</v>
      </c>
      <c r="AI22" s="5"/>
      <c r="AJ22" s="27">
        <v>6.1083</v>
      </c>
      <c r="AK22" s="19">
        <v>15.55</v>
      </c>
      <c r="AL22" s="5"/>
      <c r="AM22" s="27">
        <v>6.1748</v>
      </c>
      <c r="AN22" s="19">
        <v>15.36</v>
      </c>
      <c r="AO22" s="5"/>
      <c r="AP22" s="27">
        <v>6.1516</v>
      </c>
      <c r="AQ22" s="19">
        <v>15.28</v>
      </c>
      <c r="AR22" s="5"/>
      <c r="AS22" s="27">
        <v>6.1587</v>
      </c>
      <c r="AT22" s="19">
        <v>15.21</v>
      </c>
      <c r="AU22" s="5"/>
      <c r="AV22" s="27">
        <v>6.177</v>
      </c>
      <c r="AW22" s="19">
        <v>15.14</v>
      </c>
      <c r="AX22" s="5"/>
      <c r="AY22" s="27">
        <v>6.1591</v>
      </c>
      <c r="AZ22" s="19">
        <v>15.09</v>
      </c>
      <c r="BA22" s="5"/>
      <c r="BB22" s="27">
        <v>6.1153</v>
      </c>
      <c r="BC22" s="19">
        <v>15.05</v>
      </c>
      <c r="BD22" s="5"/>
      <c r="BE22" s="27">
        <v>6.0658</v>
      </c>
      <c r="BF22" s="19">
        <v>15.22</v>
      </c>
      <c r="BG22" s="5"/>
      <c r="BH22" s="27">
        <v>6.075</v>
      </c>
      <c r="BI22" s="19">
        <v>15.18</v>
      </c>
      <c r="BJ22" s="5"/>
      <c r="BK22" s="27">
        <v>6.0407</v>
      </c>
      <c r="BL22" s="19">
        <v>15.32</v>
      </c>
      <c r="BM22" s="5"/>
      <c r="BN22" s="27">
        <v>6.0405</v>
      </c>
      <c r="BO22" s="19">
        <v>15.34</v>
      </c>
      <c r="BP22" s="32"/>
      <c r="BQ22" s="27">
        <f t="shared" si="0"/>
        <v>6.129877272727273</v>
      </c>
      <c r="BR22" s="19">
        <f t="shared" si="1"/>
        <v>15.42909090909091</v>
      </c>
      <c r="BS22" s="32"/>
      <c r="BT22" s="31"/>
      <c r="BU22" s="32"/>
    </row>
    <row r="23" spans="1:73" ht="15.75" customHeight="1">
      <c r="A23" s="16">
        <v>11</v>
      </c>
      <c r="B23" s="17" t="s">
        <v>24</v>
      </c>
      <c r="C23" s="27">
        <v>5.5806</v>
      </c>
      <c r="D23" s="19">
        <v>17.29</v>
      </c>
      <c r="E23" s="5"/>
      <c r="F23" s="27">
        <v>5.579</v>
      </c>
      <c r="G23" s="19">
        <v>17.23</v>
      </c>
      <c r="H23" s="5"/>
      <c r="I23" s="27">
        <v>5.5959</v>
      </c>
      <c r="J23" s="19">
        <v>17.2</v>
      </c>
      <c r="K23" s="5"/>
      <c r="L23" s="27">
        <v>5.5231</v>
      </c>
      <c r="M23" s="19">
        <v>17.24</v>
      </c>
      <c r="N23" s="5"/>
      <c r="O23" s="27">
        <v>5.5156</v>
      </c>
      <c r="P23" s="19">
        <v>17.16</v>
      </c>
      <c r="Q23" s="5"/>
      <c r="R23" s="27">
        <v>5.5782</v>
      </c>
      <c r="S23" s="19">
        <v>17.13</v>
      </c>
      <c r="T23" s="5"/>
      <c r="U23" s="27">
        <v>5.5824</v>
      </c>
      <c r="V23" s="19">
        <v>17.16</v>
      </c>
      <c r="W23" s="5"/>
      <c r="X23" s="27">
        <v>5.6406</v>
      </c>
      <c r="Y23" s="19">
        <v>17.15</v>
      </c>
      <c r="Z23" s="5"/>
      <c r="AA23" s="27">
        <v>5.599</v>
      </c>
      <c r="AB23" s="19">
        <v>17.22</v>
      </c>
      <c r="AC23" s="5"/>
      <c r="AD23" s="27">
        <v>5.5829</v>
      </c>
      <c r="AE23" s="19">
        <v>17.2</v>
      </c>
      <c r="AF23" s="5"/>
      <c r="AG23" s="27">
        <v>5.563</v>
      </c>
      <c r="AH23" s="19">
        <v>17.21</v>
      </c>
      <c r="AI23" s="5"/>
      <c r="AJ23" s="27">
        <v>5.5516</v>
      </c>
      <c r="AK23" s="19">
        <v>17.11</v>
      </c>
      <c r="AL23" s="5"/>
      <c r="AM23" s="27">
        <v>5.588</v>
      </c>
      <c r="AN23" s="19">
        <v>16.97</v>
      </c>
      <c r="AO23" s="5"/>
      <c r="AP23" s="27">
        <v>5.5634</v>
      </c>
      <c r="AQ23" s="19">
        <v>16.89</v>
      </c>
      <c r="AR23" s="5"/>
      <c r="AS23" s="27">
        <v>5.5492</v>
      </c>
      <c r="AT23" s="19">
        <v>16.88</v>
      </c>
      <c r="AU23" s="5"/>
      <c r="AV23" s="27">
        <v>5.5479</v>
      </c>
      <c r="AW23" s="19">
        <v>16.85</v>
      </c>
      <c r="AX23" s="5"/>
      <c r="AY23" s="27">
        <v>5.5288</v>
      </c>
      <c r="AZ23" s="19">
        <v>16.81</v>
      </c>
      <c r="BA23" s="5"/>
      <c r="BB23" s="27">
        <v>5.4938</v>
      </c>
      <c r="BC23" s="19">
        <v>16.75</v>
      </c>
      <c r="BD23" s="5"/>
      <c r="BE23" s="27">
        <v>5.4554</v>
      </c>
      <c r="BF23" s="19">
        <v>16.92</v>
      </c>
      <c r="BG23" s="5"/>
      <c r="BH23" s="27">
        <v>5.4596</v>
      </c>
      <c r="BI23" s="19">
        <v>16.9</v>
      </c>
      <c r="BJ23" s="5"/>
      <c r="BK23" s="27">
        <v>5.4595</v>
      </c>
      <c r="BL23" s="19">
        <v>16.95</v>
      </c>
      <c r="BM23" s="5"/>
      <c r="BN23" s="27">
        <v>5.4518</v>
      </c>
      <c r="BO23" s="19">
        <v>16.99</v>
      </c>
      <c r="BP23" s="32"/>
      <c r="BQ23" s="27">
        <f t="shared" si="0"/>
        <v>5.544968181818183</v>
      </c>
      <c r="BR23" s="19">
        <f t="shared" si="1"/>
        <v>17.055</v>
      </c>
      <c r="BS23" s="32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1/1.5359</f>
        <v>0.6510840549514942</v>
      </c>
      <c r="D24" s="19">
        <v>148.21</v>
      </c>
      <c r="E24" s="5"/>
      <c r="F24" s="27">
        <f>1/1.53756</f>
        <v>0.6503811233382762</v>
      </c>
      <c r="G24" s="19">
        <v>147.8</v>
      </c>
      <c r="H24" s="5"/>
      <c r="I24" s="27">
        <f>1/1.5401</f>
        <v>0.6493084864619181</v>
      </c>
      <c r="J24" s="19">
        <v>148.22</v>
      </c>
      <c r="K24" s="5"/>
      <c r="L24" s="27">
        <f>1/1.53558</f>
        <v>0.6512197345628362</v>
      </c>
      <c r="M24" s="19">
        <v>146.24</v>
      </c>
      <c r="N24" s="5"/>
      <c r="O24" s="27">
        <f>1/1.54524</f>
        <v>0.6471486629908623</v>
      </c>
      <c r="P24" s="19">
        <v>146.3</v>
      </c>
      <c r="Q24" s="5"/>
      <c r="R24" s="27">
        <f>1/1.54647</f>
        <v>0.646633946988949</v>
      </c>
      <c r="S24" s="19">
        <v>147.75</v>
      </c>
      <c r="T24" s="5"/>
      <c r="U24" s="27">
        <f>1/1.53588</f>
        <v>0.6510925332708285</v>
      </c>
      <c r="V24" s="19">
        <v>147.16</v>
      </c>
      <c r="W24" s="5"/>
      <c r="X24" s="27">
        <f>1/1.53248</f>
        <v>0.6525370641052411</v>
      </c>
      <c r="Y24" s="19">
        <v>148.27</v>
      </c>
      <c r="Z24" s="5"/>
      <c r="AA24" s="27">
        <f>1/1.52419</f>
        <v>0.6560861834810621</v>
      </c>
      <c r="AB24" s="19">
        <v>146.93</v>
      </c>
      <c r="AC24" s="5"/>
      <c r="AD24" s="27">
        <f>1/1.53009</f>
        <v>0.6535563267520211</v>
      </c>
      <c r="AE24" s="19">
        <v>146.94</v>
      </c>
      <c r="AF24" s="5"/>
      <c r="AG24" s="27">
        <f>1/1.53431</f>
        <v>0.6517587710436613</v>
      </c>
      <c r="AH24" s="19">
        <v>146.89</v>
      </c>
      <c r="AI24" s="5"/>
      <c r="AJ24" s="27">
        <f>1/1.53803</f>
        <v>0.6501823761565119</v>
      </c>
      <c r="AK24" s="19">
        <v>146.08</v>
      </c>
      <c r="AL24" s="5"/>
      <c r="AM24" s="27">
        <f>1/1.54145</f>
        <v>0.6487398228940283</v>
      </c>
      <c r="AN24" s="19">
        <v>146.17</v>
      </c>
      <c r="AO24" s="5"/>
      <c r="AP24" s="27">
        <f>1/1.53351</f>
        <v>0.6520987799231828</v>
      </c>
      <c r="AQ24" s="19">
        <v>144.1</v>
      </c>
      <c r="AR24" s="5"/>
      <c r="AS24" s="27">
        <f>1/1.53908</f>
        <v>0.6497388050003898</v>
      </c>
      <c r="AT24" s="19">
        <v>144.16</v>
      </c>
      <c r="AU24" s="5"/>
      <c r="AV24" s="27">
        <f>1/1.53962</f>
        <v>0.6495109182785362</v>
      </c>
      <c r="AW24" s="19">
        <v>143.94</v>
      </c>
      <c r="AX24" s="5"/>
      <c r="AY24" s="27">
        <f>1/1.53529</f>
        <v>0.6513427430648281</v>
      </c>
      <c r="AZ24" s="19">
        <v>142.68</v>
      </c>
      <c r="BA24" s="5"/>
      <c r="BB24" s="27">
        <f>1/1.54117</f>
        <v>0.6488576860437201</v>
      </c>
      <c r="BC24" s="19">
        <v>141.85</v>
      </c>
      <c r="BD24" s="5"/>
      <c r="BE24" s="27">
        <f>1/1.55189</f>
        <v>0.6443755678559692</v>
      </c>
      <c r="BF24" s="19">
        <v>143.27</v>
      </c>
      <c r="BG24" s="5"/>
      <c r="BH24" s="27">
        <f>1/1.55089</f>
        <v>0.6447910554584786</v>
      </c>
      <c r="BI24" s="19">
        <v>143.06</v>
      </c>
      <c r="BJ24" s="5"/>
      <c r="BK24" s="27">
        <f>1/1.54899</f>
        <v>0.6455819598577137</v>
      </c>
      <c r="BL24" s="19">
        <v>143.31</v>
      </c>
      <c r="BM24" s="5"/>
      <c r="BN24" s="27">
        <f>1/1.54784</f>
        <v>0.6460616084349803</v>
      </c>
      <c r="BO24" s="19">
        <v>143.39</v>
      </c>
      <c r="BP24" s="32"/>
      <c r="BQ24" s="27">
        <f t="shared" si="0"/>
        <v>0.6496403732234312</v>
      </c>
      <c r="BR24" s="19">
        <f t="shared" si="1"/>
        <v>145.57818181818178</v>
      </c>
      <c r="BS24" s="32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96.5</v>
      </c>
      <c r="E25" s="21"/>
      <c r="F25" s="28">
        <v>1</v>
      </c>
      <c r="G25" s="22">
        <v>96.13</v>
      </c>
      <c r="H25" s="21"/>
      <c r="I25" s="28">
        <v>1</v>
      </c>
      <c r="J25" s="22">
        <v>96.24</v>
      </c>
      <c r="K25" s="21"/>
      <c r="L25" s="28">
        <v>1</v>
      </c>
      <c r="M25" s="22">
        <v>95.24</v>
      </c>
      <c r="N25" s="21"/>
      <c r="O25" s="28">
        <v>1</v>
      </c>
      <c r="P25" s="22">
        <v>94.68</v>
      </c>
      <c r="Q25" s="21"/>
      <c r="R25" s="28">
        <v>1</v>
      </c>
      <c r="S25" s="22">
        <v>95.54</v>
      </c>
      <c r="T25" s="21"/>
      <c r="U25" s="28">
        <v>1</v>
      </c>
      <c r="V25" s="22">
        <v>95.81</v>
      </c>
      <c r="W25" s="21"/>
      <c r="X25" s="28">
        <v>1</v>
      </c>
      <c r="Y25" s="22">
        <v>96.75</v>
      </c>
      <c r="Z25" s="21"/>
      <c r="AA25" s="28">
        <v>1</v>
      </c>
      <c r="AB25" s="22">
        <v>96.4</v>
      </c>
      <c r="AC25" s="21"/>
      <c r="AD25" s="28">
        <v>1</v>
      </c>
      <c r="AE25" s="22">
        <v>96.03</v>
      </c>
      <c r="AF25" s="21"/>
      <c r="AG25" s="28">
        <v>1</v>
      </c>
      <c r="AH25" s="22">
        <v>95.74</v>
      </c>
      <c r="AI25" s="21"/>
      <c r="AJ25" s="28">
        <v>1</v>
      </c>
      <c r="AK25" s="22">
        <v>94.98</v>
      </c>
      <c r="AL25" s="21"/>
      <c r="AM25" s="28">
        <v>1</v>
      </c>
      <c r="AN25" s="22">
        <v>94.82</v>
      </c>
      <c r="AO25" s="21"/>
      <c r="AP25" s="28">
        <v>1</v>
      </c>
      <c r="AQ25" s="22">
        <v>93.97</v>
      </c>
      <c r="AR25" s="21"/>
      <c r="AS25" s="28">
        <v>1</v>
      </c>
      <c r="AT25" s="22">
        <v>93.67</v>
      </c>
      <c r="AU25" s="21"/>
      <c r="AV25" s="28">
        <v>1</v>
      </c>
      <c r="AW25" s="22">
        <v>93.49</v>
      </c>
      <c r="AX25" s="21"/>
      <c r="AY25" s="28">
        <v>1</v>
      </c>
      <c r="AZ25" s="22">
        <v>92.93</v>
      </c>
      <c r="BA25" s="21"/>
      <c r="BB25" s="28">
        <v>1</v>
      </c>
      <c r="BC25" s="22">
        <v>92.04</v>
      </c>
      <c r="BD25" s="21"/>
      <c r="BE25" s="28">
        <v>1</v>
      </c>
      <c r="BF25" s="22">
        <v>92.32</v>
      </c>
      <c r="BG25" s="21"/>
      <c r="BH25" s="28">
        <v>1</v>
      </c>
      <c r="BI25" s="22">
        <v>92.25</v>
      </c>
      <c r="BJ25" s="21"/>
      <c r="BK25" s="28">
        <v>1</v>
      </c>
      <c r="BL25" s="22">
        <v>92.52</v>
      </c>
      <c r="BM25" s="21"/>
      <c r="BN25" s="28">
        <v>1</v>
      </c>
      <c r="BO25" s="22">
        <v>92.64</v>
      </c>
      <c r="BP25" s="22"/>
      <c r="BQ25" s="28">
        <f t="shared" si="0"/>
        <v>1</v>
      </c>
      <c r="BR25" s="22">
        <f t="shared" si="1"/>
        <v>94.57681818181818</v>
      </c>
      <c r="BS25" s="32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9"/>
      <c r="BL26" s="31"/>
      <c r="BM26" s="9"/>
      <c r="BN26" s="31"/>
      <c r="BO26" s="32"/>
      <c r="BP26" s="32"/>
      <c r="BQ26" s="31"/>
      <c r="BR26" s="32"/>
      <c r="BS26" s="32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&amp;L&amp;"Helv,Bold"&amp;11BANKA E SHQIPERISE
Sektori i Informacionit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13" sqref="BH13:BI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50</v>
      </c>
      <c r="D4" s="4"/>
      <c r="E4" s="10"/>
      <c r="F4" s="4" t="s">
        <v>51</v>
      </c>
      <c r="G4" s="4"/>
      <c r="H4" s="10"/>
      <c r="I4" s="4" t="s">
        <v>52</v>
      </c>
      <c r="J4" s="4"/>
      <c r="K4" s="10"/>
      <c r="L4" s="4" t="s">
        <v>53</v>
      </c>
      <c r="M4" s="4"/>
      <c r="N4" s="10"/>
      <c r="O4" s="4" t="s">
        <v>54</v>
      </c>
      <c r="P4" s="4"/>
      <c r="Q4" s="10"/>
      <c r="R4" s="4" t="s">
        <v>55</v>
      </c>
      <c r="S4" s="4"/>
      <c r="T4" s="10"/>
      <c r="U4" s="4" t="s">
        <v>56</v>
      </c>
      <c r="V4" s="4"/>
      <c r="W4" s="10"/>
      <c r="X4" s="4" t="s">
        <v>57</v>
      </c>
      <c r="Y4" s="4"/>
      <c r="Z4" s="10"/>
      <c r="AA4" s="4" t="s">
        <v>58</v>
      </c>
      <c r="AB4" s="4"/>
      <c r="AC4" s="10"/>
      <c r="AD4" s="4" t="s">
        <v>59</v>
      </c>
      <c r="AE4" s="4"/>
      <c r="AF4" s="10"/>
      <c r="AG4" s="4" t="s">
        <v>60</v>
      </c>
      <c r="AH4" s="4"/>
      <c r="AI4" s="10"/>
      <c r="AJ4" s="4" t="s">
        <v>61</v>
      </c>
      <c r="AK4" s="4"/>
      <c r="AL4" s="10"/>
      <c r="AM4" s="4" t="s">
        <v>62</v>
      </c>
      <c r="AN4" s="4"/>
      <c r="AO4" s="10"/>
      <c r="AP4" s="4" t="s">
        <v>63</v>
      </c>
      <c r="AQ4" s="4"/>
      <c r="AR4" s="10"/>
      <c r="AS4" s="4" t="s">
        <v>64</v>
      </c>
      <c r="AT4" s="4"/>
      <c r="AU4" s="10"/>
      <c r="AV4" s="4" t="s">
        <v>65</v>
      </c>
      <c r="AW4" s="4"/>
      <c r="AX4" s="10"/>
      <c r="AY4" s="4" t="s">
        <v>66</v>
      </c>
      <c r="AZ4" s="4"/>
      <c r="BA4" s="10"/>
      <c r="BB4" s="4" t="s">
        <v>67</v>
      </c>
      <c r="BC4" s="4"/>
      <c r="BD4" s="10"/>
      <c r="BE4" s="4" t="s">
        <v>68</v>
      </c>
      <c r="BF4" s="4"/>
      <c r="BG4" s="10"/>
      <c r="BH4" s="4" t="s">
        <v>3</v>
      </c>
      <c r="BI4" s="4"/>
      <c r="BJ4" s="26"/>
      <c r="BK4" s="37"/>
      <c r="BL4" s="37"/>
      <c r="BM4" s="38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38"/>
      <c r="BL5" s="38"/>
      <c r="BM5" s="38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9"/>
      <c r="BL6" s="9"/>
      <c r="BM6" s="9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39"/>
      <c r="BL7" s="39"/>
      <c r="BM7" s="39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39"/>
      <c r="BL8" s="39"/>
      <c r="BM8" s="39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39"/>
      <c r="BL9" s="39"/>
      <c r="BM9" s="39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39"/>
      <c r="BL10" s="39"/>
      <c r="BM10" s="39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9"/>
      <c r="BL11" s="9"/>
      <c r="BM11" s="9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9"/>
      <c r="BL12" s="9"/>
      <c r="BM12" s="9"/>
    </row>
    <row r="13" spans="1:65" ht="15.75" customHeight="1">
      <c r="A13" s="16">
        <v>1</v>
      </c>
      <c r="B13" s="17" t="s">
        <v>14</v>
      </c>
      <c r="C13" s="27">
        <v>105.31</v>
      </c>
      <c r="D13" s="19">
        <v>100.8</v>
      </c>
      <c r="E13" s="5"/>
      <c r="F13" s="27">
        <v>105.41</v>
      </c>
      <c r="G13" s="19">
        <v>100.67</v>
      </c>
      <c r="H13" s="5"/>
      <c r="I13" s="27">
        <v>105.43</v>
      </c>
      <c r="J13" s="19">
        <v>100.67</v>
      </c>
      <c r="K13" s="5"/>
      <c r="L13" s="27">
        <v>106.59</v>
      </c>
      <c r="M13" s="19">
        <v>99.62</v>
      </c>
      <c r="N13" s="5"/>
      <c r="O13" s="27">
        <v>105.58</v>
      </c>
      <c r="P13" s="19">
        <v>99.84</v>
      </c>
      <c r="Q13" s="5"/>
      <c r="R13" s="27">
        <v>105.39</v>
      </c>
      <c r="S13" s="19">
        <v>99.74</v>
      </c>
      <c r="T13" s="5"/>
      <c r="U13" s="27">
        <v>105.5</v>
      </c>
      <c r="V13" s="19">
        <v>99.9</v>
      </c>
      <c r="W13" s="5"/>
      <c r="X13" s="27">
        <v>105.48</v>
      </c>
      <c r="Y13" s="19">
        <v>99.16</v>
      </c>
      <c r="Z13" s="5"/>
      <c r="AA13" s="27">
        <v>105.34</v>
      </c>
      <c r="AB13" s="19">
        <v>99.12</v>
      </c>
      <c r="AC13" s="5"/>
      <c r="AD13" s="27">
        <v>105.47</v>
      </c>
      <c r="AE13" s="19">
        <v>98.9</v>
      </c>
      <c r="AF13" s="5"/>
      <c r="AG13" s="27">
        <v>105.5</v>
      </c>
      <c r="AH13" s="19">
        <v>98.59</v>
      </c>
      <c r="AI13" s="5"/>
      <c r="AJ13" s="27">
        <v>105.66</v>
      </c>
      <c r="AK13" s="19">
        <v>97.98</v>
      </c>
      <c r="AL13" s="5"/>
      <c r="AM13" s="27">
        <v>106.91</v>
      </c>
      <c r="AN13" s="19">
        <v>97.75</v>
      </c>
      <c r="AO13" s="5"/>
      <c r="AP13" s="27">
        <v>107.8</v>
      </c>
      <c r="AQ13" s="19">
        <v>97.32</v>
      </c>
      <c r="AR13" s="5"/>
      <c r="AS13" s="27">
        <v>108.41</v>
      </c>
      <c r="AT13" s="19">
        <v>97.35</v>
      </c>
      <c r="AU13" s="5"/>
      <c r="AV13" s="27">
        <v>108.34</v>
      </c>
      <c r="AW13" s="19">
        <v>97.2</v>
      </c>
      <c r="AX13" s="5"/>
      <c r="AY13" s="27">
        <v>108.45</v>
      </c>
      <c r="AZ13" s="19">
        <v>96.46</v>
      </c>
      <c r="BA13" s="5"/>
      <c r="BB13" s="27">
        <v>109.73</v>
      </c>
      <c r="BC13" s="19">
        <v>96.22</v>
      </c>
      <c r="BD13" s="5"/>
      <c r="BE13" s="27">
        <v>109.03</v>
      </c>
      <c r="BF13" s="19">
        <v>96.98</v>
      </c>
      <c r="BG13" s="5"/>
      <c r="BH13" s="27">
        <f>(+C13+F13+I13+L13+O13+R13+U13+X13+AA13+AD13+AG13+AJ13+AM13+AP13+AS13+AV13+AY13+BB13+BE13)/19</f>
        <v>106.59631578947369</v>
      </c>
      <c r="BI13" s="19">
        <f>(+D13+G13+J13+M13+P13+S13+V13+Y13+AB13+AE13+AH13+AK13+AN13+AQ13+AT13+AW13+AZ13+BC13+BF13)/19</f>
        <v>98.6457894736842</v>
      </c>
      <c r="BJ13" s="5"/>
      <c r="BK13" s="31"/>
      <c r="BL13" s="31"/>
      <c r="BM13" s="9"/>
    </row>
    <row r="14" spans="1:65" ht="15.75" customHeight="1">
      <c r="A14" s="16">
        <v>2</v>
      </c>
      <c r="B14" s="17" t="s">
        <v>15</v>
      </c>
      <c r="C14" s="27">
        <f>1/1.8357</f>
        <v>0.5447513210219534</v>
      </c>
      <c r="D14" s="19">
        <v>194.86</v>
      </c>
      <c r="E14" s="5"/>
      <c r="F14" s="27">
        <f>1/1.8372</f>
        <v>0.5443065534509036</v>
      </c>
      <c r="G14" s="19">
        <v>194.96</v>
      </c>
      <c r="H14" s="5"/>
      <c r="I14" s="27">
        <f>1/1.8333</f>
        <v>0.5454644629902362</v>
      </c>
      <c r="J14" s="19">
        <v>194.57</v>
      </c>
      <c r="K14" s="5"/>
      <c r="L14" s="27">
        <f>1/1.8339</f>
        <v>0.5452860025083156</v>
      </c>
      <c r="M14" s="19">
        <v>194.73</v>
      </c>
      <c r="N14" s="5"/>
      <c r="O14" s="27">
        <f>1/1.8577</f>
        <v>0.5383000484470044</v>
      </c>
      <c r="P14" s="19">
        <v>195.82</v>
      </c>
      <c r="Q14" s="5"/>
      <c r="R14" s="27">
        <f>1/1.8674</f>
        <v>0.535503909178537</v>
      </c>
      <c r="S14" s="19">
        <v>196.29</v>
      </c>
      <c r="T14" s="5"/>
      <c r="U14" s="27">
        <f>1/1.8707</f>
        <v>0.5345592558935158</v>
      </c>
      <c r="V14" s="19">
        <v>197.17</v>
      </c>
      <c r="W14" s="5"/>
      <c r="X14" s="27">
        <f>1/1.8917</f>
        <v>0.5286250462546915</v>
      </c>
      <c r="Y14" s="19">
        <v>197.86</v>
      </c>
      <c r="Z14" s="5"/>
      <c r="AA14" s="27">
        <f>1/1.8919</f>
        <v>0.5285691632750146</v>
      </c>
      <c r="AB14" s="19">
        <v>197.54</v>
      </c>
      <c r="AC14" s="5"/>
      <c r="AD14" s="27">
        <f>1/1.8881</f>
        <v>0.5296329643557015</v>
      </c>
      <c r="AE14" s="19">
        <v>196.94</v>
      </c>
      <c r="AF14" s="5"/>
      <c r="AG14" s="27">
        <f>1/1.9003</f>
        <v>0.5262327000999842</v>
      </c>
      <c r="AH14" s="19">
        <v>197.66</v>
      </c>
      <c r="AI14" s="5"/>
      <c r="AJ14" s="27">
        <f>1/1.9121</f>
        <v>0.5229851995188537</v>
      </c>
      <c r="AK14" s="19">
        <v>197.95</v>
      </c>
      <c r="AL14" s="5"/>
      <c r="AM14" s="27">
        <f>1/1.8921</f>
        <v>0.5285132921092965</v>
      </c>
      <c r="AN14" s="19">
        <v>197.72</v>
      </c>
      <c r="AO14" s="5"/>
      <c r="AP14" s="27">
        <f>1/1.8825</f>
        <v>0.5312084993359893</v>
      </c>
      <c r="AQ14" s="19">
        <v>197.5</v>
      </c>
      <c r="AR14" s="5"/>
      <c r="AS14" s="27">
        <f>1/1.8576</f>
        <v>0.5383290267011197</v>
      </c>
      <c r="AT14" s="19">
        <v>196.04</v>
      </c>
      <c r="AU14" s="5"/>
      <c r="AV14" s="27">
        <f>1/1.8742</f>
        <v>0.5335609860207021</v>
      </c>
      <c r="AW14" s="19">
        <v>197.38</v>
      </c>
      <c r="AX14" s="5"/>
      <c r="AY14" s="27">
        <f>1/1.8913</f>
        <v>0.5287368476709142</v>
      </c>
      <c r="AZ14" s="19">
        <v>197.85</v>
      </c>
      <c r="BA14" s="5"/>
      <c r="BB14" s="27">
        <f>1/1.8635</f>
        <v>0.5366246310705661</v>
      </c>
      <c r="BC14" s="19">
        <v>196.75</v>
      </c>
      <c r="BD14" s="5"/>
      <c r="BE14" s="27">
        <f>1/1.8487</f>
        <v>0.5409206469410938</v>
      </c>
      <c r="BF14" s="19">
        <v>195.47</v>
      </c>
      <c r="BG14" s="5"/>
      <c r="BH14" s="27">
        <f aca="true" t="shared" si="0" ref="BH14:BH25">(+C14+F14+I14+L14+O14+R14+U14+X14+AA14+AD14+AG14+AJ14+AM14+AP14+AS14+AV14+AY14+BB14+BE14)/19</f>
        <v>0.534847924044442</v>
      </c>
      <c r="BI14" s="19">
        <f aca="true" t="shared" si="1" ref="BI14:BI25">(+D14+G14+J14+M14+P14+S14+V14+Y14+AB14+AE14+AH14+AK14+AN14+AQ14+AT14+AW14+AZ14+BC14+BF14)/19</f>
        <v>196.58210526315787</v>
      </c>
      <c r="BJ14" s="5"/>
      <c r="BK14" s="31"/>
      <c r="BL14" s="31"/>
      <c r="BM14" s="9"/>
    </row>
    <row r="15" spans="1:65" ht="15.75" customHeight="1">
      <c r="A15" s="16">
        <v>3</v>
      </c>
      <c r="B15" s="17" t="s">
        <v>16</v>
      </c>
      <c r="C15" s="27">
        <v>1.2472</v>
      </c>
      <c r="D15" s="19">
        <v>85.11</v>
      </c>
      <c r="E15" s="5"/>
      <c r="F15" s="27">
        <v>1.2497</v>
      </c>
      <c r="G15" s="19">
        <v>84.91</v>
      </c>
      <c r="H15" s="5"/>
      <c r="I15" s="27">
        <v>1.2471</v>
      </c>
      <c r="J15" s="19">
        <v>85.1</v>
      </c>
      <c r="K15" s="5"/>
      <c r="L15" s="27">
        <v>1.2528</v>
      </c>
      <c r="M15" s="19">
        <v>84.76</v>
      </c>
      <c r="N15" s="5"/>
      <c r="O15" s="27">
        <v>1.3225</v>
      </c>
      <c r="P15" s="19">
        <v>85.52</v>
      </c>
      <c r="Q15" s="5"/>
      <c r="R15" s="27">
        <v>1.2281</v>
      </c>
      <c r="S15" s="19">
        <v>85.59</v>
      </c>
      <c r="T15" s="5"/>
      <c r="U15" s="27">
        <v>1.2389</v>
      </c>
      <c r="V15" s="19">
        <v>85.07</v>
      </c>
      <c r="W15" s="5"/>
      <c r="X15" s="27">
        <v>1.231</v>
      </c>
      <c r="Y15" s="19">
        <v>84.96</v>
      </c>
      <c r="Z15" s="5"/>
      <c r="AA15" s="27">
        <v>1.2311</v>
      </c>
      <c r="AB15" s="19">
        <v>84.82</v>
      </c>
      <c r="AC15" s="5"/>
      <c r="AD15" s="27">
        <v>1.236</v>
      </c>
      <c r="AE15" s="19">
        <v>84.39</v>
      </c>
      <c r="AF15" s="5"/>
      <c r="AG15" s="27">
        <v>1.2253</v>
      </c>
      <c r="AH15" s="19">
        <v>84.89</v>
      </c>
      <c r="AI15" s="5"/>
      <c r="AJ15" s="27">
        <v>1.2212</v>
      </c>
      <c r="AK15" s="19">
        <v>84.77</v>
      </c>
      <c r="AL15" s="5"/>
      <c r="AM15" s="27">
        <v>1.2393</v>
      </c>
      <c r="AN15" s="19">
        <v>84.32</v>
      </c>
      <c r="AO15" s="5"/>
      <c r="AP15" s="27">
        <v>1.245</v>
      </c>
      <c r="AQ15" s="19">
        <v>84.27</v>
      </c>
      <c r="AR15" s="5"/>
      <c r="AS15" s="27">
        <v>1.2567</v>
      </c>
      <c r="AT15" s="19">
        <v>83.98</v>
      </c>
      <c r="AU15" s="5"/>
      <c r="AV15" s="27">
        <v>1.2514</v>
      </c>
      <c r="AW15" s="19">
        <v>84.16</v>
      </c>
      <c r="AX15" s="5"/>
      <c r="AY15" s="27">
        <v>1.243</v>
      </c>
      <c r="AZ15" s="19">
        <v>84.16</v>
      </c>
      <c r="BA15" s="5"/>
      <c r="BB15" s="27">
        <v>1.2669</v>
      </c>
      <c r="BC15" s="19">
        <v>83.34</v>
      </c>
      <c r="BD15" s="5"/>
      <c r="BE15" s="27">
        <v>1.2747</v>
      </c>
      <c r="BF15" s="19">
        <v>82.95</v>
      </c>
      <c r="BG15" s="5"/>
      <c r="BH15" s="27">
        <f t="shared" si="0"/>
        <v>1.2477842105263157</v>
      </c>
      <c r="BI15" s="19">
        <f t="shared" si="1"/>
        <v>84.58263157894737</v>
      </c>
      <c r="BJ15" s="5"/>
      <c r="BK15" s="31"/>
      <c r="BL15" s="31"/>
      <c r="BM15" s="9"/>
    </row>
    <row r="16" spans="1:65" ht="15.75" customHeight="1">
      <c r="A16" s="16">
        <v>4</v>
      </c>
      <c r="B16" s="17" t="s">
        <v>17</v>
      </c>
      <c r="C16" s="27">
        <f>1/1.2547</f>
        <v>0.7970032677133977</v>
      </c>
      <c r="D16" s="19">
        <v>133.19</v>
      </c>
      <c r="E16" s="5"/>
      <c r="F16" s="27">
        <f>1/1.2547</f>
        <v>0.7970032677133977</v>
      </c>
      <c r="G16" s="19">
        <v>133.14</v>
      </c>
      <c r="H16" s="5"/>
      <c r="I16" s="27">
        <f>1/1.2576</f>
        <v>0.7951653944020356</v>
      </c>
      <c r="J16" s="19">
        <v>133.47</v>
      </c>
      <c r="K16" s="5"/>
      <c r="L16" s="27">
        <f>1/1.2528</f>
        <v>0.7982120051085568</v>
      </c>
      <c r="M16" s="19">
        <v>133.03</v>
      </c>
      <c r="N16" s="5"/>
      <c r="O16" s="27">
        <f>1/1.2732</f>
        <v>0.7854225573358466</v>
      </c>
      <c r="P16" s="19">
        <v>134.21</v>
      </c>
      <c r="Q16" s="5"/>
      <c r="R16" s="27">
        <f>1/1.2762</f>
        <v>0.7835762419683435</v>
      </c>
      <c r="S16" s="19">
        <v>134.15</v>
      </c>
      <c r="T16" s="5"/>
      <c r="U16" s="27">
        <f>1/1.2683</f>
        <v>0.7884569896712135</v>
      </c>
      <c r="V16" s="19">
        <v>133.68</v>
      </c>
      <c r="W16" s="5"/>
      <c r="X16" s="27">
        <f>1/1.2803</f>
        <v>0.7810669374365383</v>
      </c>
      <c r="Y16" s="19">
        <v>133.91</v>
      </c>
      <c r="Z16" s="5"/>
      <c r="AA16" s="27">
        <f>1/1.282</f>
        <v>0.7800312012480499</v>
      </c>
      <c r="AB16" s="19">
        <v>133.86</v>
      </c>
      <c r="AC16" s="5"/>
      <c r="AD16" s="27">
        <f>1/1.2751</f>
        <v>0.7842522155125089</v>
      </c>
      <c r="AE16" s="19">
        <v>133</v>
      </c>
      <c r="AF16" s="5"/>
      <c r="AG16" s="27">
        <f>1/1.2842</f>
        <v>0.778694907335306</v>
      </c>
      <c r="AH16" s="19">
        <v>133.58</v>
      </c>
      <c r="AI16" s="5"/>
      <c r="AJ16" s="27">
        <f>1/1.2891</f>
        <v>0.7757350089209527</v>
      </c>
      <c r="AK16" s="19">
        <v>133.46</v>
      </c>
      <c r="AL16" s="5"/>
      <c r="AM16" s="27">
        <f>1/1.2713</f>
        <v>0.7865963973884998</v>
      </c>
      <c r="AN16" s="19">
        <v>132.85</v>
      </c>
      <c r="AO16" s="5"/>
      <c r="AP16" s="27">
        <f>1/1.2656</f>
        <v>0.7901390644753477</v>
      </c>
      <c r="AQ16" s="19">
        <v>132.78</v>
      </c>
      <c r="AR16" s="5"/>
      <c r="AS16" s="27">
        <f>1/1.2554</f>
        <v>0.7965588657001752</v>
      </c>
      <c r="AT16" s="19">
        <v>132.49</v>
      </c>
      <c r="AU16" s="5"/>
      <c r="AV16" s="27">
        <f>1/1.2589</f>
        <v>0.7943442688061007</v>
      </c>
      <c r="AW16" s="19">
        <v>132.58</v>
      </c>
      <c r="AX16" s="5"/>
      <c r="AY16" s="27">
        <f>1/1.2664</f>
        <v>0.7896399241945673</v>
      </c>
      <c r="AZ16" s="19">
        <v>132.48</v>
      </c>
      <c r="BA16" s="5"/>
      <c r="BB16" s="27">
        <f>1/1.2419</f>
        <v>0.8052178114179885</v>
      </c>
      <c r="BC16" s="19">
        <v>131.12</v>
      </c>
      <c r="BD16" s="5"/>
      <c r="BE16" s="27">
        <f>1/1.2385</f>
        <v>0.8074283407347599</v>
      </c>
      <c r="BF16" s="19">
        <v>130.95</v>
      </c>
      <c r="BG16" s="5"/>
      <c r="BH16" s="27">
        <f t="shared" si="0"/>
        <v>0.7902391930043993</v>
      </c>
      <c r="BI16" s="19">
        <f t="shared" si="1"/>
        <v>133.048947368421</v>
      </c>
      <c r="BJ16" s="5"/>
      <c r="BK16" s="31"/>
      <c r="BL16" s="31"/>
      <c r="BM16" s="9"/>
    </row>
    <row r="17" spans="1:65" ht="15.75" customHeight="1">
      <c r="A17" s="16">
        <v>5</v>
      </c>
      <c r="B17" s="17" t="s">
        <v>18</v>
      </c>
      <c r="C17" s="27">
        <v>401.8</v>
      </c>
      <c r="D17" s="19">
        <v>42651.07</v>
      </c>
      <c r="E17" s="5"/>
      <c r="F17" s="27">
        <v>399.4</v>
      </c>
      <c r="G17" s="19">
        <v>42382.66</v>
      </c>
      <c r="H17" s="5"/>
      <c r="I17" s="27">
        <v>399.5</v>
      </c>
      <c r="J17" s="19">
        <v>42400.27</v>
      </c>
      <c r="K17" s="5"/>
      <c r="L17" s="27">
        <v>396.1</v>
      </c>
      <c r="M17" s="19">
        <v>42058.89</v>
      </c>
      <c r="N17" s="5"/>
      <c r="O17" s="27">
        <v>406.6</v>
      </c>
      <c r="P17" s="19">
        <v>42859.03</v>
      </c>
      <c r="Q17" s="5"/>
      <c r="R17" s="27">
        <v>408</v>
      </c>
      <c r="S17" s="19">
        <v>42886.24</v>
      </c>
      <c r="T17" s="5"/>
      <c r="U17" s="27">
        <v>406.3</v>
      </c>
      <c r="V17" s="19">
        <v>42823.68</v>
      </c>
      <c r="W17" s="5"/>
      <c r="X17" s="27">
        <v>411.25</v>
      </c>
      <c r="Y17" s="19">
        <v>43013.32</v>
      </c>
      <c r="Z17" s="5"/>
      <c r="AA17" s="27">
        <v>412</v>
      </c>
      <c r="AB17" s="19">
        <v>43019.32</v>
      </c>
      <c r="AC17" s="5"/>
      <c r="AD17" s="27">
        <v>410.25</v>
      </c>
      <c r="AE17" s="19">
        <v>42791.47</v>
      </c>
      <c r="AF17" s="5"/>
      <c r="AG17" s="27">
        <v>413.5</v>
      </c>
      <c r="AH17" s="19">
        <v>43011.24</v>
      </c>
      <c r="AI17" s="5"/>
      <c r="AJ17" s="27">
        <v>415.75</v>
      </c>
      <c r="AK17" s="19">
        <v>43041.21</v>
      </c>
      <c r="AL17" s="5"/>
      <c r="AM17" s="27">
        <v>410</v>
      </c>
      <c r="AN17" s="19">
        <v>42845</v>
      </c>
      <c r="AO17" s="5"/>
      <c r="AP17" s="27">
        <v>408</v>
      </c>
      <c r="AQ17" s="19">
        <v>42805.32</v>
      </c>
      <c r="AR17" s="5"/>
      <c r="AS17" s="27">
        <v>399.5</v>
      </c>
      <c r="AT17" s="19">
        <v>42160.23</v>
      </c>
      <c r="AU17" s="5"/>
      <c r="AV17" s="27">
        <v>401.3</v>
      </c>
      <c r="AW17" s="19">
        <v>42261.57</v>
      </c>
      <c r="AX17" s="5"/>
      <c r="AY17" s="27">
        <v>403</v>
      </c>
      <c r="AZ17" s="19">
        <v>42158.5</v>
      </c>
      <c r="BA17" s="5"/>
      <c r="BB17" s="27">
        <v>394.25</v>
      </c>
      <c r="BC17" s="19">
        <v>41624.26</v>
      </c>
      <c r="BD17" s="5"/>
      <c r="BE17" s="27">
        <v>392.1</v>
      </c>
      <c r="BF17" s="19">
        <v>41458.69</v>
      </c>
      <c r="BG17" s="5"/>
      <c r="BH17" s="27">
        <f t="shared" si="0"/>
        <v>404.6631578947369</v>
      </c>
      <c r="BI17" s="19">
        <f t="shared" si="1"/>
        <v>42539.57736842105</v>
      </c>
      <c r="BJ17" s="5"/>
      <c r="BK17" s="31"/>
      <c r="BL17" s="31"/>
      <c r="BM17" s="9"/>
    </row>
    <row r="18" spans="1:65" ht="15.75" customHeight="1">
      <c r="A18" s="16">
        <v>6</v>
      </c>
      <c r="B18" s="20" t="s">
        <v>19</v>
      </c>
      <c r="C18" s="27">
        <v>6.12</v>
      </c>
      <c r="D18" s="19">
        <v>649.64</v>
      </c>
      <c r="E18" s="5"/>
      <c r="F18" s="27">
        <v>6.11</v>
      </c>
      <c r="G18" s="19">
        <v>648.37</v>
      </c>
      <c r="H18" s="5"/>
      <c r="I18" s="27">
        <v>6.14</v>
      </c>
      <c r="J18" s="19">
        <v>651.66</v>
      </c>
      <c r="K18" s="5"/>
      <c r="L18" s="27">
        <v>6.09</v>
      </c>
      <c r="M18" s="19">
        <v>646.65</v>
      </c>
      <c r="N18" s="5"/>
      <c r="O18" s="27">
        <v>6.33</v>
      </c>
      <c r="P18" s="19">
        <v>667.23</v>
      </c>
      <c r="Q18" s="5"/>
      <c r="R18" s="27">
        <v>6.42</v>
      </c>
      <c r="S18" s="19">
        <v>674.83</v>
      </c>
      <c r="T18" s="5"/>
      <c r="U18" s="27">
        <v>6.31</v>
      </c>
      <c r="V18" s="19">
        <v>665.07</v>
      </c>
      <c r="W18" s="5"/>
      <c r="X18" s="27">
        <v>6.54</v>
      </c>
      <c r="Y18" s="19">
        <v>684.03</v>
      </c>
      <c r="Z18" s="5"/>
      <c r="AA18" s="27">
        <v>6.57</v>
      </c>
      <c r="AB18" s="19">
        <v>686.01</v>
      </c>
      <c r="AC18" s="5"/>
      <c r="AD18" s="27">
        <v>6.55</v>
      </c>
      <c r="AE18" s="19">
        <v>683.2</v>
      </c>
      <c r="AF18" s="5"/>
      <c r="AG18" s="27">
        <v>6.63</v>
      </c>
      <c r="AH18" s="19">
        <v>689.64</v>
      </c>
      <c r="AI18" s="5"/>
      <c r="AJ18" s="27">
        <v>6.82</v>
      </c>
      <c r="AK18" s="19">
        <v>706.05</v>
      </c>
      <c r="AL18" s="5"/>
      <c r="AM18" s="27">
        <v>6.62</v>
      </c>
      <c r="AN18" s="19">
        <v>691.79</v>
      </c>
      <c r="AO18" s="5"/>
      <c r="AP18" s="27">
        <v>6.59</v>
      </c>
      <c r="AQ18" s="19">
        <v>691.39</v>
      </c>
      <c r="AR18" s="5"/>
      <c r="AS18" s="27">
        <v>6.47</v>
      </c>
      <c r="AT18" s="19">
        <v>682.8</v>
      </c>
      <c r="AU18" s="5"/>
      <c r="AV18" s="27">
        <v>6.49</v>
      </c>
      <c r="AW18" s="19">
        <v>683.47</v>
      </c>
      <c r="AX18" s="5"/>
      <c r="AY18" s="27">
        <v>6.72</v>
      </c>
      <c r="AZ18" s="19">
        <v>702.99</v>
      </c>
      <c r="BA18" s="5"/>
      <c r="BB18" s="27">
        <v>6.46</v>
      </c>
      <c r="BC18" s="19">
        <v>682.04</v>
      </c>
      <c r="BD18" s="5"/>
      <c r="BE18" s="27">
        <v>6.58</v>
      </c>
      <c r="BF18" s="19">
        <v>695.74</v>
      </c>
      <c r="BG18" s="5"/>
      <c r="BH18" s="27">
        <f t="shared" si="0"/>
        <v>6.450526315789473</v>
      </c>
      <c r="BI18" s="19">
        <f t="shared" si="1"/>
        <v>678.0315789473683</v>
      </c>
      <c r="BJ18" s="5"/>
      <c r="BK18" s="31"/>
      <c r="BL18" s="31"/>
      <c r="BM18" s="9"/>
    </row>
    <row r="19" spans="1:65" ht="15.75" customHeight="1">
      <c r="A19" s="16">
        <v>7</v>
      </c>
      <c r="B19" s="17" t="s">
        <v>20</v>
      </c>
      <c r="C19" s="27">
        <f>1/0.766</f>
        <v>1.3054830287206267</v>
      </c>
      <c r="D19" s="19">
        <v>81.31</v>
      </c>
      <c r="E19" s="5"/>
      <c r="F19" s="27">
        <f>1/0.7624</f>
        <v>1.311647429171039</v>
      </c>
      <c r="G19" s="19">
        <v>80.9</v>
      </c>
      <c r="H19" s="5"/>
      <c r="I19" s="27">
        <f>1/0.7635</f>
        <v>1.309757694826457</v>
      </c>
      <c r="J19" s="19">
        <v>81.03</v>
      </c>
      <c r="K19" s="5"/>
      <c r="L19" s="27">
        <f>1/0.7623</f>
        <v>1.3118194936376755</v>
      </c>
      <c r="M19" s="19">
        <v>80.94</v>
      </c>
      <c r="N19" s="5"/>
      <c r="O19" s="27">
        <f>1/0.7753</f>
        <v>1.2898232942086933</v>
      </c>
      <c r="P19" s="19">
        <v>81.72</v>
      </c>
      <c r="Q19" s="5"/>
      <c r="R19" s="27">
        <f>1/0.7813</f>
        <v>1.2799180852425445</v>
      </c>
      <c r="S19" s="19">
        <v>82.13</v>
      </c>
      <c r="T19" s="5"/>
      <c r="U19" s="27">
        <f>1/0.7767</f>
        <v>1.2874983906270119</v>
      </c>
      <c r="V19" s="19">
        <v>81.86</v>
      </c>
      <c r="W19" s="5"/>
      <c r="X19" s="27">
        <f>1/0.786</f>
        <v>1.272264631043257</v>
      </c>
      <c r="Y19" s="19">
        <v>82.21</v>
      </c>
      <c r="Z19" s="5"/>
      <c r="AA19" s="27">
        <f>1/0.7921</f>
        <v>1.2624668602449185</v>
      </c>
      <c r="AB19" s="19">
        <v>82.71</v>
      </c>
      <c r="AC19" s="5"/>
      <c r="AD19" s="27">
        <f>1/0.7909</f>
        <v>1.2643823492224049</v>
      </c>
      <c r="AE19" s="19">
        <v>82.5</v>
      </c>
      <c r="AF19" s="5"/>
      <c r="AG19" s="27">
        <f>1/0.7965</f>
        <v>1.2554927809165097</v>
      </c>
      <c r="AH19" s="19">
        <v>82.85</v>
      </c>
      <c r="AI19" s="5"/>
      <c r="AJ19" s="27">
        <f>1/0.7984</f>
        <v>1.25250501002004</v>
      </c>
      <c r="AK19" s="19">
        <v>82.66</v>
      </c>
      <c r="AL19" s="5"/>
      <c r="AM19" s="27">
        <f>1/0.7899</f>
        <v>1.2659830358273199</v>
      </c>
      <c r="AN19" s="19">
        <v>82.54</v>
      </c>
      <c r="AO19" s="5"/>
      <c r="AP19" s="27">
        <f>1/0.7859</f>
        <v>1.272426517368622</v>
      </c>
      <c r="AQ19" s="19">
        <v>82.45</v>
      </c>
      <c r="AR19" s="5"/>
      <c r="AS19" s="27">
        <f>1/0.7718</f>
        <v>1.2956724540036277</v>
      </c>
      <c r="AT19" s="19">
        <v>81.45</v>
      </c>
      <c r="AU19" s="5"/>
      <c r="AV19" s="27">
        <f>1/0.7733</f>
        <v>1.29315918789603</v>
      </c>
      <c r="AW19" s="19">
        <v>81.44</v>
      </c>
      <c r="AX19" s="5"/>
      <c r="AY19" s="27">
        <f>1/0.7783</f>
        <v>1.2848515996402416</v>
      </c>
      <c r="AZ19" s="19">
        <v>81.42</v>
      </c>
      <c r="BA19" s="5"/>
      <c r="BB19" s="27">
        <f>1/0.7702</f>
        <v>1.2983640612827838</v>
      </c>
      <c r="BC19" s="19">
        <v>81.32</v>
      </c>
      <c r="BD19" s="5"/>
      <c r="BE19" s="27">
        <f>1/0.7675</f>
        <v>1.3029315960912053</v>
      </c>
      <c r="BF19" s="19">
        <v>81.15</v>
      </c>
      <c r="BG19" s="5"/>
      <c r="BH19" s="27">
        <f t="shared" si="0"/>
        <v>1.285076184210053</v>
      </c>
      <c r="BI19" s="19">
        <f t="shared" si="1"/>
        <v>81.8205263157895</v>
      </c>
      <c r="BJ19" s="18"/>
      <c r="BK19" s="31"/>
      <c r="BL19" s="31"/>
      <c r="BM19" s="24"/>
    </row>
    <row r="20" spans="1:65" ht="15.75" customHeight="1">
      <c r="A20" s="16">
        <v>8</v>
      </c>
      <c r="B20" s="17" t="s">
        <v>21</v>
      </c>
      <c r="C20" s="27">
        <v>1.3286</v>
      </c>
      <c r="D20" s="19">
        <v>79.9</v>
      </c>
      <c r="E20" s="5"/>
      <c r="F20" s="27">
        <v>1.3385</v>
      </c>
      <c r="G20" s="19">
        <v>79.28</v>
      </c>
      <c r="H20" s="5"/>
      <c r="I20" s="27">
        <v>1.3361</v>
      </c>
      <c r="J20" s="19">
        <v>79.44</v>
      </c>
      <c r="K20" s="5"/>
      <c r="L20" s="27">
        <v>1.3362</v>
      </c>
      <c r="M20" s="19">
        <v>79.47</v>
      </c>
      <c r="N20" s="5"/>
      <c r="O20" s="27">
        <v>1.3222</v>
      </c>
      <c r="P20" s="19">
        <v>79.72</v>
      </c>
      <c r="Q20" s="5"/>
      <c r="R20" s="27">
        <v>1.3247</v>
      </c>
      <c r="S20" s="19">
        <v>79.35</v>
      </c>
      <c r="T20" s="5"/>
      <c r="U20" s="27">
        <v>1.328</v>
      </c>
      <c r="V20" s="19">
        <v>79.37</v>
      </c>
      <c r="W20" s="5"/>
      <c r="X20" s="27">
        <v>1.3183</v>
      </c>
      <c r="Y20" s="19">
        <v>79.34</v>
      </c>
      <c r="Z20" s="5"/>
      <c r="AA20" s="27">
        <v>1.3149</v>
      </c>
      <c r="AB20" s="19">
        <v>79.41</v>
      </c>
      <c r="AC20" s="5"/>
      <c r="AD20" s="27">
        <v>1.3187</v>
      </c>
      <c r="AE20" s="19">
        <v>79.1</v>
      </c>
      <c r="AF20" s="5"/>
      <c r="AG20" s="27">
        <v>1.3078</v>
      </c>
      <c r="AH20" s="19">
        <v>79.54</v>
      </c>
      <c r="AI20" s="5"/>
      <c r="AJ20" s="27">
        <v>1.3104</v>
      </c>
      <c r="AK20" s="19">
        <v>79</v>
      </c>
      <c r="AL20" s="5"/>
      <c r="AM20" s="27">
        <v>1.3253</v>
      </c>
      <c r="AN20" s="19">
        <v>78.85</v>
      </c>
      <c r="AO20" s="5"/>
      <c r="AP20" s="27">
        <v>1.3296</v>
      </c>
      <c r="AQ20" s="19">
        <v>78.91</v>
      </c>
      <c r="AR20" s="5"/>
      <c r="AS20" s="27">
        <v>1.341</v>
      </c>
      <c r="AT20" s="19">
        <v>78.7</v>
      </c>
      <c r="AU20" s="5"/>
      <c r="AV20" s="27">
        <v>1.3384</v>
      </c>
      <c r="AW20" s="19">
        <v>78.68</v>
      </c>
      <c r="AX20" s="5"/>
      <c r="AY20" s="27">
        <v>1.3279</v>
      </c>
      <c r="AZ20" s="19">
        <v>78.78</v>
      </c>
      <c r="BA20" s="5"/>
      <c r="BB20" s="27">
        <v>1.3381</v>
      </c>
      <c r="BC20" s="19">
        <v>78.9</v>
      </c>
      <c r="BD20" s="5"/>
      <c r="BE20" s="27">
        <v>1.3468</v>
      </c>
      <c r="BF20" s="19">
        <v>78.51</v>
      </c>
      <c r="BG20" s="5"/>
      <c r="BH20" s="27">
        <f t="shared" si="0"/>
        <v>1.327973684210526</v>
      </c>
      <c r="BI20" s="19">
        <f t="shared" si="1"/>
        <v>79.17105263157896</v>
      </c>
      <c r="BJ20" s="5"/>
      <c r="BK20" s="31"/>
      <c r="BL20" s="31"/>
      <c r="BM20" s="9"/>
    </row>
    <row r="21" spans="1:65" ht="15.75" customHeight="1">
      <c r="A21" s="16">
        <v>9</v>
      </c>
      <c r="B21" s="17" t="s">
        <v>22</v>
      </c>
      <c r="C21" s="27">
        <v>7.3134</v>
      </c>
      <c r="D21" s="19">
        <v>14.51</v>
      </c>
      <c r="E21" s="5"/>
      <c r="F21" s="27">
        <v>7.3165</v>
      </c>
      <c r="G21" s="19">
        <v>14.5</v>
      </c>
      <c r="H21" s="5"/>
      <c r="I21" s="27">
        <v>7.278</v>
      </c>
      <c r="J21" s="19">
        <v>14.58</v>
      </c>
      <c r="K21" s="5"/>
      <c r="L21" s="27">
        <v>7.2987</v>
      </c>
      <c r="M21" s="19">
        <v>14.55</v>
      </c>
      <c r="N21" s="5"/>
      <c r="O21" s="27">
        <v>7.161</v>
      </c>
      <c r="P21" s="19">
        <v>14.72</v>
      </c>
      <c r="Q21" s="5"/>
      <c r="R21" s="27">
        <v>7.1423</v>
      </c>
      <c r="S21" s="19">
        <v>14.72</v>
      </c>
      <c r="T21" s="5"/>
      <c r="U21" s="27">
        <v>7.1688</v>
      </c>
      <c r="V21" s="19">
        <v>14.7</v>
      </c>
      <c r="W21" s="5"/>
      <c r="X21" s="27">
        <v>7.14</v>
      </c>
      <c r="Y21" s="19">
        <v>14.65</v>
      </c>
      <c r="Z21" s="5"/>
      <c r="AA21" s="27">
        <v>7.1286</v>
      </c>
      <c r="AB21" s="19">
        <v>14.65</v>
      </c>
      <c r="AC21" s="5"/>
      <c r="AD21" s="27">
        <v>7.1839</v>
      </c>
      <c r="AE21" s="19">
        <v>14.52</v>
      </c>
      <c r="AF21" s="5"/>
      <c r="AG21" s="27">
        <v>7.1539</v>
      </c>
      <c r="AH21" s="19">
        <v>14.54</v>
      </c>
      <c r="AI21" s="5"/>
      <c r="AJ21" s="27">
        <v>7.1274</v>
      </c>
      <c r="AK21" s="19">
        <v>14.53</v>
      </c>
      <c r="AL21" s="5"/>
      <c r="AM21" s="27">
        <v>7.2095</v>
      </c>
      <c r="AN21" s="19">
        <v>14.49</v>
      </c>
      <c r="AO21" s="5"/>
      <c r="AP21" s="27">
        <v>7.2546</v>
      </c>
      <c r="AQ21" s="19">
        <v>14.46</v>
      </c>
      <c r="AR21" s="5"/>
      <c r="AS21" s="27">
        <v>7.325</v>
      </c>
      <c r="AT21" s="19">
        <v>14.41</v>
      </c>
      <c r="AU21" s="5"/>
      <c r="AV21" s="27">
        <v>7.306</v>
      </c>
      <c r="AW21" s="19">
        <v>14.41</v>
      </c>
      <c r="AX21" s="5"/>
      <c r="AY21" s="27">
        <v>7.2889</v>
      </c>
      <c r="AZ21" s="19">
        <v>14.35</v>
      </c>
      <c r="BA21" s="5"/>
      <c r="BB21" s="27">
        <v>7.4188</v>
      </c>
      <c r="BC21" s="19">
        <v>14.23</v>
      </c>
      <c r="BD21" s="5"/>
      <c r="BE21" s="27">
        <v>7.4335</v>
      </c>
      <c r="BF21" s="19">
        <v>14.22</v>
      </c>
      <c r="BG21" s="5"/>
      <c r="BH21" s="27">
        <f t="shared" si="0"/>
        <v>7.244673684210526</v>
      </c>
      <c r="BI21" s="19">
        <f t="shared" si="1"/>
        <v>14.512631578947373</v>
      </c>
      <c r="BJ21" s="5"/>
      <c r="BK21" s="31"/>
      <c r="BL21" s="31"/>
      <c r="BM21" s="9"/>
    </row>
    <row r="22" spans="1:65" ht="15.75" customHeight="1">
      <c r="A22" s="16">
        <v>10</v>
      </c>
      <c r="B22" s="17" t="s">
        <v>23</v>
      </c>
      <c r="C22" s="27">
        <v>6.919</v>
      </c>
      <c r="D22" s="19">
        <v>15.34</v>
      </c>
      <c r="E22" s="5"/>
      <c r="F22" s="27">
        <v>6.951</v>
      </c>
      <c r="G22" s="19">
        <v>15.27</v>
      </c>
      <c r="H22" s="5"/>
      <c r="I22" s="27">
        <v>6.944</v>
      </c>
      <c r="J22" s="19">
        <v>15.28</v>
      </c>
      <c r="K22" s="5"/>
      <c r="L22" s="27">
        <v>6.9642</v>
      </c>
      <c r="M22" s="19">
        <v>15.25</v>
      </c>
      <c r="N22" s="5"/>
      <c r="O22" s="27">
        <v>6.8865</v>
      </c>
      <c r="P22" s="19">
        <v>15.31</v>
      </c>
      <c r="Q22" s="5"/>
      <c r="R22" s="27">
        <v>6.866</v>
      </c>
      <c r="S22" s="19">
        <v>15.31</v>
      </c>
      <c r="T22" s="5"/>
      <c r="U22" s="27">
        <v>6.9296</v>
      </c>
      <c r="V22" s="19">
        <v>15.21</v>
      </c>
      <c r="W22" s="5"/>
      <c r="X22" s="27">
        <v>6.9151</v>
      </c>
      <c r="Y22" s="19">
        <v>15.13</v>
      </c>
      <c r="Z22" s="5"/>
      <c r="AA22" s="27">
        <v>6.8805</v>
      </c>
      <c r="AB22" s="19">
        <v>15.18</v>
      </c>
      <c r="AC22" s="5"/>
      <c r="AD22" s="27">
        <v>6.8912</v>
      </c>
      <c r="AE22" s="19">
        <v>15.14</v>
      </c>
      <c r="AF22" s="5"/>
      <c r="AG22" s="27">
        <v>6.8376</v>
      </c>
      <c r="AH22" s="19">
        <v>15.21</v>
      </c>
      <c r="AI22" s="5"/>
      <c r="AJ22" s="27">
        <v>6.8145</v>
      </c>
      <c r="AK22" s="19">
        <v>15.19</v>
      </c>
      <c r="AL22" s="5"/>
      <c r="AM22" s="27">
        <v>6.9156</v>
      </c>
      <c r="AN22" s="19">
        <v>15.11</v>
      </c>
      <c r="AO22" s="5"/>
      <c r="AP22" s="27">
        <v>6.9689</v>
      </c>
      <c r="AQ22" s="19">
        <v>15.05</v>
      </c>
      <c r="AR22" s="5"/>
      <c r="AS22" s="27">
        <v>6.9916</v>
      </c>
      <c r="AT22" s="19">
        <v>15.09</v>
      </c>
      <c r="AU22" s="5"/>
      <c r="AV22" s="27">
        <v>6.9762</v>
      </c>
      <c r="AW22" s="19">
        <v>15.1</v>
      </c>
      <c r="AX22" s="5"/>
      <c r="AY22" s="27">
        <v>6.9532</v>
      </c>
      <c r="AZ22" s="19">
        <v>15.05</v>
      </c>
      <c r="BA22" s="5"/>
      <c r="BB22" s="27">
        <v>7.0905</v>
      </c>
      <c r="BC22" s="19">
        <v>14.89</v>
      </c>
      <c r="BD22" s="5"/>
      <c r="BE22" s="27">
        <v>7.0739</v>
      </c>
      <c r="BF22" s="19">
        <v>14.95</v>
      </c>
      <c r="BG22" s="5"/>
      <c r="BH22" s="27">
        <f t="shared" si="0"/>
        <v>6.935215789473685</v>
      </c>
      <c r="BI22" s="19">
        <f t="shared" si="1"/>
        <v>15.161052631578947</v>
      </c>
      <c r="BJ22" s="5"/>
      <c r="BK22" s="31"/>
      <c r="BL22" s="31"/>
      <c r="BM22" s="9"/>
    </row>
    <row r="23" spans="1:65" ht="15.75" customHeight="1">
      <c r="A23" s="16">
        <v>11</v>
      </c>
      <c r="B23" s="17" t="s">
        <v>24</v>
      </c>
      <c r="C23" s="27">
        <v>5.9359</v>
      </c>
      <c r="D23" s="19">
        <v>17.88</v>
      </c>
      <c r="E23" s="5"/>
      <c r="F23" s="27">
        <v>5.9368</v>
      </c>
      <c r="G23" s="19">
        <v>17.87</v>
      </c>
      <c r="H23" s="5"/>
      <c r="I23" s="27">
        <v>5.9236</v>
      </c>
      <c r="J23" s="19">
        <v>17.92</v>
      </c>
      <c r="K23" s="5"/>
      <c r="L23" s="27">
        <v>5.9451</v>
      </c>
      <c r="M23" s="19">
        <v>17.86</v>
      </c>
      <c r="N23" s="5"/>
      <c r="O23" s="27">
        <v>5.8506</v>
      </c>
      <c r="P23" s="19">
        <v>18.02</v>
      </c>
      <c r="Q23" s="5"/>
      <c r="R23" s="27">
        <v>5.8362</v>
      </c>
      <c r="S23" s="19">
        <v>18.01</v>
      </c>
      <c r="T23" s="5"/>
      <c r="U23" s="27">
        <v>5.8704</v>
      </c>
      <c r="V23" s="19">
        <v>17.95</v>
      </c>
      <c r="W23" s="5"/>
      <c r="X23" s="27">
        <v>5.8164</v>
      </c>
      <c r="Y23" s="19">
        <v>17.98</v>
      </c>
      <c r="Z23" s="5"/>
      <c r="AA23" s="27">
        <v>5.8099</v>
      </c>
      <c r="AB23" s="19">
        <v>17.97</v>
      </c>
      <c r="AC23" s="5"/>
      <c r="AD23" s="27">
        <v>5.8407</v>
      </c>
      <c r="AE23" s="19">
        <v>17.86</v>
      </c>
      <c r="AF23" s="5"/>
      <c r="AG23" s="27">
        <v>5.8002</v>
      </c>
      <c r="AH23" s="19">
        <v>17.93</v>
      </c>
      <c r="AI23" s="5"/>
      <c r="AJ23" s="27">
        <v>5.7783</v>
      </c>
      <c r="AK23" s="19">
        <v>17.92</v>
      </c>
      <c r="AL23" s="5"/>
      <c r="AM23" s="27">
        <v>5.8609</v>
      </c>
      <c r="AN23" s="19">
        <v>17.83</v>
      </c>
      <c r="AO23" s="5"/>
      <c r="AP23" s="27">
        <v>5.8848</v>
      </c>
      <c r="AQ23" s="19">
        <v>17.83</v>
      </c>
      <c r="AR23" s="5"/>
      <c r="AS23" s="27">
        <v>5.9325</v>
      </c>
      <c r="AT23" s="19">
        <v>17.79</v>
      </c>
      <c r="AU23" s="5"/>
      <c r="AV23" s="27">
        <v>5.9171</v>
      </c>
      <c r="AW23" s="19">
        <v>17.8</v>
      </c>
      <c r="AX23" s="5"/>
      <c r="AY23" s="27">
        <v>5.8829</v>
      </c>
      <c r="AZ23" s="19">
        <v>17.78</v>
      </c>
      <c r="BA23" s="5"/>
      <c r="BB23" s="27">
        <v>5.9989</v>
      </c>
      <c r="BC23" s="19">
        <v>17.6</v>
      </c>
      <c r="BD23" s="5"/>
      <c r="BE23" s="27">
        <v>6.0148</v>
      </c>
      <c r="BF23" s="19">
        <v>17.58</v>
      </c>
      <c r="BG23" s="5"/>
      <c r="BH23" s="27">
        <f t="shared" si="0"/>
        <v>5.886105263157896</v>
      </c>
      <c r="BI23" s="19">
        <f t="shared" si="1"/>
        <v>17.862105263157897</v>
      </c>
      <c r="BJ23" s="5"/>
      <c r="BK23" s="31"/>
      <c r="BL23" s="31"/>
      <c r="BM23" s="9"/>
    </row>
    <row r="24" spans="1:65" ht="15.75" customHeight="1">
      <c r="A24" s="16">
        <v>12</v>
      </c>
      <c r="B24" s="17" t="s">
        <v>25</v>
      </c>
      <c r="C24" s="27">
        <f>1/1.48543</f>
        <v>0.6732057384057142</v>
      </c>
      <c r="D24" s="19">
        <v>157.68</v>
      </c>
      <c r="E24" s="5"/>
      <c r="F24" s="27">
        <f>1/1.49224</f>
        <v>0.6701334905913258</v>
      </c>
      <c r="G24" s="19">
        <v>158.35</v>
      </c>
      <c r="H24" s="5"/>
      <c r="I24" s="27">
        <f>1/1.49131</f>
        <v>0.6705513944116247</v>
      </c>
      <c r="J24" s="19">
        <v>158.28</v>
      </c>
      <c r="K24" s="5"/>
      <c r="L24" s="27">
        <f>1/1.49207</f>
        <v>0.6702098427017499</v>
      </c>
      <c r="M24" s="19">
        <v>158.43</v>
      </c>
      <c r="N24" s="5"/>
      <c r="O24" s="27">
        <f>1/1.48768</f>
        <v>0.6721875672187567</v>
      </c>
      <c r="P24" s="19">
        <v>156.81</v>
      </c>
      <c r="Q24" s="5"/>
      <c r="R24" s="27">
        <f>1/1.50086</f>
        <v>0.6662846634596165</v>
      </c>
      <c r="S24" s="19">
        <v>157.76</v>
      </c>
      <c r="T24" s="5"/>
      <c r="U24" s="27">
        <f>1/1.50435</f>
        <v>0.6647389237876824</v>
      </c>
      <c r="V24" s="19">
        <v>158.56</v>
      </c>
      <c r="W24" s="5"/>
      <c r="X24" s="27">
        <f>1/1.49956</f>
        <v>0.6668622796020166</v>
      </c>
      <c r="Y24" s="19">
        <v>156.84</v>
      </c>
      <c r="Z24" s="5"/>
      <c r="AA24" s="27">
        <f>1/1.50847</f>
        <v>0.6629233594304162</v>
      </c>
      <c r="AB24" s="19">
        <v>157.51</v>
      </c>
      <c r="AC24" s="5"/>
      <c r="AD24" s="27">
        <f>1/1.50844</f>
        <v>0.6629365437140357</v>
      </c>
      <c r="AE24" s="19">
        <v>157.34</v>
      </c>
      <c r="AF24" s="5"/>
      <c r="AG24" s="27">
        <f>1/1.50844</f>
        <v>0.6629365437140357</v>
      </c>
      <c r="AH24" s="19">
        <v>156.9</v>
      </c>
      <c r="AI24" s="5"/>
      <c r="AJ24" s="27">
        <f>1/1.51168</f>
        <v>0.6615156646909399</v>
      </c>
      <c r="AK24" s="19">
        <v>156.5</v>
      </c>
      <c r="AL24" s="5"/>
      <c r="AM24" s="27">
        <f>1/1.5115</f>
        <v>0.6615944426066821</v>
      </c>
      <c r="AN24" s="19">
        <v>157.95</v>
      </c>
      <c r="AO24" s="5"/>
      <c r="AP24" s="27">
        <f>1/1.50031</f>
        <v>0.6665289173570795</v>
      </c>
      <c r="AQ24" s="19">
        <v>157.41</v>
      </c>
      <c r="AR24" s="5"/>
      <c r="AS24" s="27">
        <f>1/1.49488</f>
        <v>0.6689500160548004</v>
      </c>
      <c r="AT24" s="19">
        <v>157.76</v>
      </c>
      <c r="AU24" s="5"/>
      <c r="AV24" s="27">
        <f>1/1.48863</f>
        <v>0.671758596830643</v>
      </c>
      <c r="AW24" s="19">
        <v>156.77</v>
      </c>
      <c r="AX24" s="5"/>
      <c r="AY24" s="27">
        <f>1/1.49216</f>
        <v>0.67016941882908</v>
      </c>
      <c r="AZ24" s="19">
        <v>156.1</v>
      </c>
      <c r="BA24" s="5"/>
      <c r="BB24" s="27">
        <f>1/1.49522</f>
        <v>0.6687979026497773</v>
      </c>
      <c r="BC24" s="19">
        <v>157.86</v>
      </c>
      <c r="BD24" s="5"/>
      <c r="BE24" s="27">
        <f>1/1.48037</f>
        <v>0.6755067989759317</v>
      </c>
      <c r="BF24" s="19">
        <v>156.53</v>
      </c>
      <c r="BG24" s="5"/>
      <c r="BH24" s="27">
        <f t="shared" si="0"/>
        <v>0.6677785318437846</v>
      </c>
      <c r="BI24" s="19">
        <f t="shared" si="1"/>
        <v>157.43894736842105</v>
      </c>
      <c r="BJ24" s="5"/>
      <c r="BK24" s="31"/>
      <c r="BL24" s="31"/>
      <c r="BM24" s="9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106.15</v>
      </c>
      <c r="E25" s="21"/>
      <c r="F25" s="28">
        <v>1</v>
      </c>
      <c r="G25" s="22">
        <v>106.12</v>
      </c>
      <c r="H25" s="21"/>
      <c r="I25" s="28">
        <v>1</v>
      </c>
      <c r="J25" s="22">
        <v>106.13</v>
      </c>
      <c r="K25" s="21"/>
      <c r="L25" s="28">
        <v>1</v>
      </c>
      <c r="M25" s="22">
        <v>106.18</v>
      </c>
      <c r="N25" s="21"/>
      <c r="O25" s="28">
        <v>1</v>
      </c>
      <c r="P25" s="22">
        <v>105.41</v>
      </c>
      <c r="Q25" s="21"/>
      <c r="R25" s="28">
        <v>1</v>
      </c>
      <c r="S25" s="22">
        <v>105.11</v>
      </c>
      <c r="T25" s="21"/>
      <c r="U25" s="28">
        <v>1</v>
      </c>
      <c r="V25" s="22">
        <v>105.4</v>
      </c>
      <c r="W25" s="21"/>
      <c r="X25" s="28">
        <v>1</v>
      </c>
      <c r="Y25" s="22">
        <v>104.59</v>
      </c>
      <c r="Z25" s="21"/>
      <c r="AA25" s="28">
        <v>1</v>
      </c>
      <c r="AB25" s="22">
        <v>104.42</v>
      </c>
      <c r="AC25" s="21"/>
      <c r="AD25" s="28">
        <v>1</v>
      </c>
      <c r="AE25" s="22">
        <v>104.31</v>
      </c>
      <c r="AF25" s="21"/>
      <c r="AG25" s="28">
        <v>1</v>
      </c>
      <c r="AH25" s="22">
        <v>104.02</v>
      </c>
      <c r="AI25" s="21"/>
      <c r="AJ25" s="28">
        <v>1</v>
      </c>
      <c r="AK25" s="22">
        <v>103.53</v>
      </c>
      <c r="AL25" s="21"/>
      <c r="AM25" s="28">
        <v>1</v>
      </c>
      <c r="AN25" s="22">
        <v>104.5</v>
      </c>
      <c r="AO25" s="21"/>
      <c r="AP25" s="28">
        <v>1</v>
      </c>
      <c r="AQ25" s="22">
        <v>104.92</v>
      </c>
      <c r="AR25" s="21"/>
      <c r="AS25" s="28">
        <v>1</v>
      </c>
      <c r="AT25" s="22">
        <v>105.53</v>
      </c>
      <c r="AU25" s="21"/>
      <c r="AV25" s="28">
        <v>1</v>
      </c>
      <c r="AW25" s="22">
        <v>105.31</v>
      </c>
      <c r="AX25" s="21"/>
      <c r="AY25" s="28">
        <v>1</v>
      </c>
      <c r="AZ25" s="22">
        <v>104.61</v>
      </c>
      <c r="BA25" s="21"/>
      <c r="BB25" s="28">
        <v>1</v>
      </c>
      <c r="BC25" s="22">
        <v>105.58</v>
      </c>
      <c r="BD25" s="21"/>
      <c r="BE25" s="28">
        <v>1</v>
      </c>
      <c r="BF25" s="22">
        <v>105.74</v>
      </c>
      <c r="BG25" s="21"/>
      <c r="BH25" s="28">
        <f t="shared" si="0"/>
        <v>1</v>
      </c>
      <c r="BI25" s="22">
        <f t="shared" si="1"/>
        <v>105.13473684210526</v>
      </c>
      <c r="BJ25" s="21"/>
      <c r="BK25" s="31"/>
      <c r="BL25" s="31"/>
      <c r="BM25" s="9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9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1" ht="15.75" customHeight="1">
      <c r="A4" s="6" t="s">
        <v>2</v>
      </c>
      <c r="B4" s="5"/>
      <c r="C4" s="4" t="s">
        <v>70</v>
      </c>
      <c r="D4" s="4"/>
      <c r="E4" s="10"/>
      <c r="F4" s="4" t="s">
        <v>71</v>
      </c>
      <c r="G4" s="4"/>
      <c r="H4" s="10"/>
      <c r="I4" s="4" t="s">
        <v>72</v>
      </c>
      <c r="J4" s="4"/>
      <c r="K4" s="10"/>
      <c r="L4" s="4" t="s">
        <v>73</v>
      </c>
      <c r="M4" s="4"/>
      <c r="N4" s="10"/>
      <c r="O4" s="4" t="s">
        <v>74</v>
      </c>
      <c r="P4" s="4"/>
      <c r="Q4" s="10"/>
      <c r="R4" s="4" t="s">
        <v>75</v>
      </c>
      <c r="S4" s="4"/>
      <c r="T4" s="10"/>
      <c r="U4" s="4" t="s">
        <v>76</v>
      </c>
      <c r="V4" s="4"/>
      <c r="W4" s="10"/>
      <c r="X4" s="4" t="s">
        <v>77</v>
      </c>
      <c r="Y4" s="4"/>
      <c r="Z4" s="10"/>
      <c r="AA4" s="4" t="s">
        <v>78</v>
      </c>
      <c r="AB4" s="4"/>
      <c r="AC4" s="10"/>
      <c r="AD4" s="4" t="s">
        <v>79</v>
      </c>
      <c r="AE4" s="4"/>
      <c r="AF4" s="10"/>
      <c r="AG4" s="4" t="s">
        <v>80</v>
      </c>
      <c r="AH4" s="4"/>
      <c r="AI4" s="10"/>
      <c r="AJ4" s="4" t="s">
        <v>81</v>
      </c>
      <c r="AK4" s="4"/>
      <c r="AL4" s="10"/>
      <c r="AM4" s="4" t="s">
        <v>82</v>
      </c>
      <c r="AN4" s="4"/>
      <c r="AO4" s="10"/>
      <c r="AP4" s="4" t="s">
        <v>83</v>
      </c>
      <c r="AQ4" s="4"/>
      <c r="AR4" s="10"/>
      <c r="AS4" s="4" t="s">
        <v>84</v>
      </c>
      <c r="AT4" s="4"/>
      <c r="AU4" s="10"/>
      <c r="AV4" s="4" t="s">
        <v>85</v>
      </c>
      <c r="AW4" s="4"/>
      <c r="AX4" s="10"/>
      <c r="AY4" s="4" t="s">
        <v>86</v>
      </c>
      <c r="AZ4" s="4"/>
      <c r="BA4" s="10"/>
      <c r="BB4" s="4" t="s">
        <v>87</v>
      </c>
      <c r="BC4" s="4"/>
      <c r="BD4" s="10"/>
      <c r="BE4" s="4" t="s">
        <v>88</v>
      </c>
      <c r="BF4" s="4"/>
      <c r="BG4" s="10"/>
      <c r="BH4" s="4" t="s">
        <v>89</v>
      </c>
      <c r="BI4" s="4"/>
      <c r="BJ4" s="26"/>
      <c r="BK4" s="4" t="s">
        <v>90</v>
      </c>
      <c r="BL4" s="4"/>
      <c r="BM4" s="26"/>
      <c r="BN4" s="4" t="s">
        <v>91</v>
      </c>
      <c r="BO4" s="4"/>
      <c r="BP4" s="26"/>
      <c r="BQ4" s="4" t="s">
        <v>3</v>
      </c>
      <c r="BR4" s="4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40"/>
      <c r="BU11" s="40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109.17</v>
      </c>
      <c r="D13" s="19">
        <v>96.33</v>
      </c>
      <c r="E13" s="5"/>
      <c r="F13" s="27">
        <v>109.63</v>
      </c>
      <c r="G13" s="19">
        <v>96.35</v>
      </c>
      <c r="H13" s="5"/>
      <c r="I13" s="27">
        <v>110.36</v>
      </c>
      <c r="J13" s="19">
        <v>96.68</v>
      </c>
      <c r="K13" s="5"/>
      <c r="L13" s="27">
        <v>110.56</v>
      </c>
      <c r="M13" s="19">
        <v>96.4</v>
      </c>
      <c r="N13" s="5"/>
      <c r="O13" s="27">
        <v>111.08</v>
      </c>
      <c r="P13" s="19">
        <v>95.85</v>
      </c>
      <c r="Q13" s="5"/>
      <c r="R13" s="27">
        <v>112.02</v>
      </c>
      <c r="S13" s="19">
        <v>94.28</v>
      </c>
      <c r="T13" s="5"/>
      <c r="U13" s="27">
        <v>111.47</v>
      </c>
      <c r="V13" s="19">
        <v>95.26</v>
      </c>
      <c r="W13" s="5"/>
      <c r="X13" s="27">
        <v>111.16</v>
      </c>
      <c r="Y13" s="19">
        <v>96.05</v>
      </c>
      <c r="Z13" s="5"/>
      <c r="AA13" s="27">
        <v>110.64</v>
      </c>
      <c r="AB13" s="19">
        <v>96.87</v>
      </c>
      <c r="AC13" s="5"/>
      <c r="AD13" s="27">
        <v>111.21</v>
      </c>
      <c r="AE13" s="19">
        <v>95.97</v>
      </c>
      <c r="AF13" s="5"/>
      <c r="AG13" s="27">
        <v>110.68</v>
      </c>
      <c r="AH13" s="19">
        <v>96.02</v>
      </c>
      <c r="AI13" s="5"/>
      <c r="AJ13" s="27">
        <v>109.32</v>
      </c>
      <c r="AK13" s="19">
        <v>96.91</v>
      </c>
      <c r="AL13" s="5"/>
      <c r="AM13" s="27">
        <v>108.43</v>
      </c>
      <c r="AN13" s="19">
        <v>97.88</v>
      </c>
      <c r="AO13" s="5"/>
      <c r="AP13" s="27">
        <v>106.71</v>
      </c>
      <c r="AQ13" s="19">
        <v>99.43</v>
      </c>
      <c r="AR13" s="5"/>
      <c r="AS13" s="27">
        <v>107</v>
      </c>
      <c r="AT13" s="19">
        <v>99.01</v>
      </c>
      <c r="AU13" s="5"/>
      <c r="AV13" s="27">
        <v>106.83</v>
      </c>
      <c r="AW13" s="19">
        <v>99.22</v>
      </c>
      <c r="AX13" s="5"/>
      <c r="AY13" s="27">
        <v>106.16</v>
      </c>
      <c r="AZ13" s="19">
        <v>99.9</v>
      </c>
      <c r="BA13" s="5"/>
      <c r="BB13" s="27">
        <v>106.11</v>
      </c>
      <c r="BC13" s="19">
        <v>100.73</v>
      </c>
      <c r="BD13" s="5"/>
      <c r="BE13" s="27">
        <v>105.59</v>
      </c>
      <c r="BF13" s="19">
        <v>101.32</v>
      </c>
      <c r="BG13" s="5"/>
      <c r="BH13" s="27">
        <v>105.79</v>
      </c>
      <c r="BI13" s="19">
        <v>101.37</v>
      </c>
      <c r="BJ13" s="5"/>
      <c r="BK13" s="27">
        <v>106</v>
      </c>
      <c r="BL13" s="19">
        <v>100.77</v>
      </c>
      <c r="BM13" s="5"/>
      <c r="BN13" s="27">
        <v>103.99</v>
      </c>
      <c r="BO13" s="19">
        <v>102.43</v>
      </c>
      <c r="BP13" s="5"/>
      <c r="BQ13" s="27">
        <f>(+C13+F13+I13+L13+O13+R13+U13+X13+AA13+AD13+AG13+AJ13+AM13+AP13+AS13+AV13+AY13+BB13+BE13+BH13+BK13+BN13)/22</f>
        <v>108.63227272727272</v>
      </c>
      <c r="BR13" s="19">
        <f>(+D13+G13+J13+M13+P13+S13+V13+Y13+AB13+AE13+AH13+AK13+AN13+AQ13+AT13+AW13+AZ13+BC13+BF13+BI13+BL13+BO13)/22</f>
        <v>97.95590909090907</v>
      </c>
      <c r="BS13" s="9"/>
    </row>
    <row r="14" spans="1:71" ht="15.75" customHeight="1">
      <c r="A14" s="16">
        <v>2</v>
      </c>
      <c r="B14" s="17" t="s">
        <v>15</v>
      </c>
      <c r="C14" s="27">
        <f>1/1.8668</f>
        <v>0.5356760231412042</v>
      </c>
      <c r="D14" s="19">
        <v>196.33</v>
      </c>
      <c r="E14" s="5"/>
      <c r="F14" s="27">
        <f>1/1.8591</f>
        <v>0.5378946802216126</v>
      </c>
      <c r="G14" s="19">
        <v>196.37</v>
      </c>
      <c r="H14" s="5"/>
      <c r="I14" s="27">
        <f>1/1.8339</f>
        <v>0.5452860025083156</v>
      </c>
      <c r="J14" s="19">
        <v>195.66</v>
      </c>
      <c r="K14" s="5"/>
      <c r="L14" s="27">
        <f>1/1.8276</f>
        <v>0.5471656817684395</v>
      </c>
      <c r="M14" s="19">
        <v>194.8</v>
      </c>
      <c r="N14" s="5"/>
      <c r="O14" s="27">
        <f>1/1.8194</f>
        <v>0.5496317467296912</v>
      </c>
      <c r="P14" s="19">
        <v>193.72</v>
      </c>
      <c r="Q14" s="5"/>
      <c r="R14" s="27">
        <f>1/1.8527</f>
        <v>0.5397527932207049</v>
      </c>
      <c r="S14" s="19">
        <v>195.67</v>
      </c>
      <c r="T14" s="5"/>
      <c r="U14" s="27">
        <f>1/1.8384</f>
        <v>0.5439512619669278</v>
      </c>
      <c r="V14" s="19">
        <v>195.22</v>
      </c>
      <c r="W14" s="5"/>
      <c r="X14" s="27">
        <f>1/1.8202</f>
        <v>0.5493901769036369</v>
      </c>
      <c r="Y14" s="19">
        <v>194.34</v>
      </c>
      <c r="Z14" s="5"/>
      <c r="AA14" s="27">
        <f>1/1.7963</f>
        <v>0.5566998830930245</v>
      </c>
      <c r="AB14" s="19">
        <v>192.53</v>
      </c>
      <c r="AC14" s="5"/>
      <c r="AD14" s="27">
        <f>1/1.7966</f>
        <v>0.5566069241901369</v>
      </c>
      <c r="AE14" s="19">
        <v>191.76</v>
      </c>
      <c r="AF14" s="5"/>
      <c r="AG14" s="27">
        <f>1/1.8082</f>
        <v>0.5530361685654241</v>
      </c>
      <c r="AH14" s="19">
        <v>192.17</v>
      </c>
      <c r="AI14" s="5"/>
      <c r="AJ14" s="27">
        <f>1/1.816</f>
        <v>0.5506607929515418</v>
      </c>
      <c r="AK14" s="19">
        <v>192.39</v>
      </c>
      <c r="AL14" s="5"/>
      <c r="AM14" s="27">
        <f>1/1.8112</f>
        <v>0.5521201413427562</v>
      </c>
      <c r="AN14" s="19">
        <v>192.23</v>
      </c>
      <c r="AO14" s="5"/>
      <c r="AP14" s="27">
        <f>1/1.8246</f>
        <v>0.5480653293872629</v>
      </c>
      <c r="AQ14" s="19">
        <v>193.6</v>
      </c>
      <c r="AR14" s="5"/>
      <c r="AS14" s="27">
        <f>1/1.8333</f>
        <v>0.5454644629902362</v>
      </c>
      <c r="AT14" s="19">
        <v>194.22</v>
      </c>
      <c r="AU14" s="5"/>
      <c r="AV14" s="27">
        <f>1/1.8447</f>
        <v>0.5420935653493792</v>
      </c>
      <c r="AW14" s="19">
        <v>195.52</v>
      </c>
      <c r="AX14" s="5"/>
      <c r="AY14" s="27">
        <f>1/1.8424</f>
        <v>0.5427702996092054</v>
      </c>
      <c r="AZ14" s="19">
        <v>195.39</v>
      </c>
      <c r="BA14" s="5"/>
      <c r="BB14" s="27">
        <f>1/1.8072</f>
        <v>0.5533421868083223</v>
      </c>
      <c r="BC14" s="19">
        <v>193.16</v>
      </c>
      <c r="BD14" s="5"/>
      <c r="BE14" s="27">
        <f>1/1.8213</f>
        <v>0.5490583649041894</v>
      </c>
      <c r="BF14" s="19">
        <v>194.85</v>
      </c>
      <c r="BG14" s="5"/>
      <c r="BH14" s="27">
        <f>1/1.8139</f>
        <v>0.551298307514196</v>
      </c>
      <c r="BI14" s="19">
        <v>194.52</v>
      </c>
      <c r="BJ14" s="5"/>
      <c r="BK14" s="27">
        <f>1/1.823</f>
        <v>0.5485463521667581</v>
      </c>
      <c r="BL14" s="19">
        <v>194.73</v>
      </c>
      <c r="BM14" s="5"/>
      <c r="BN14" s="27">
        <f>1/1.8345</f>
        <v>0.5451076587626056</v>
      </c>
      <c r="BO14" s="19">
        <v>195.4</v>
      </c>
      <c r="BP14" s="5"/>
      <c r="BQ14" s="27">
        <f aca="true" t="shared" si="0" ref="BQ14:BQ25">(+C14+F14+I14+L14+O14+R14+U14+X14+AA14+AD14+AG14+AJ14+AM14+AP14+AS14+AV14+AY14+BB14+BE14+BH14+BK14+BN14)/22</f>
        <v>0.5474372183679805</v>
      </c>
      <c r="BR14" s="19">
        <f aca="true" t="shared" si="1" ref="BR14:BR25">(+D14+G14+J14+M14+P14+S14+V14+Y14+AB14+AE14+AH14+AK14+AN14+AQ14+AT14+AW14+AZ14+BC14+BF14+BI14+BL14+BO14)/22</f>
        <v>194.29909090909086</v>
      </c>
      <c r="BS14" s="9"/>
    </row>
    <row r="15" spans="1:71" ht="15.75" customHeight="1">
      <c r="A15" s="16">
        <v>3</v>
      </c>
      <c r="B15" s="17" t="s">
        <v>16</v>
      </c>
      <c r="C15" s="27">
        <v>1.264</v>
      </c>
      <c r="D15" s="19">
        <v>83.2</v>
      </c>
      <c r="E15" s="5"/>
      <c r="F15" s="27">
        <v>1.2773</v>
      </c>
      <c r="G15" s="19">
        <v>82.69</v>
      </c>
      <c r="H15" s="5"/>
      <c r="I15" s="27">
        <v>1.301</v>
      </c>
      <c r="J15" s="19">
        <v>82.01</v>
      </c>
      <c r="K15" s="5"/>
      <c r="L15" s="27">
        <v>1.2983</v>
      </c>
      <c r="M15" s="19">
        <v>82.09</v>
      </c>
      <c r="N15" s="5"/>
      <c r="O15" s="27">
        <v>1.2926</v>
      </c>
      <c r="P15" s="19">
        <v>82.37</v>
      </c>
      <c r="Q15" s="5"/>
      <c r="R15" s="27">
        <v>1.2792</v>
      </c>
      <c r="S15" s="19">
        <v>82.56</v>
      </c>
      <c r="T15" s="5"/>
      <c r="U15" s="27">
        <v>1.2781</v>
      </c>
      <c r="V15" s="19">
        <v>83.08</v>
      </c>
      <c r="W15" s="5"/>
      <c r="X15" s="27">
        <v>1.2826</v>
      </c>
      <c r="Y15" s="19">
        <v>83.24</v>
      </c>
      <c r="Z15" s="5"/>
      <c r="AA15" s="27">
        <v>1.2852</v>
      </c>
      <c r="AB15" s="19">
        <v>83.4</v>
      </c>
      <c r="AC15" s="5"/>
      <c r="AD15" s="27">
        <v>1.279</v>
      </c>
      <c r="AE15" s="19">
        <v>83.45</v>
      </c>
      <c r="AF15" s="5"/>
      <c r="AG15" s="27">
        <v>1.2722</v>
      </c>
      <c r="AH15" s="19">
        <v>83.54</v>
      </c>
      <c r="AI15" s="5"/>
      <c r="AJ15" s="27">
        <v>1.2687</v>
      </c>
      <c r="AK15" s="19">
        <v>83.5</v>
      </c>
      <c r="AL15" s="5"/>
      <c r="AM15" s="27">
        <v>1.2781</v>
      </c>
      <c r="AN15" s="19">
        <v>83.04</v>
      </c>
      <c r="AO15" s="5"/>
      <c r="AP15" s="27">
        <v>1.273</v>
      </c>
      <c r="AQ15" s="19">
        <v>83.35</v>
      </c>
      <c r="AR15" s="5"/>
      <c r="AS15" s="27">
        <v>1.2612</v>
      </c>
      <c r="AT15" s="19">
        <v>84</v>
      </c>
      <c r="AU15" s="5"/>
      <c r="AV15" s="27">
        <v>1.2586</v>
      </c>
      <c r="AW15" s="19">
        <v>84.21</v>
      </c>
      <c r="AX15" s="5"/>
      <c r="AY15" s="27">
        <v>1.2644</v>
      </c>
      <c r="AZ15" s="19">
        <v>83.87</v>
      </c>
      <c r="BA15" s="5"/>
      <c r="BB15" s="27">
        <v>1.2764</v>
      </c>
      <c r="BC15" s="19">
        <v>83.74</v>
      </c>
      <c r="BD15" s="5"/>
      <c r="BE15" s="27">
        <v>1.2763</v>
      </c>
      <c r="BF15" s="19">
        <v>83.82</v>
      </c>
      <c r="BG15" s="5"/>
      <c r="BH15" s="27">
        <v>1.2854</v>
      </c>
      <c r="BI15" s="19">
        <v>83.43</v>
      </c>
      <c r="BJ15" s="5"/>
      <c r="BK15" s="27">
        <v>1.2777</v>
      </c>
      <c r="BL15" s="19">
        <v>83.6</v>
      </c>
      <c r="BM15" s="5"/>
      <c r="BN15" s="27">
        <v>1.2757</v>
      </c>
      <c r="BO15" s="19">
        <v>83.49</v>
      </c>
      <c r="BP15" s="5"/>
      <c r="BQ15" s="27">
        <f t="shared" si="0"/>
        <v>1.2774999999999996</v>
      </c>
      <c r="BR15" s="19">
        <f t="shared" si="1"/>
        <v>83.25818181818181</v>
      </c>
      <c r="BS15" s="9"/>
    </row>
    <row r="16" spans="1:71" ht="15.75" customHeight="1">
      <c r="A16" s="16">
        <v>4</v>
      </c>
      <c r="B16" s="17" t="s">
        <v>17</v>
      </c>
      <c r="C16" s="27">
        <f>1/1.2471</f>
        <v>0.8018603159329644</v>
      </c>
      <c r="D16" s="19">
        <v>131.15</v>
      </c>
      <c r="E16" s="5"/>
      <c r="F16" s="27">
        <f>1/1.2391</f>
        <v>0.8070373658300378</v>
      </c>
      <c r="G16" s="19">
        <v>130.88</v>
      </c>
      <c r="H16" s="5"/>
      <c r="I16" s="27">
        <f>1/1.215</f>
        <v>0.8230452674897119</v>
      </c>
      <c r="J16" s="19">
        <v>129.63</v>
      </c>
      <c r="K16" s="5"/>
      <c r="L16" s="27">
        <f>1/1.2171</f>
        <v>0.8216251745953496</v>
      </c>
      <c r="M16" s="19">
        <v>129.71</v>
      </c>
      <c r="N16" s="5"/>
      <c r="O16" s="27">
        <f>1/1.2202</f>
        <v>0.8195377806916899</v>
      </c>
      <c r="P16" s="19">
        <v>129.92</v>
      </c>
      <c r="Q16" s="5"/>
      <c r="R16" s="27">
        <f>1/1.237</f>
        <v>0.8084074373484236</v>
      </c>
      <c r="S16" s="19">
        <v>130.64</v>
      </c>
      <c r="T16" s="5"/>
      <c r="U16" s="27">
        <f>1/1.2378</f>
        <v>0.8078849571820973</v>
      </c>
      <c r="V16" s="19">
        <v>131.44</v>
      </c>
      <c r="W16" s="5"/>
      <c r="X16" s="27">
        <f>1/1.2289</f>
        <v>0.8137358613394091</v>
      </c>
      <c r="Y16" s="19">
        <v>131.21</v>
      </c>
      <c r="Z16" s="5"/>
      <c r="AA16" s="27">
        <f>1/1.2205</f>
        <v>0.8193363375665711</v>
      </c>
      <c r="AB16" s="19">
        <v>130.81</v>
      </c>
      <c r="AC16" s="5"/>
      <c r="AD16" s="27">
        <f>1/1.2251</f>
        <v>0.8162598971512529</v>
      </c>
      <c r="AE16" s="19">
        <v>130.76</v>
      </c>
      <c r="AF16" s="5"/>
      <c r="AG16" s="27">
        <f>1/1.2294</f>
        <v>0.8134049129656743</v>
      </c>
      <c r="AH16" s="19">
        <v>130.65</v>
      </c>
      <c r="AI16" s="5"/>
      <c r="AJ16" s="27">
        <f>1/1.2341</f>
        <v>0.810307106393323</v>
      </c>
      <c r="AK16" s="19">
        <v>130.74</v>
      </c>
      <c r="AL16" s="5"/>
      <c r="AM16" s="27">
        <f>1/1.2255</f>
        <v>0.8159934720522236</v>
      </c>
      <c r="AN16" s="19">
        <v>130.07</v>
      </c>
      <c r="AO16" s="5"/>
      <c r="AP16" s="27">
        <f>1/1.2273</f>
        <v>0.8147967082212988</v>
      </c>
      <c r="AQ16" s="19">
        <v>130.22</v>
      </c>
      <c r="AR16" s="5"/>
      <c r="AS16" s="27">
        <f>1/1.2356</f>
        <v>0.8093234056328908</v>
      </c>
      <c r="AT16" s="19">
        <v>130.9</v>
      </c>
      <c r="AU16" s="5"/>
      <c r="AV16" s="27">
        <f>1/1.2309</f>
        <v>0.8124136810463888</v>
      </c>
      <c r="AW16" s="19">
        <v>130.47</v>
      </c>
      <c r="AX16" s="5"/>
      <c r="AY16" s="27">
        <f>1/1.2274</f>
        <v>0.814730324262669</v>
      </c>
      <c r="AZ16" s="19">
        <v>130.17</v>
      </c>
      <c r="BA16" s="5"/>
      <c r="BB16" s="27">
        <f>1/1.2152</f>
        <v>0.8229098090849243</v>
      </c>
      <c r="BC16" s="19">
        <v>129.88</v>
      </c>
      <c r="BD16" s="5"/>
      <c r="BE16" s="27">
        <f>1/1.2187</f>
        <v>0.8205464839583163</v>
      </c>
      <c r="BF16" s="19">
        <v>130.38</v>
      </c>
      <c r="BG16" s="5"/>
      <c r="BH16" s="27">
        <f>1/1.2118</f>
        <v>0.825218682950982</v>
      </c>
      <c r="BI16" s="19">
        <v>129.95</v>
      </c>
      <c r="BJ16" s="5"/>
      <c r="BK16" s="27">
        <f>1/1.2212</f>
        <v>0.8188666885031116</v>
      </c>
      <c r="BL16" s="19">
        <v>130.45</v>
      </c>
      <c r="BM16" s="5"/>
      <c r="BN16" s="27">
        <f>1/1.2227</f>
        <v>0.8178621084485157</v>
      </c>
      <c r="BO16" s="19">
        <v>130.23</v>
      </c>
      <c r="BP16" s="5"/>
      <c r="BQ16" s="27">
        <f t="shared" si="0"/>
        <v>0.8152319899385375</v>
      </c>
      <c r="BR16" s="19">
        <f t="shared" si="1"/>
        <v>130.46636363636364</v>
      </c>
      <c r="BS16" s="9"/>
    </row>
    <row r="17" spans="1:71" ht="15.75" customHeight="1">
      <c r="A17" s="16">
        <v>5</v>
      </c>
      <c r="B17" s="17" t="s">
        <v>18</v>
      </c>
      <c r="C17" s="27">
        <v>398.3</v>
      </c>
      <c r="D17" s="19">
        <v>41887.88</v>
      </c>
      <c r="E17" s="5"/>
      <c r="F17" s="27">
        <v>398.25</v>
      </c>
      <c r="G17" s="19">
        <v>42064.82</v>
      </c>
      <c r="H17" s="5"/>
      <c r="I17" s="27">
        <v>390.2</v>
      </c>
      <c r="J17" s="19">
        <v>41631.09</v>
      </c>
      <c r="K17" s="5"/>
      <c r="L17" s="27">
        <v>393.5</v>
      </c>
      <c r="M17" s="19">
        <v>41937.26</v>
      </c>
      <c r="N17" s="5"/>
      <c r="O17" s="27">
        <v>393.5</v>
      </c>
      <c r="P17" s="19">
        <v>41897.91</v>
      </c>
      <c r="Q17" s="5"/>
      <c r="R17" s="27">
        <v>399.1</v>
      </c>
      <c r="S17" s="19">
        <v>42150.28</v>
      </c>
      <c r="T17" s="5"/>
      <c r="U17" s="27">
        <v>400.9</v>
      </c>
      <c r="V17" s="19">
        <v>42570.9</v>
      </c>
      <c r="W17" s="5"/>
      <c r="X17" s="27">
        <v>400.5</v>
      </c>
      <c r="Y17" s="19">
        <v>42760.05</v>
      </c>
      <c r="Z17" s="5"/>
      <c r="AA17" s="27">
        <v>397.2</v>
      </c>
      <c r="AB17" s="19">
        <v>42571.9</v>
      </c>
      <c r="AC17" s="5"/>
      <c r="AD17" s="27">
        <v>400.4</v>
      </c>
      <c r="AE17" s="19">
        <v>42735.69</v>
      </c>
      <c r="AF17" s="5"/>
      <c r="AG17" s="27">
        <v>398.8</v>
      </c>
      <c r="AH17" s="19">
        <v>42382.47</v>
      </c>
      <c r="AI17" s="5"/>
      <c r="AJ17" s="27">
        <v>399.5</v>
      </c>
      <c r="AK17" s="19">
        <v>42323.7</v>
      </c>
      <c r="AL17" s="5"/>
      <c r="AM17" s="27">
        <v>401.8</v>
      </c>
      <c r="AN17" s="19">
        <v>42644.37</v>
      </c>
      <c r="AO17" s="5"/>
      <c r="AP17" s="27">
        <v>406.9</v>
      </c>
      <c r="AQ17" s="19">
        <v>43174.12</v>
      </c>
      <c r="AR17" s="5"/>
      <c r="AS17" s="27">
        <v>410.25</v>
      </c>
      <c r="AT17" s="19">
        <v>43462.91</v>
      </c>
      <c r="AU17" s="5"/>
      <c r="AV17" s="27">
        <v>415.25</v>
      </c>
      <c r="AW17" s="19">
        <v>44013.04</v>
      </c>
      <c r="AX17" s="5"/>
      <c r="AY17" s="27">
        <v>417.5</v>
      </c>
      <c r="AZ17" s="19">
        <v>44275.88</v>
      </c>
      <c r="BA17" s="5"/>
      <c r="BB17" s="27">
        <v>416.25</v>
      </c>
      <c r="BC17" s="19">
        <v>44490.19</v>
      </c>
      <c r="BD17" s="5"/>
      <c r="BE17" s="27">
        <v>417.5</v>
      </c>
      <c r="BF17" s="19">
        <v>44665.54</v>
      </c>
      <c r="BG17" s="5"/>
      <c r="BH17" s="27">
        <v>420.75</v>
      </c>
      <c r="BI17" s="19">
        <v>45119.83</v>
      </c>
      <c r="BJ17" s="5"/>
      <c r="BK17" s="27">
        <v>419.1</v>
      </c>
      <c r="BL17" s="19">
        <v>44768.61</v>
      </c>
      <c r="BM17" s="5"/>
      <c r="BN17" s="27">
        <v>423</v>
      </c>
      <c r="BO17" s="19">
        <v>45054.79</v>
      </c>
      <c r="BP17" s="5"/>
      <c r="BQ17" s="27">
        <f t="shared" si="0"/>
        <v>405.38409090909084</v>
      </c>
      <c r="BR17" s="19">
        <f t="shared" si="1"/>
        <v>43117.419545454555</v>
      </c>
      <c r="BS17" s="9"/>
    </row>
    <row r="18" spans="1:71" ht="15.75" customHeight="1">
      <c r="A18" s="16">
        <v>6</v>
      </c>
      <c r="B18" s="20" t="s">
        <v>19</v>
      </c>
      <c r="C18" s="27">
        <v>6.72</v>
      </c>
      <c r="D18" s="19">
        <v>706.72</v>
      </c>
      <c r="E18" s="5"/>
      <c r="F18" s="27">
        <v>6.85</v>
      </c>
      <c r="G18" s="19">
        <v>723.53</v>
      </c>
      <c r="H18" s="5"/>
      <c r="I18" s="27">
        <v>6.61</v>
      </c>
      <c r="J18" s="19">
        <v>705.23</v>
      </c>
      <c r="K18" s="5"/>
      <c r="L18" s="27">
        <v>6.76</v>
      </c>
      <c r="M18" s="19">
        <v>720.45</v>
      </c>
      <c r="N18" s="5"/>
      <c r="O18" s="27">
        <v>6.75</v>
      </c>
      <c r="P18" s="19">
        <v>718.71</v>
      </c>
      <c r="Q18" s="5"/>
      <c r="R18" s="27">
        <v>6.92</v>
      </c>
      <c r="S18" s="19">
        <v>730.84</v>
      </c>
      <c r="T18" s="5"/>
      <c r="U18" s="27">
        <v>6.96</v>
      </c>
      <c r="V18" s="19">
        <v>739.07</v>
      </c>
      <c r="W18" s="5"/>
      <c r="X18" s="27">
        <v>7.07</v>
      </c>
      <c r="Y18" s="19">
        <v>754.84</v>
      </c>
      <c r="Z18" s="5"/>
      <c r="AA18" s="27">
        <v>7.06</v>
      </c>
      <c r="AB18" s="19">
        <v>756.69</v>
      </c>
      <c r="AC18" s="5"/>
      <c r="AD18" s="27">
        <v>7.2</v>
      </c>
      <c r="AE18" s="19">
        <v>768.47</v>
      </c>
      <c r="AF18" s="5"/>
      <c r="AG18" s="27">
        <v>7.11</v>
      </c>
      <c r="AH18" s="19">
        <v>755.62</v>
      </c>
      <c r="AI18" s="5"/>
      <c r="AJ18" s="27">
        <v>7.12</v>
      </c>
      <c r="AK18" s="19">
        <v>754.3</v>
      </c>
      <c r="AL18" s="5"/>
      <c r="AM18" s="27">
        <v>7.12</v>
      </c>
      <c r="AN18" s="19">
        <v>755.67</v>
      </c>
      <c r="AO18" s="5"/>
      <c r="AP18" s="27">
        <v>7.24</v>
      </c>
      <c r="AQ18" s="19">
        <v>768.2</v>
      </c>
      <c r="AR18" s="5"/>
      <c r="AS18" s="27">
        <v>7.42</v>
      </c>
      <c r="AT18" s="19">
        <v>786.09</v>
      </c>
      <c r="AU18" s="5"/>
      <c r="AV18" s="27">
        <v>7.52</v>
      </c>
      <c r="AW18" s="19">
        <v>797.06</v>
      </c>
      <c r="AX18" s="5"/>
      <c r="AY18" s="27">
        <v>7.69</v>
      </c>
      <c r="AZ18" s="19">
        <v>815.52</v>
      </c>
      <c r="BA18" s="5"/>
      <c r="BB18" s="27">
        <v>7.58</v>
      </c>
      <c r="BC18" s="19">
        <v>810.18</v>
      </c>
      <c r="BD18" s="5"/>
      <c r="BE18" s="27">
        <v>7.54</v>
      </c>
      <c r="BF18" s="19">
        <v>806.65</v>
      </c>
      <c r="BG18" s="5"/>
      <c r="BH18" s="27">
        <v>7.64</v>
      </c>
      <c r="BI18" s="19">
        <v>819.29</v>
      </c>
      <c r="BJ18" s="5"/>
      <c r="BK18" s="27">
        <v>7.59</v>
      </c>
      <c r="BL18" s="19">
        <v>810.77</v>
      </c>
      <c r="BM18" s="5"/>
      <c r="BN18" s="27">
        <v>7.82</v>
      </c>
      <c r="BO18" s="19">
        <v>832.93</v>
      </c>
      <c r="BP18" s="5"/>
      <c r="BQ18" s="27">
        <f t="shared" si="0"/>
        <v>7.194999999999999</v>
      </c>
      <c r="BR18" s="19">
        <f t="shared" si="1"/>
        <v>765.3104545454546</v>
      </c>
      <c r="BS18" s="9"/>
    </row>
    <row r="19" spans="1:71" ht="15.75" customHeight="1">
      <c r="A19" s="16">
        <v>7</v>
      </c>
      <c r="B19" s="17" t="s">
        <v>20</v>
      </c>
      <c r="C19" s="27">
        <f>1/0.7718</f>
        <v>1.2956724540036277</v>
      </c>
      <c r="D19" s="19">
        <v>81.17</v>
      </c>
      <c r="E19" s="5"/>
      <c r="F19" s="27">
        <f>1/0.7715</f>
        <v>1.2961762799740766</v>
      </c>
      <c r="G19" s="19">
        <v>81.49</v>
      </c>
      <c r="H19" s="5"/>
      <c r="I19" s="27">
        <f>1/0.7476</f>
        <v>1.337613697164259</v>
      </c>
      <c r="J19" s="19">
        <v>79.76</v>
      </c>
      <c r="K19" s="5"/>
      <c r="L19" s="27">
        <f>1/0.7523</f>
        <v>1.3292569453675396</v>
      </c>
      <c r="M19" s="19">
        <v>80.18</v>
      </c>
      <c r="N19" s="5"/>
      <c r="O19" s="27">
        <f>1/0.7502</f>
        <v>1.3329778725673154</v>
      </c>
      <c r="P19" s="19">
        <v>79.88</v>
      </c>
      <c r="Q19" s="5"/>
      <c r="R19" s="27">
        <f>1/0.7586</f>
        <v>1.3182177695755337</v>
      </c>
      <c r="S19" s="19">
        <v>80.12</v>
      </c>
      <c r="T19" s="5"/>
      <c r="U19" s="27">
        <f>1/0.7612</f>
        <v>1.3137151865475565</v>
      </c>
      <c r="V19" s="19">
        <v>80.83</v>
      </c>
      <c r="W19" s="5"/>
      <c r="X19" s="27">
        <f>1/0.7527</f>
        <v>1.3285505513484788</v>
      </c>
      <c r="Y19" s="19">
        <v>80.36</v>
      </c>
      <c r="Z19" s="5"/>
      <c r="AA19" s="27">
        <f>1/0.7351</f>
        <v>1.3603591348115902</v>
      </c>
      <c r="AB19" s="19">
        <v>78.79</v>
      </c>
      <c r="AC19" s="5"/>
      <c r="AD19" s="27">
        <f>1/0.7303</f>
        <v>1.3693002875530604</v>
      </c>
      <c r="AE19" s="19">
        <v>77.95</v>
      </c>
      <c r="AF19" s="5"/>
      <c r="AG19" s="27">
        <f>1/0.7326</f>
        <v>1.365001365001365</v>
      </c>
      <c r="AH19" s="19">
        <v>77.86</v>
      </c>
      <c r="AI19" s="5"/>
      <c r="AJ19" s="27">
        <f>1/0.7392</f>
        <v>1.352813852813853</v>
      </c>
      <c r="AK19" s="19">
        <v>78.31</v>
      </c>
      <c r="AL19" s="5"/>
      <c r="AM19" s="27">
        <f>1/0.7392</f>
        <v>1.352813852813853</v>
      </c>
      <c r="AN19" s="19">
        <v>78.45</v>
      </c>
      <c r="AO19" s="5"/>
      <c r="AP19" s="27">
        <f>1/0.7444</f>
        <v>1.3433637829124128</v>
      </c>
      <c r="AQ19" s="19">
        <v>78.98</v>
      </c>
      <c r="AR19" s="5"/>
      <c r="AS19" s="27">
        <f>1/0.7467</f>
        <v>1.3392259274139546</v>
      </c>
      <c r="AT19" s="19">
        <v>79.11</v>
      </c>
      <c r="AU19" s="5"/>
      <c r="AV19" s="27">
        <f>1/0.7507</f>
        <v>1.3320900492873318</v>
      </c>
      <c r="AW19" s="19">
        <v>79.57</v>
      </c>
      <c r="AX19" s="5"/>
      <c r="AY19" s="27">
        <f>1/0.7476</f>
        <v>1.337613697164259</v>
      </c>
      <c r="AZ19" s="19">
        <v>79.28</v>
      </c>
      <c r="BA19" s="5"/>
      <c r="BB19" s="27">
        <f>1/0.74</f>
        <v>1.3513513513513513</v>
      </c>
      <c r="BC19" s="19">
        <v>79.09</v>
      </c>
      <c r="BD19" s="5"/>
      <c r="BE19" s="27">
        <f>1/0.7454</f>
        <v>1.3415615776764154</v>
      </c>
      <c r="BF19" s="19">
        <v>79.75</v>
      </c>
      <c r="BG19" s="5"/>
      <c r="BH19" s="27">
        <f>1/0.7449</f>
        <v>1.3424620754463685</v>
      </c>
      <c r="BI19" s="19">
        <v>79.88</v>
      </c>
      <c r="BJ19" s="18"/>
      <c r="BK19" s="27">
        <f>1/0.7511</f>
        <v>1.3313806417254694</v>
      </c>
      <c r="BL19" s="19">
        <v>80.23</v>
      </c>
      <c r="BM19" s="18"/>
      <c r="BN19" s="27">
        <f>1/0.7606</f>
        <v>1.3147515119642386</v>
      </c>
      <c r="BO19" s="19">
        <v>81.01</v>
      </c>
      <c r="BP19" s="18"/>
      <c r="BQ19" s="27">
        <f t="shared" si="0"/>
        <v>1.335739539294723</v>
      </c>
      <c r="BR19" s="19">
        <f t="shared" si="1"/>
        <v>79.63863636363637</v>
      </c>
      <c r="BS19" s="24"/>
    </row>
    <row r="20" spans="1:71" ht="15.75" customHeight="1">
      <c r="A20" s="16">
        <v>8</v>
      </c>
      <c r="B20" s="17" t="s">
        <v>21</v>
      </c>
      <c r="C20" s="27">
        <v>1.3371</v>
      </c>
      <c r="D20" s="19">
        <v>78.65</v>
      </c>
      <c r="E20" s="5"/>
      <c r="F20" s="27">
        <v>1.3409</v>
      </c>
      <c r="G20" s="19">
        <v>78.77</v>
      </c>
      <c r="H20" s="5"/>
      <c r="I20" s="27">
        <v>1.3537</v>
      </c>
      <c r="J20" s="19">
        <v>78.81</v>
      </c>
      <c r="K20" s="5"/>
      <c r="L20" s="27">
        <v>1.3383</v>
      </c>
      <c r="M20" s="19">
        <v>79.63</v>
      </c>
      <c r="N20" s="5"/>
      <c r="O20" s="27">
        <v>1.3341</v>
      </c>
      <c r="P20" s="19">
        <v>79.81</v>
      </c>
      <c r="Q20" s="5"/>
      <c r="R20" s="27">
        <v>1.3252</v>
      </c>
      <c r="S20" s="19">
        <v>79.7</v>
      </c>
      <c r="T20" s="5"/>
      <c r="U20" s="27">
        <v>1.3224</v>
      </c>
      <c r="V20" s="19">
        <v>80.3</v>
      </c>
      <c r="W20" s="5"/>
      <c r="X20" s="27">
        <v>1.3227</v>
      </c>
      <c r="Y20" s="19">
        <v>80.72</v>
      </c>
      <c r="Z20" s="5"/>
      <c r="AA20" s="27">
        <v>1.3265</v>
      </c>
      <c r="AB20" s="19">
        <v>80.8</v>
      </c>
      <c r="AC20" s="5"/>
      <c r="AD20" s="27">
        <v>1.3224</v>
      </c>
      <c r="AE20" s="19">
        <v>80.71</v>
      </c>
      <c r="AF20" s="5"/>
      <c r="AG20" s="27">
        <v>1.332</v>
      </c>
      <c r="AH20" s="19">
        <v>79.79</v>
      </c>
      <c r="AI20" s="5"/>
      <c r="AJ20" s="27">
        <v>1.3308</v>
      </c>
      <c r="AK20" s="19">
        <v>79.61</v>
      </c>
      <c r="AL20" s="5"/>
      <c r="AM20" s="27">
        <v>1.3327</v>
      </c>
      <c r="AN20" s="19">
        <v>79.64</v>
      </c>
      <c r="AO20" s="5"/>
      <c r="AP20" s="27">
        <v>1.3396</v>
      </c>
      <c r="AQ20" s="19">
        <v>79.21</v>
      </c>
      <c r="AR20" s="5"/>
      <c r="AS20" s="27">
        <v>1.3293</v>
      </c>
      <c r="AT20" s="19">
        <v>79.7</v>
      </c>
      <c r="AU20" s="5"/>
      <c r="AV20" s="27">
        <v>1.3303</v>
      </c>
      <c r="AW20" s="19">
        <v>79.68</v>
      </c>
      <c r="AX20" s="5"/>
      <c r="AY20" s="27">
        <v>1.3335</v>
      </c>
      <c r="AZ20" s="19">
        <v>79.53</v>
      </c>
      <c r="BA20" s="5"/>
      <c r="BB20" s="27">
        <v>1.3381</v>
      </c>
      <c r="BC20" s="19">
        <v>79.88</v>
      </c>
      <c r="BD20" s="5"/>
      <c r="BE20" s="27">
        <v>1.3212</v>
      </c>
      <c r="BF20" s="19">
        <v>80.97</v>
      </c>
      <c r="BG20" s="5"/>
      <c r="BH20" s="27">
        <v>1.3196</v>
      </c>
      <c r="BI20" s="19">
        <v>81.26</v>
      </c>
      <c r="BJ20" s="5"/>
      <c r="BK20" s="27">
        <v>1.3094</v>
      </c>
      <c r="BL20" s="19">
        <v>81.58</v>
      </c>
      <c r="BM20" s="5"/>
      <c r="BN20" s="27">
        <v>1.3032</v>
      </c>
      <c r="BO20" s="19">
        <v>81.73</v>
      </c>
      <c r="BP20" s="5"/>
      <c r="BQ20" s="27">
        <f t="shared" si="0"/>
        <v>1.329227272727273</v>
      </c>
      <c r="BR20" s="19">
        <f t="shared" si="1"/>
        <v>80.02181818181818</v>
      </c>
      <c r="BS20" s="9"/>
    </row>
    <row r="21" spans="1:71" ht="15.75" customHeight="1">
      <c r="A21" s="16">
        <v>9</v>
      </c>
      <c r="B21" s="17" t="s">
        <v>22</v>
      </c>
      <c r="C21" s="27">
        <v>7.3989</v>
      </c>
      <c r="D21" s="19">
        <v>14.21</v>
      </c>
      <c r="E21" s="5"/>
      <c r="F21" s="27">
        <v>7.4495</v>
      </c>
      <c r="G21" s="19">
        <v>14.18</v>
      </c>
      <c r="H21" s="5"/>
      <c r="I21" s="27">
        <v>7.6076</v>
      </c>
      <c r="J21" s="19">
        <v>14.02</v>
      </c>
      <c r="K21" s="5"/>
      <c r="L21" s="27">
        <v>7.5615</v>
      </c>
      <c r="M21" s="19">
        <v>14.09</v>
      </c>
      <c r="N21" s="5"/>
      <c r="O21" s="27">
        <v>7.5357</v>
      </c>
      <c r="P21" s="19">
        <v>14.13</v>
      </c>
      <c r="Q21" s="5"/>
      <c r="R21" s="27">
        <v>7.4186</v>
      </c>
      <c r="S21" s="19">
        <v>14.24</v>
      </c>
      <c r="T21" s="5"/>
      <c r="U21" s="27">
        <v>7.3956</v>
      </c>
      <c r="V21" s="19">
        <v>14.36</v>
      </c>
      <c r="W21" s="5"/>
      <c r="X21" s="27">
        <v>7.4629</v>
      </c>
      <c r="Y21" s="19">
        <v>14.31</v>
      </c>
      <c r="Z21" s="5"/>
      <c r="AA21" s="27">
        <v>7.5342</v>
      </c>
      <c r="AB21" s="19">
        <v>14.23</v>
      </c>
      <c r="AC21" s="5"/>
      <c r="AD21" s="27">
        <v>7.5235</v>
      </c>
      <c r="AE21" s="19">
        <v>14.19</v>
      </c>
      <c r="AF21" s="5"/>
      <c r="AG21" s="27">
        <v>7.524</v>
      </c>
      <c r="AH21" s="19">
        <v>14.12</v>
      </c>
      <c r="AI21" s="5"/>
      <c r="AJ21" s="27">
        <v>7.4883</v>
      </c>
      <c r="AK21" s="19">
        <v>14.15</v>
      </c>
      <c r="AL21" s="5"/>
      <c r="AM21" s="27">
        <v>7.54</v>
      </c>
      <c r="AN21" s="19">
        <v>14.08</v>
      </c>
      <c r="AO21" s="5"/>
      <c r="AP21" s="27">
        <v>7.5235</v>
      </c>
      <c r="AQ21" s="19">
        <v>14.1</v>
      </c>
      <c r="AR21" s="5"/>
      <c r="AS21" s="27">
        <v>7.4972</v>
      </c>
      <c r="AT21" s="19">
        <v>14.13</v>
      </c>
      <c r="AU21" s="5"/>
      <c r="AV21" s="27">
        <v>7.4945</v>
      </c>
      <c r="AW21" s="19">
        <v>14.14</v>
      </c>
      <c r="AX21" s="5"/>
      <c r="AY21" s="27">
        <v>7.5135</v>
      </c>
      <c r="AZ21" s="19">
        <v>14.11</v>
      </c>
      <c r="BA21" s="5"/>
      <c r="BB21" s="27">
        <v>7.6265</v>
      </c>
      <c r="BC21" s="19">
        <v>14.01</v>
      </c>
      <c r="BD21" s="5"/>
      <c r="BE21" s="27">
        <v>7.5962</v>
      </c>
      <c r="BF21" s="19">
        <v>14.08</v>
      </c>
      <c r="BG21" s="5"/>
      <c r="BH21" s="27">
        <v>7.642</v>
      </c>
      <c r="BI21" s="19">
        <v>14.03</v>
      </c>
      <c r="BJ21" s="5"/>
      <c r="BK21" s="27">
        <v>7.5786</v>
      </c>
      <c r="BL21" s="19">
        <v>14.1</v>
      </c>
      <c r="BM21" s="5"/>
      <c r="BN21" s="27">
        <v>7.565</v>
      </c>
      <c r="BO21" s="19">
        <v>14.08</v>
      </c>
      <c r="BP21" s="5"/>
      <c r="BQ21" s="27">
        <f t="shared" si="0"/>
        <v>7.521695454545454</v>
      </c>
      <c r="BR21" s="19">
        <f t="shared" si="1"/>
        <v>14.140454545454544</v>
      </c>
      <c r="BS21" s="9"/>
    </row>
    <row r="22" spans="1:71" ht="15.75" customHeight="1">
      <c r="A22" s="16">
        <v>10</v>
      </c>
      <c r="B22" s="17" t="s">
        <v>23</v>
      </c>
      <c r="C22" s="27">
        <v>6.9814</v>
      </c>
      <c r="D22" s="19">
        <v>15.06</v>
      </c>
      <c r="E22" s="5"/>
      <c r="F22" s="27">
        <v>7.0063</v>
      </c>
      <c r="G22" s="19">
        <v>15.08</v>
      </c>
      <c r="H22" s="5"/>
      <c r="I22" s="27">
        <v>7.141</v>
      </c>
      <c r="J22" s="19">
        <v>14.94</v>
      </c>
      <c r="K22" s="5"/>
      <c r="L22" s="27">
        <v>7.0925</v>
      </c>
      <c r="M22" s="19">
        <v>15.03</v>
      </c>
      <c r="N22" s="5"/>
      <c r="O22" s="27">
        <v>7.09</v>
      </c>
      <c r="P22" s="19">
        <v>15.02</v>
      </c>
      <c r="Q22" s="5"/>
      <c r="R22" s="27">
        <v>6.993</v>
      </c>
      <c r="S22" s="19">
        <v>15.1</v>
      </c>
      <c r="T22" s="5"/>
      <c r="U22" s="27">
        <v>6.984</v>
      </c>
      <c r="V22" s="19">
        <v>15.2</v>
      </c>
      <c r="W22" s="5"/>
      <c r="X22" s="27">
        <v>7.0547</v>
      </c>
      <c r="Y22" s="19">
        <v>15.13</v>
      </c>
      <c r="Z22" s="5"/>
      <c r="AA22" s="27">
        <v>7.09</v>
      </c>
      <c r="AB22" s="19">
        <v>15.12</v>
      </c>
      <c r="AC22" s="5"/>
      <c r="AD22" s="27">
        <v>6.9883</v>
      </c>
      <c r="AE22" s="19">
        <v>15.27</v>
      </c>
      <c r="AF22" s="5"/>
      <c r="AG22" s="27">
        <v>6.8874</v>
      </c>
      <c r="AH22" s="19">
        <v>15.43</v>
      </c>
      <c r="AI22" s="5"/>
      <c r="AJ22" s="27">
        <v>6.8759</v>
      </c>
      <c r="AK22" s="19">
        <v>15.41</v>
      </c>
      <c r="AL22" s="5"/>
      <c r="AM22" s="27">
        <v>6.9151</v>
      </c>
      <c r="AN22" s="19">
        <v>15.35</v>
      </c>
      <c r="AO22" s="5"/>
      <c r="AP22" s="27">
        <v>6.9053</v>
      </c>
      <c r="AQ22" s="19">
        <v>15.37</v>
      </c>
      <c r="AR22" s="5"/>
      <c r="AS22" s="27">
        <v>6.9119</v>
      </c>
      <c r="AT22" s="19">
        <v>15.33</v>
      </c>
      <c r="AU22" s="5"/>
      <c r="AV22" s="27">
        <v>6.8543</v>
      </c>
      <c r="AW22" s="19">
        <v>15.46</v>
      </c>
      <c r="AX22" s="5"/>
      <c r="AY22" s="27">
        <v>6.862</v>
      </c>
      <c r="AZ22" s="19">
        <v>15.45</v>
      </c>
      <c r="BA22" s="5"/>
      <c r="BB22" s="27">
        <v>6.941</v>
      </c>
      <c r="BC22" s="19">
        <v>15.4</v>
      </c>
      <c r="BD22" s="5"/>
      <c r="BE22" s="27">
        <v>6.9224</v>
      </c>
      <c r="BF22" s="19">
        <v>15.45</v>
      </c>
      <c r="BG22" s="5"/>
      <c r="BH22" s="27">
        <v>6.9693</v>
      </c>
      <c r="BI22" s="19">
        <v>15.39</v>
      </c>
      <c r="BJ22" s="5"/>
      <c r="BK22" s="27">
        <v>6.8887</v>
      </c>
      <c r="BL22" s="19">
        <v>15.51</v>
      </c>
      <c r="BM22" s="5"/>
      <c r="BN22" s="27">
        <v>6.8815</v>
      </c>
      <c r="BO22" s="19">
        <v>15.48</v>
      </c>
      <c r="BP22" s="5"/>
      <c r="BQ22" s="27">
        <f t="shared" si="0"/>
        <v>6.965272727272727</v>
      </c>
      <c r="BR22" s="19">
        <f t="shared" si="1"/>
        <v>15.27181818181818</v>
      </c>
      <c r="BS22" s="9"/>
    </row>
    <row r="23" spans="1:71" ht="15.75" customHeight="1">
      <c r="A23" s="16">
        <v>11</v>
      </c>
      <c r="B23" s="17" t="s">
        <v>24</v>
      </c>
      <c r="C23" s="27">
        <v>5.9739</v>
      </c>
      <c r="D23" s="19">
        <v>17.6</v>
      </c>
      <c r="E23" s="5"/>
      <c r="F23" s="27">
        <v>6.0126</v>
      </c>
      <c r="G23" s="19">
        <v>17.57</v>
      </c>
      <c r="H23" s="5"/>
      <c r="I23" s="27">
        <v>6.1314</v>
      </c>
      <c r="J23" s="19">
        <v>17.4</v>
      </c>
      <c r="K23" s="5"/>
      <c r="L23" s="27">
        <v>6.1219</v>
      </c>
      <c r="M23" s="19">
        <v>17.41</v>
      </c>
      <c r="N23" s="5"/>
      <c r="O23" s="27">
        <v>6.1055</v>
      </c>
      <c r="P23" s="19">
        <v>17.44</v>
      </c>
      <c r="Q23" s="5"/>
      <c r="R23" s="27">
        <v>6.0213</v>
      </c>
      <c r="S23" s="19">
        <v>17.54</v>
      </c>
      <c r="T23" s="5"/>
      <c r="U23" s="27">
        <v>6.0184</v>
      </c>
      <c r="V23" s="19">
        <v>17.64</v>
      </c>
      <c r="W23" s="5"/>
      <c r="X23" s="27">
        <v>6.0618</v>
      </c>
      <c r="Y23" s="19">
        <v>17.61</v>
      </c>
      <c r="Z23" s="5"/>
      <c r="AA23" s="27">
        <v>6.102</v>
      </c>
      <c r="AB23" s="19">
        <v>17.56</v>
      </c>
      <c r="AC23" s="5"/>
      <c r="AD23" s="27">
        <v>6.0797</v>
      </c>
      <c r="AE23" s="19">
        <v>17.56</v>
      </c>
      <c r="AF23" s="5"/>
      <c r="AG23" s="27">
        <v>6.0598</v>
      </c>
      <c r="AH23" s="19">
        <v>17.54</v>
      </c>
      <c r="AI23" s="5"/>
      <c r="AJ23" s="27">
        <v>6.0363</v>
      </c>
      <c r="AK23" s="19">
        <v>17.55</v>
      </c>
      <c r="AL23" s="5"/>
      <c r="AM23" s="27">
        <v>6.0761</v>
      </c>
      <c r="AN23" s="19">
        <v>17.47</v>
      </c>
      <c r="AO23" s="5"/>
      <c r="AP23" s="27">
        <v>6.0666</v>
      </c>
      <c r="AQ23" s="19">
        <v>17.49</v>
      </c>
      <c r="AR23" s="5"/>
      <c r="AS23" s="27">
        <v>6.0264</v>
      </c>
      <c r="AT23" s="19">
        <v>17.58</v>
      </c>
      <c r="AU23" s="5"/>
      <c r="AV23" s="27">
        <v>6.0492</v>
      </c>
      <c r="AW23" s="19">
        <v>17.52</v>
      </c>
      <c r="AX23" s="5"/>
      <c r="AY23" s="27">
        <v>6.0648</v>
      </c>
      <c r="AZ23" s="19">
        <v>17.49</v>
      </c>
      <c r="BA23" s="5"/>
      <c r="BB23" s="27">
        <v>6.1256</v>
      </c>
      <c r="BC23" s="19">
        <v>17.45</v>
      </c>
      <c r="BD23" s="5"/>
      <c r="BE23" s="27">
        <v>6.1114</v>
      </c>
      <c r="BF23" s="19">
        <v>17.51</v>
      </c>
      <c r="BG23" s="5"/>
      <c r="BH23" s="27">
        <v>6.1421</v>
      </c>
      <c r="BI23" s="19">
        <v>17.46</v>
      </c>
      <c r="BJ23" s="5"/>
      <c r="BK23" s="27">
        <v>6.0948</v>
      </c>
      <c r="BL23" s="19">
        <v>17.53</v>
      </c>
      <c r="BM23" s="5"/>
      <c r="BN23" s="27">
        <v>6.0853</v>
      </c>
      <c r="BO23" s="19">
        <v>17.5</v>
      </c>
      <c r="BP23" s="5"/>
      <c r="BQ23" s="27">
        <f t="shared" si="0"/>
        <v>6.071222727272727</v>
      </c>
      <c r="BR23" s="19">
        <f t="shared" si="1"/>
        <v>17.519090909090906</v>
      </c>
      <c r="BS23" s="9"/>
    </row>
    <row r="24" spans="1:71" ht="15.75" customHeight="1">
      <c r="A24" s="16">
        <v>12</v>
      </c>
      <c r="B24" s="17" t="s">
        <v>25</v>
      </c>
      <c r="C24" s="27">
        <f>1/1.48007</f>
        <v>0.6756437195538049</v>
      </c>
      <c r="D24" s="19">
        <v>155.65</v>
      </c>
      <c r="E24" s="5"/>
      <c r="F24" s="27">
        <f>1/1.48473</f>
        <v>0.6735231321519737</v>
      </c>
      <c r="G24" s="19">
        <v>156.82</v>
      </c>
      <c r="H24" s="5"/>
      <c r="I24" s="27">
        <f>1/1.47914</f>
        <v>0.6760685263058264</v>
      </c>
      <c r="J24" s="19">
        <v>157.81</v>
      </c>
      <c r="K24" s="5"/>
      <c r="L24" s="27">
        <f>1/1.46455</f>
        <v>0.6828035915468915</v>
      </c>
      <c r="M24" s="19">
        <v>156.08</v>
      </c>
      <c r="N24" s="5"/>
      <c r="O24" s="27">
        <f>1/1.46763</f>
        <v>0.6813706451898639</v>
      </c>
      <c r="P24" s="19">
        <v>156.27</v>
      </c>
      <c r="Q24" s="5"/>
      <c r="R24" s="27">
        <f>1/1.46472</f>
        <v>0.6827243432191819</v>
      </c>
      <c r="S24" s="19">
        <v>154.69</v>
      </c>
      <c r="T24" s="5"/>
      <c r="U24" s="27">
        <f>1/1.47388</f>
        <v>0.678481287486091</v>
      </c>
      <c r="V24" s="19">
        <v>156.51</v>
      </c>
      <c r="W24" s="5"/>
      <c r="X24" s="27">
        <f>1/1.47399</f>
        <v>0.6784306542106799</v>
      </c>
      <c r="Y24" s="19">
        <v>157.37</v>
      </c>
      <c r="Z24" s="5"/>
      <c r="AA24" s="27">
        <f>1/1.46884</f>
        <v>0.680809346150704</v>
      </c>
      <c r="AB24" s="19">
        <v>157.43</v>
      </c>
      <c r="AC24" s="5"/>
      <c r="AD24" s="27">
        <f>1/1.46884</f>
        <v>0.680809346150704</v>
      </c>
      <c r="AE24" s="19">
        <v>156.77</v>
      </c>
      <c r="AF24" s="5"/>
      <c r="AG24" s="27">
        <f>1/1.46351</f>
        <v>0.6832888056794965</v>
      </c>
      <c r="AH24" s="19">
        <v>155.53</v>
      </c>
      <c r="AI24" s="5"/>
      <c r="AJ24" s="27">
        <f>1/1.46762</f>
        <v>0.6813752878810592</v>
      </c>
      <c r="AK24" s="19">
        <v>155.48</v>
      </c>
      <c r="AL24" s="5"/>
      <c r="AM24" s="27">
        <f>1/1.47403</f>
        <v>0.6784122439841794</v>
      </c>
      <c r="AN24" s="19">
        <v>156.44</v>
      </c>
      <c r="AO24" s="5"/>
      <c r="AP24" s="27">
        <f>1/1.47145</f>
        <v>0.6796017533725237</v>
      </c>
      <c r="AQ24" s="19">
        <v>156.13</v>
      </c>
      <c r="AR24" s="5"/>
      <c r="AS24" s="27">
        <f>1/1.47589</f>
        <v>0.6775572705282914</v>
      </c>
      <c r="AT24" s="19">
        <v>156.36</v>
      </c>
      <c r="AU24" s="5"/>
      <c r="AV24" s="27">
        <f>1/1.48005</f>
        <v>0.675652849565893</v>
      </c>
      <c r="AW24" s="19">
        <v>156.87</v>
      </c>
      <c r="AX24" s="5"/>
      <c r="AY24" s="27">
        <f>1/1.47867</f>
        <v>0.6762834168543354</v>
      </c>
      <c r="AZ24" s="19">
        <v>156.81</v>
      </c>
      <c r="BA24" s="5"/>
      <c r="BB24" s="27">
        <f>1/1.47741</f>
        <v>0.6768601809924124</v>
      </c>
      <c r="BC24" s="19">
        <v>157.91</v>
      </c>
      <c r="BD24" s="5"/>
      <c r="BE24" s="27">
        <f>1/1.46863</f>
        <v>0.6809066953555354</v>
      </c>
      <c r="BF24" s="19">
        <v>157.12</v>
      </c>
      <c r="BG24" s="5"/>
      <c r="BH24" s="27">
        <f>1/1.47341</f>
        <v>0.6786977148247941</v>
      </c>
      <c r="BI24" s="19">
        <v>158</v>
      </c>
      <c r="BJ24" s="5"/>
      <c r="BK24" s="27">
        <f>1/1.47053</f>
        <v>0.6800269290663911</v>
      </c>
      <c r="BL24" s="19">
        <v>157.08</v>
      </c>
      <c r="BM24" s="5"/>
      <c r="BN24" s="27">
        <f>1/1.47515</f>
        <v>0.6778971630003728</v>
      </c>
      <c r="BO24" s="19">
        <v>157.12</v>
      </c>
      <c r="BP24" s="5"/>
      <c r="BQ24" s="27">
        <f t="shared" si="0"/>
        <v>0.6789647683214093</v>
      </c>
      <c r="BR24" s="19">
        <f t="shared" si="1"/>
        <v>156.64772727272725</v>
      </c>
      <c r="BS24" s="9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105.17</v>
      </c>
      <c r="E25" s="21"/>
      <c r="F25" s="28">
        <v>1</v>
      </c>
      <c r="G25" s="22">
        <v>105.62</v>
      </c>
      <c r="H25" s="21"/>
      <c r="I25" s="28">
        <v>1</v>
      </c>
      <c r="J25" s="22">
        <v>106.69</v>
      </c>
      <c r="K25" s="21"/>
      <c r="L25" s="28">
        <v>1</v>
      </c>
      <c r="M25" s="22">
        <v>106.58</v>
      </c>
      <c r="N25" s="21"/>
      <c r="O25" s="28">
        <v>1</v>
      </c>
      <c r="P25" s="22">
        <v>106.48</v>
      </c>
      <c r="Q25" s="21"/>
      <c r="R25" s="28">
        <v>1</v>
      </c>
      <c r="S25" s="22">
        <v>105.61</v>
      </c>
      <c r="T25" s="21"/>
      <c r="U25" s="28">
        <v>1</v>
      </c>
      <c r="V25" s="22">
        <v>106.19</v>
      </c>
      <c r="W25" s="21"/>
      <c r="X25" s="28">
        <v>1</v>
      </c>
      <c r="Y25" s="22">
        <v>106.77</v>
      </c>
      <c r="Z25" s="21"/>
      <c r="AA25" s="28">
        <v>1</v>
      </c>
      <c r="AB25" s="22">
        <v>107.18</v>
      </c>
      <c r="AC25" s="21"/>
      <c r="AD25" s="28">
        <v>1</v>
      </c>
      <c r="AE25" s="22">
        <v>106.73</v>
      </c>
      <c r="AF25" s="21"/>
      <c r="AG25" s="28">
        <v>1</v>
      </c>
      <c r="AH25" s="22">
        <v>106.28</v>
      </c>
      <c r="AI25" s="21"/>
      <c r="AJ25" s="28">
        <v>1</v>
      </c>
      <c r="AK25" s="22">
        <v>105.94</v>
      </c>
      <c r="AL25" s="21"/>
      <c r="AM25" s="28">
        <v>1</v>
      </c>
      <c r="AN25" s="22">
        <v>106.13</v>
      </c>
      <c r="AO25" s="21"/>
      <c r="AP25" s="28">
        <v>1</v>
      </c>
      <c r="AQ25" s="22">
        <v>106.11</v>
      </c>
      <c r="AR25" s="21"/>
      <c r="AS25" s="28">
        <v>1</v>
      </c>
      <c r="AT25" s="22">
        <v>105.94</v>
      </c>
      <c r="AU25" s="21"/>
      <c r="AV25" s="28">
        <v>1</v>
      </c>
      <c r="AW25" s="22">
        <v>105.99</v>
      </c>
      <c r="AX25" s="21"/>
      <c r="AY25" s="28">
        <v>1</v>
      </c>
      <c r="AZ25" s="22">
        <v>106.05</v>
      </c>
      <c r="BA25" s="21"/>
      <c r="BB25" s="28">
        <v>1</v>
      </c>
      <c r="BC25" s="22">
        <v>106.88</v>
      </c>
      <c r="BD25" s="21"/>
      <c r="BE25" s="28">
        <v>1</v>
      </c>
      <c r="BF25" s="22">
        <v>106.98</v>
      </c>
      <c r="BG25" s="21"/>
      <c r="BH25" s="28">
        <v>1</v>
      </c>
      <c r="BI25" s="22">
        <v>107.24</v>
      </c>
      <c r="BJ25" s="21"/>
      <c r="BK25" s="28">
        <v>1</v>
      </c>
      <c r="BL25" s="22">
        <v>106.82</v>
      </c>
      <c r="BM25" s="21"/>
      <c r="BN25" s="28">
        <v>1</v>
      </c>
      <c r="BO25" s="22">
        <v>106.51</v>
      </c>
      <c r="BP25" s="21"/>
      <c r="BQ25" s="28">
        <f t="shared" si="0"/>
        <v>1</v>
      </c>
      <c r="BR25" s="22">
        <f t="shared" si="1"/>
        <v>106.35863636363636</v>
      </c>
      <c r="BS25" s="9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" sqref="B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92</v>
      </c>
      <c r="D4" s="4"/>
      <c r="E4" s="10"/>
      <c r="F4" s="4" t="s">
        <v>93</v>
      </c>
      <c r="G4" s="4"/>
      <c r="H4" s="10"/>
      <c r="I4" s="4" t="s">
        <v>94</v>
      </c>
      <c r="J4" s="4"/>
      <c r="K4" s="10"/>
      <c r="L4" s="4" t="s">
        <v>95</v>
      </c>
      <c r="M4" s="4"/>
      <c r="N4" s="10"/>
      <c r="O4" s="4" t="s">
        <v>96</v>
      </c>
      <c r="P4" s="4"/>
      <c r="Q4" s="10"/>
      <c r="R4" s="4" t="s">
        <v>97</v>
      </c>
      <c r="S4" s="4"/>
      <c r="T4" s="10"/>
      <c r="U4" s="4" t="s">
        <v>98</v>
      </c>
      <c r="V4" s="4"/>
      <c r="W4" s="10"/>
      <c r="X4" s="4" t="s">
        <v>99</v>
      </c>
      <c r="Y4" s="4"/>
      <c r="Z4" s="10"/>
      <c r="AA4" s="4" t="s">
        <v>100</v>
      </c>
      <c r="AB4" s="4"/>
      <c r="AC4" s="10"/>
      <c r="AD4" s="4" t="s">
        <v>101</v>
      </c>
      <c r="AE4" s="4"/>
      <c r="AF4" s="10"/>
      <c r="AG4" s="4" t="s">
        <v>102</v>
      </c>
      <c r="AH4" s="4"/>
      <c r="AI4" s="10"/>
      <c r="AJ4" s="4" t="s">
        <v>103</v>
      </c>
      <c r="AK4" s="4"/>
      <c r="AL4" s="10"/>
      <c r="AM4" s="4" t="s">
        <v>104</v>
      </c>
      <c r="AN4" s="4"/>
      <c r="AO4" s="10"/>
      <c r="AP4" s="4" t="s">
        <v>105</v>
      </c>
      <c r="AQ4" s="4"/>
      <c r="AR4" s="10"/>
      <c r="AS4" s="4" t="s">
        <v>106</v>
      </c>
      <c r="AT4" s="4"/>
      <c r="AU4" s="10"/>
      <c r="AV4" s="4" t="s">
        <v>107</v>
      </c>
      <c r="AW4" s="4"/>
      <c r="AX4" s="10"/>
      <c r="AY4" s="4" t="s">
        <v>108</v>
      </c>
      <c r="AZ4" s="4"/>
      <c r="BA4" s="10"/>
      <c r="BB4" s="4" t="s">
        <v>109</v>
      </c>
      <c r="BC4" s="4"/>
      <c r="BD4" s="10"/>
      <c r="BE4" s="4" t="s">
        <v>110</v>
      </c>
      <c r="BF4" s="4"/>
      <c r="BG4" s="10"/>
      <c r="BH4" s="4" t="s">
        <v>111</v>
      </c>
      <c r="BI4" s="4"/>
      <c r="BJ4" s="26"/>
      <c r="BK4" s="4" t="s">
        <v>112</v>
      </c>
      <c r="BL4" s="4"/>
      <c r="BM4" s="26"/>
      <c r="BN4" s="4" t="s">
        <v>3</v>
      </c>
      <c r="BO4" s="4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103.85</v>
      </c>
      <c r="D13" s="19">
        <v>102.12</v>
      </c>
      <c r="E13" s="5"/>
      <c r="F13" s="27">
        <v>104.28</v>
      </c>
      <c r="G13" s="19">
        <v>101.45</v>
      </c>
      <c r="H13" s="5"/>
      <c r="I13" s="27">
        <v>104.82</v>
      </c>
      <c r="J13" s="19">
        <v>102.02</v>
      </c>
      <c r="K13" s="5"/>
      <c r="L13" s="27">
        <v>106.11</v>
      </c>
      <c r="M13" s="19">
        <v>100.94</v>
      </c>
      <c r="N13" s="5"/>
      <c r="O13" s="27">
        <v>105.78</v>
      </c>
      <c r="P13" s="19">
        <v>101.08</v>
      </c>
      <c r="Q13" s="5"/>
      <c r="R13" s="27">
        <v>105.92</v>
      </c>
      <c r="S13" s="19">
        <v>100.47</v>
      </c>
      <c r="T13" s="5"/>
      <c r="U13" s="27">
        <v>106.3</v>
      </c>
      <c r="V13" s="19">
        <v>100.14</v>
      </c>
      <c r="W13" s="5"/>
      <c r="X13" s="27">
        <v>105.77</v>
      </c>
      <c r="Y13" s="19">
        <v>100.88</v>
      </c>
      <c r="Z13" s="5"/>
      <c r="AA13" s="27">
        <v>107.41</v>
      </c>
      <c r="AB13" s="19">
        <v>99.73</v>
      </c>
      <c r="AC13" s="5"/>
      <c r="AD13" s="27">
        <v>108.84</v>
      </c>
      <c r="AE13" s="19">
        <v>97.98</v>
      </c>
      <c r="AF13" s="5"/>
      <c r="AG13" s="27">
        <v>108.32</v>
      </c>
      <c r="AH13" s="19">
        <v>98.13</v>
      </c>
      <c r="AI13" s="5"/>
      <c r="AJ13" s="27">
        <v>107.79</v>
      </c>
      <c r="AK13" s="19">
        <v>98.55</v>
      </c>
      <c r="AL13" s="5"/>
      <c r="AM13" s="27">
        <v>107.87</v>
      </c>
      <c r="AN13" s="19">
        <v>99.03</v>
      </c>
      <c r="AO13" s="5"/>
      <c r="AP13" s="27">
        <v>109.41</v>
      </c>
      <c r="AQ13" s="19">
        <v>98.09</v>
      </c>
      <c r="AR13" s="5"/>
      <c r="AS13" s="27">
        <v>109.56</v>
      </c>
      <c r="AT13" s="19">
        <v>98.13</v>
      </c>
      <c r="AU13" s="5"/>
      <c r="AV13" s="27">
        <v>108.8</v>
      </c>
      <c r="AW13" s="19">
        <v>98.49</v>
      </c>
      <c r="AX13" s="5"/>
      <c r="AY13" s="27">
        <v>108.77</v>
      </c>
      <c r="AZ13" s="19">
        <v>98.89</v>
      </c>
      <c r="BA13" s="5"/>
      <c r="BB13" s="27">
        <v>108.55</v>
      </c>
      <c r="BC13" s="19">
        <v>98.75</v>
      </c>
      <c r="BD13" s="5"/>
      <c r="BE13" s="27">
        <v>108.89</v>
      </c>
      <c r="BF13" s="19">
        <v>98.39</v>
      </c>
      <c r="BG13" s="5"/>
      <c r="BH13" s="27">
        <v>110.65</v>
      </c>
      <c r="BI13" s="19">
        <v>97.04</v>
      </c>
      <c r="BJ13" s="5"/>
      <c r="BK13" s="27">
        <v>110.23</v>
      </c>
      <c r="BL13" s="19">
        <v>96.98</v>
      </c>
      <c r="BM13" s="5"/>
      <c r="BN13" s="27">
        <f>(+C13+F13+I13+L13+O13+R13+U13+X13+AA13+AD13+AG13+AJ13+AM13+AP13+AS13+AV13+AY13+BB13+BE13+BH13+BK13)/21</f>
        <v>107.52000000000001</v>
      </c>
      <c r="BO13" s="19">
        <f>(+D13+G13+J13+M13+P13+S13+V13+Y13+AB13+AE13+AH13+AK13+AN13+AQ13+AT13+AW13+AZ13+BC13+BF13+BI13+BL13)/21</f>
        <v>99.3942857142857</v>
      </c>
      <c r="BP13" s="32"/>
      <c r="BQ13" s="9"/>
    </row>
    <row r="14" spans="1:69" ht="15.75" customHeight="1">
      <c r="A14" s="16">
        <v>2</v>
      </c>
      <c r="B14" s="17" t="s">
        <v>15</v>
      </c>
      <c r="C14" s="27">
        <f>1/1.8498</f>
        <v>0.5405989836739107</v>
      </c>
      <c r="D14" s="19">
        <v>196.17</v>
      </c>
      <c r="E14" s="5"/>
      <c r="F14" s="27">
        <f>1/1.8516</f>
        <v>0.5400734499891986</v>
      </c>
      <c r="G14" s="19">
        <v>195.88</v>
      </c>
      <c r="H14" s="5"/>
      <c r="I14" s="27">
        <f>1/1.8217</f>
        <v>0.5489378053466542</v>
      </c>
      <c r="J14" s="19">
        <v>194.8</v>
      </c>
      <c r="K14" s="5"/>
      <c r="L14" s="27">
        <f>1/1.8313</f>
        <v>0.5460601758313767</v>
      </c>
      <c r="M14" s="19">
        <v>196.15</v>
      </c>
      <c r="N14" s="5"/>
      <c r="O14" s="27">
        <f>1/1.8394</f>
        <v>0.5436555398499511</v>
      </c>
      <c r="P14" s="19">
        <v>196.67</v>
      </c>
      <c r="Q14" s="5"/>
      <c r="R14" s="27">
        <f>1/1.8406</f>
        <v>0.5433010974682169</v>
      </c>
      <c r="S14" s="19">
        <v>195.88</v>
      </c>
      <c r="T14" s="5"/>
      <c r="U14" s="27">
        <f>1/1.8327</f>
        <v>0.5456430403230207</v>
      </c>
      <c r="V14" s="19">
        <v>195.09</v>
      </c>
      <c r="W14" s="5"/>
      <c r="X14" s="27">
        <f>1/1.8276</f>
        <v>0.5471656817684395</v>
      </c>
      <c r="Y14" s="19">
        <v>195.01</v>
      </c>
      <c r="Z14" s="5"/>
      <c r="AA14" s="27">
        <f>1/1.803</f>
        <v>0.5546311702717693</v>
      </c>
      <c r="AB14" s="19">
        <v>193.13</v>
      </c>
      <c r="AC14" s="5"/>
      <c r="AD14" s="27">
        <f>1/1.7841</f>
        <v>0.5605066980550417</v>
      </c>
      <c r="AE14" s="19">
        <v>190.26</v>
      </c>
      <c r="AF14" s="5"/>
      <c r="AG14" s="27">
        <f>1/1.7917</f>
        <v>0.5581291510855612</v>
      </c>
      <c r="AH14" s="19">
        <v>190.45</v>
      </c>
      <c r="AI14" s="5"/>
      <c r="AJ14" s="27">
        <f>1/1.8135</f>
        <v>0.5514199062586159</v>
      </c>
      <c r="AK14" s="19">
        <v>192.64</v>
      </c>
      <c r="AL14" s="5"/>
      <c r="AM14" s="27">
        <f>1/1.7932</f>
        <v>0.5576622797233995</v>
      </c>
      <c r="AN14" s="19">
        <v>191.56</v>
      </c>
      <c r="AO14" s="5"/>
      <c r="AP14" s="27">
        <f>1/1.7728</f>
        <v>0.5640794223826715</v>
      </c>
      <c r="AQ14" s="19">
        <v>190.26</v>
      </c>
      <c r="AR14" s="5"/>
      <c r="AS14" s="27">
        <f>1/1.7681</f>
        <v>0.5655788699734178</v>
      </c>
      <c r="AT14" s="19">
        <v>190.09</v>
      </c>
      <c r="AU14" s="5"/>
      <c r="AV14" s="27">
        <f>1/1.7776</f>
        <v>0.5625562556255626</v>
      </c>
      <c r="AW14" s="19">
        <v>190.49</v>
      </c>
      <c r="AX14" s="5"/>
      <c r="AY14" s="27">
        <f>1/1.7797</f>
        <v>0.5618924537843456</v>
      </c>
      <c r="AZ14" s="19">
        <v>191.44</v>
      </c>
      <c r="BA14" s="5"/>
      <c r="BB14" s="27">
        <f>1/1.7913</f>
        <v>0.5582537821693743</v>
      </c>
      <c r="BC14" s="19">
        <v>192.02</v>
      </c>
      <c r="BD14" s="5"/>
      <c r="BE14" s="27">
        <f>1/1.7859</f>
        <v>0.5599417660563302</v>
      </c>
      <c r="BF14" s="19">
        <v>191.34</v>
      </c>
      <c r="BG14" s="5"/>
      <c r="BH14" s="27">
        <f>1/1.7666</f>
        <v>0.5660590965696819</v>
      </c>
      <c r="BI14" s="19">
        <v>189.69</v>
      </c>
      <c r="BJ14" s="5"/>
      <c r="BK14" s="27">
        <f>1/1.7685</f>
        <v>0.5654509471303365</v>
      </c>
      <c r="BL14" s="19">
        <v>189.06</v>
      </c>
      <c r="BM14" s="5"/>
      <c r="BN14" s="27">
        <f aca="true" t="shared" si="0" ref="BN14:BN25">(+C14+F14+I14+L14+O14+R14+U14+X14+AA14+AD14+AG14+AJ14+AM14+AP14+AS14+AV14+AY14+BB14+BE14+BH14+BK14)/21</f>
        <v>0.5543617892065178</v>
      </c>
      <c r="BO14" s="19">
        <f aca="true" t="shared" si="1" ref="BO14:BO25">(+D14+G14+J14+M14+P14+S14+V14+Y14+AB14+AE14+AH14+AK14+AN14+AQ14+AT14+AW14+AZ14+BC14+BF14+BI14+BL14)/21</f>
        <v>192.7657142857143</v>
      </c>
      <c r="BP14" s="32"/>
      <c r="BQ14" s="9"/>
    </row>
    <row r="15" spans="1:69" ht="15.75" customHeight="1">
      <c r="A15" s="16">
        <v>3</v>
      </c>
      <c r="B15" s="17" t="s">
        <v>16</v>
      </c>
      <c r="C15" s="27">
        <v>1.2648</v>
      </c>
      <c r="D15" s="19">
        <v>83.85</v>
      </c>
      <c r="E15" s="5"/>
      <c r="F15" s="27">
        <v>1.2678</v>
      </c>
      <c r="G15" s="19">
        <v>83.45</v>
      </c>
      <c r="H15" s="5"/>
      <c r="I15" s="27">
        <v>1.2932</v>
      </c>
      <c r="J15" s="19">
        <v>82.69</v>
      </c>
      <c r="K15" s="5"/>
      <c r="L15" s="27">
        <v>1.2968</v>
      </c>
      <c r="M15" s="19">
        <v>82.59</v>
      </c>
      <c r="N15" s="5"/>
      <c r="O15" s="27">
        <v>1.2882</v>
      </c>
      <c r="P15" s="19">
        <v>83</v>
      </c>
      <c r="Q15" s="5"/>
      <c r="R15" s="27">
        <v>1.2786</v>
      </c>
      <c r="S15" s="19">
        <v>83.23</v>
      </c>
      <c r="T15" s="5"/>
      <c r="U15" s="27">
        <v>1.28</v>
      </c>
      <c r="V15" s="19">
        <v>83.16</v>
      </c>
      <c r="W15" s="5"/>
      <c r="X15" s="27">
        <v>1.2911</v>
      </c>
      <c r="Y15" s="19">
        <v>82.65</v>
      </c>
      <c r="Z15" s="5"/>
      <c r="AA15" s="27">
        <v>1.3027</v>
      </c>
      <c r="AB15" s="19">
        <v>82.23</v>
      </c>
      <c r="AC15" s="5"/>
      <c r="AD15" s="27">
        <v>1.3008</v>
      </c>
      <c r="AE15" s="19">
        <v>81.98</v>
      </c>
      <c r="AF15" s="5"/>
      <c r="AG15" s="27">
        <v>1.2971</v>
      </c>
      <c r="AH15" s="19">
        <v>81.95</v>
      </c>
      <c r="AI15" s="5"/>
      <c r="AJ15" s="27">
        <v>1.2842</v>
      </c>
      <c r="AK15" s="19">
        <v>82.72</v>
      </c>
      <c r="AL15" s="5"/>
      <c r="AM15" s="27">
        <v>1.3022</v>
      </c>
      <c r="AN15" s="19">
        <v>82.04</v>
      </c>
      <c r="AO15" s="5"/>
      <c r="AP15" s="27">
        <v>1.3149</v>
      </c>
      <c r="AQ15" s="19">
        <v>81.62</v>
      </c>
      <c r="AR15" s="5"/>
      <c r="AS15" s="27">
        <v>1.3115</v>
      </c>
      <c r="AT15" s="19">
        <v>81.98</v>
      </c>
      <c r="AU15" s="5"/>
      <c r="AV15" s="27">
        <v>1.3113</v>
      </c>
      <c r="AW15" s="19">
        <v>81.72</v>
      </c>
      <c r="AX15" s="5"/>
      <c r="AY15" s="27">
        <v>1.3162</v>
      </c>
      <c r="AZ15" s="19">
        <v>81.73</v>
      </c>
      <c r="BA15" s="5"/>
      <c r="BB15" s="27">
        <v>1.3026</v>
      </c>
      <c r="BC15" s="19">
        <v>82.3</v>
      </c>
      <c r="BD15" s="5"/>
      <c r="BE15" s="27">
        <v>1.2982</v>
      </c>
      <c r="BF15" s="19">
        <v>82.53</v>
      </c>
      <c r="BG15" s="5"/>
      <c r="BH15" s="27">
        <v>1.3067</v>
      </c>
      <c r="BI15" s="19">
        <v>82.17</v>
      </c>
      <c r="BJ15" s="5"/>
      <c r="BK15" s="27">
        <v>1.3004</v>
      </c>
      <c r="BL15" s="19">
        <v>82.21</v>
      </c>
      <c r="BM15" s="5"/>
      <c r="BN15" s="27">
        <f t="shared" si="0"/>
        <v>1.2956809523809525</v>
      </c>
      <c r="BO15" s="19">
        <f t="shared" si="1"/>
        <v>82.46666666666668</v>
      </c>
      <c r="BP15" s="32"/>
      <c r="BQ15" s="9"/>
    </row>
    <row r="16" spans="1:69" ht="15.75" customHeight="1">
      <c r="A16" s="16">
        <v>4</v>
      </c>
      <c r="B16" s="17" t="s">
        <v>17</v>
      </c>
      <c r="C16" s="27">
        <f>1/1.2324</f>
        <v>0.8114248620577735</v>
      </c>
      <c r="D16" s="19">
        <v>130.7</v>
      </c>
      <c r="E16" s="5"/>
      <c r="F16" s="27">
        <f>1/1.2318</f>
        <v>0.8118201006656924</v>
      </c>
      <c r="G16" s="19">
        <v>130.31</v>
      </c>
      <c r="H16" s="5"/>
      <c r="I16" s="27">
        <f>1/1.21</f>
        <v>0.8264462809917356</v>
      </c>
      <c r="J16" s="19">
        <v>129.39</v>
      </c>
      <c r="K16" s="5"/>
      <c r="L16" s="27">
        <f>1/1.2075</f>
        <v>0.8281573498964803</v>
      </c>
      <c r="M16" s="19">
        <v>129.33</v>
      </c>
      <c r="N16" s="5"/>
      <c r="O16" s="27">
        <f>1/1.2095</f>
        <v>0.8267879288962381</v>
      </c>
      <c r="P16" s="19">
        <v>129.32</v>
      </c>
      <c r="Q16" s="5"/>
      <c r="R16" s="27">
        <v>1.2152</v>
      </c>
      <c r="S16" s="19">
        <v>129.32</v>
      </c>
      <c r="T16" s="5"/>
      <c r="U16" s="27">
        <f>1/1.21</f>
        <v>0.8264462809917356</v>
      </c>
      <c r="V16" s="19">
        <v>128.8</v>
      </c>
      <c r="W16" s="5"/>
      <c r="X16" s="27">
        <f>1/1.1996</f>
        <v>0.8336112037345782</v>
      </c>
      <c r="Y16" s="19">
        <v>128</v>
      </c>
      <c r="Z16" s="5"/>
      <c r="AA16" s="27">
        <f>1/1.1901</f>
        <v>0.8402655239055542</v>
      </c>
      <c r="AB16" s="19">
        <v>127.48</v>
      </c>
      <c r="AC16" s="5"/>
      <c r="AD16" s="27">
        <f>1/1.1913</f>
        <v>0.8394191219675984</v>
      </c>
      <c r="AE16" s="19">
        <v>127.04</v>
      </c>
      <c r="AF16" s="5"/>
      <c r="AG16" s="27">
        <f>1/1.1974</f>
        <v>0.8351428094204109</v>
      </c>
      <c r="AH16" s="19">
        <v>127.28</v>
      </c>
      <c r="AI16" s="5"/>
      <c r="AJ16" s="27">
        <f>1/1.2072</f>
        <v>0.8283631544068919</v>
      </c>
      <c r="AK16" s="19">
        <v>128.23</v>
      </c>
      <c r="AL16" s="5"/>
      <c r="AM16" s="27">
        <f>1/1.1923</f>
        <v>0.8387150884844419</v>
      </c>
      <c r="AN16" s="19">
        <v>127.37</v>
      </c>
      <c r="AO16" s="5"/>
      <c r="AP16" s="27">
        <f>1/1.1834</f>
        <v>0.8450228156160217</v>
      </c>
      <c r="AQ16" s="19">
        <v>127.01</v>
      </c>
      <c r="AR16" s="5"/>
      <c r="AS16" s="27">
        <f>1/1.184</f>
        <v>0.8445945945945946</v>
      </c>
      <c r="AT16" s="19">
        <v>127.29</v>
      </c>
      <c r="AU16" s="5"/>
      <c r="AV16" s="27">
        <f>1/1.1893</f>
        <v>0.8408307407718826</v>
      </c>
      <c r="AW16" s="19">
        <v>127.45</v>
      </c>
      <c r="AX16" s="5"/>
      <c r="AY16" s="27">
        <f>1/1.1827</f>
        <v>0.8455229559482539</v>
      </c>
      <c r="AZ16" s="19">
        <v>127.22</v>
      </c>
      <c r="BA16" s="5"/>
      <c r="BB16" s="27">
        <f>1/1.1881</f>
        <v>0.8416799932665601</v>
      </c>
      <c r="BC16" s="19">
        <v>127.36</v>
      </c>
      <c r="BD16" s="5"/>
      <c r="BE16" s="27">
        <f>1/1.1923</f>
        <v>0.8387150884844419</v>
      </c>
      <c r="BF16" s="19">
        <v>127.74</v>
      </c>
      <c r="BG16" s="5"/>
      <c r="BH16" s="27">
        <f>1/1.1829</f>
        <v>0.8453799983092399</v>
      </c>
      <c r="BI16" s="19">
        <v>127.01</v>
      </c>
      <c r="BJ16" s="5"/>
      <c r="BK16" s="27">
        <f>1/1.1931</f>
        <v>0.8381527114240214</v>
      </c>
      <c r="BL16" s="19">
        <v>127.54</v>
      </c>
      <c r="BM16" s="5"/>
      <c r="BN16" s="27">
        <f t="shared" si="0"/>
        <v>0.8524618382778167</v>
      </c>
      <c r="BO16" s="19">
        <f t="shared" si="1"/>
        <v>128.15190476190475</v>
      </c>
      <c r="BP16" s="32"/>
      <c r="BQ16" s="9"/>
    </row>
    <row r="17" spans="1:69" ht="15.75" customHeight="1">
      <c r="A17" s="16">
        <v>5</v>
      </c>
      <c r="B17" s="17" t="s">
        <v>18</v>
      </c>
      <c r="C17" s="27">
        <v>425</v>
      </c>
      <c r="D17" s="19">
        <v>45071.25</v>
      </c>
      <c r="E17" s="5"/>
      <c r="F17" s="27">
        <v>426</v>
      </c>
      <c r="G17" s="19">
        <v>45067.25</v>
      </c>
      <c r="H17" s="5"/>
      <c r="I17" s="27">
        <v>420.25</v>
      </c>
      <c r="J17" s="19">
        <v>44939.43</v>
      </c>
      <c r="K17" s="5"/>
      <c r="L17" s="27">
        <v>416.5</v>
      </c>
      <c r="M17" s="19">
        <v>44610.27</v>
      </c>
      <c r="N17" s="5"/>
      <c r="O17" s="27">
        <v>419</v>
      </c>
      <c r="P17" s="19">
        <v>44799.13</v>
      </c>
      <c r="Q17" s="5"/>
      <c r="R17" s="27">
        <v>421.5</v>
      </c>
      <c r="S17" s="19">
        <v>44856.38</v>
      </c>
      <c r="T17" s="5"/>
      <c r="U17" s="27">
        <v>420.5</v>
      </c>
      <c r="V17" s="19">
        <v>44761.87</v>
      </c>
      <c r="W17" s="5"/>
      <c r="X17" s="27">
        <v>417.25</v>
      </c>
      <c r="Y17" s="19">
        <v>44522.31</v>
      </c>
      <c r="Z17" s="5"/>
      <c r="AA17" s="27">
        <v>405.5</v>
      </c>
      <c r="AB17" s="19">
        <v>43435.81</v>
      </c>
      <c r="AC17" s="5"/>
      <c r="AD17" s="27">
        <v>397.8</v>
      </c>
      <c r="AE17" s="19">
        <v>42422.06</v>
      </c>
      <c r="AF17" s="5"/>
      <c r="AG17" s="27">
        <v>399.55</v>
      </c>
      <c r="AH17" s="19">
        <v>42469.5</v>
      </c>
      <c r="AI17" s="5"/>
      <c r="AJ17" s="27">
        <v>405.1</v>
      </c>
      <c r="AK17" s="19">
        <v>43031.41</v>
      </c>
      <c r="AL17" s="5"/>
      <c r="AM17" s="27">
        <v>398.7</v>
      </c>
      <c r="AN17" s="19">
        <v>42592.46</v>
      </c>
      <c r="AO17" s="5"/>
      <c r="AP17" s="27">
        <v>393.5</v>
      </c>
      <c r="AQ17" s="19">
        <v>42232.06</v>
      </c>
      <c r="AR17" s="5"/>
      <c r="AS17" s="27">
        <v>391</v>
      </c>
      <c r="AT17" s="19">
        <v>42037.06</v>
      </c>
      <c r="AU17" s="5"/>
      <c r="AV17" s="27">
        <v>395.75</v>
      </c>
      <c r="AW17" s="19">
        <v>42409.23</v>
      </c>
      <c r="AX17" s="5"/>
      <c r="AY17" s="27">
        <v>396.3</v>
      </c>
      <c r="AZ17" s="19">
        <v>42629</v>
      </c>
      <c r="BA17" s="5"/>
      <c r="BB17" s="27">
        <v>397.5</v>
      </c>
      <c r="BC17" s="19">
        <v>42611.01</v>
      </c>
      <c r="BD17" s="5"/>
      <c r="BE17" s="27">
        <v>397</v>
      </c>
      <c r="BF17" s="19">
        <v>42533.26</v>
      </c>
      <c r="BG17" s="5"/>
      <c r="BH17" s="27">
        <v>382.6</v>
      </c>
      <c r="BI17" s="19">
        <v>41081.36</v>
      </c>
      <c r="BJ17" s="5"/>
      <c r="BK17" s="27">
        <v>387.25</v>
      </c>
      <c r="BL17" s="19">
        <v>41397.67</v>
      </c>
      <c r="BM17" s="5"/>
      <c r="BN17" s="27">
        <f t="shared" si="0"/>
        <v>405.4071428571429</v>
      </c>
      <c r="BO17" s="19">
        <f t="shared" si="1"/>
        <v>43309.98952380953</v>
      </c>
      <c r="BP17" s="32"/>
      <c r="BQ17" s="9"/>
    </row>
    <row r="18" spans="1:69" ht="15.75" customHeight="1">
      <c r="A18" s="16">
        <v>6</v>
      </c>
      <c r="B18" s="20" t="s">
        <v>19</v>
      </c>
      <c r="C18" s="27">
        <v>7.93</v>
      </c>
      <c r="D18" s="19">
        <v>840.98</v>
      </c>
      <c r="E18" s="5"/>
      <c r="F18" s="27">
        <v>8.27</v>
      </c>
      <c r="G18" s="19">
        <v>874.9</v>
      </c>
      <c r="H18" s="5"/>
      <c r="I18" s="27">
        <v>8.2</v>
      </c>
      <c r="J18" s="19">
        <v>876.87</v>
      </c>
      <c r="K18" s="5"/>
      <c r="L18" s="27">
        <v>8.09</v>
      </c>
      <c r="M18" s="19">
        <v>866.5</v>
      </c>
      <c r="N18" s="5"/>
      <c r="O18" s="27">
        <v>8.17</v>
      </c>
      <c r="P18" s="19">
        <v>873.53</v>
      </c>
      <c r="Q18" s="5"/>
      <c r="R18" s="27">
        <v>8.14</v>
      </c>
      <c r="S18" s="19">
        <v>866.27</v>
      </c>
      <c r="T18" s="5"/>
      <c r="U18" s="27">
        <v>8.12</v>
      </c>
      <c r="V18" s="19">
        <v>864.37</v>
      </c>
      <c r="W18" s="5"/>
      <c r="X18" s="27">
        <v>7.85</v>
      </c>
      <c r="Y18" s="19">
        <v>837.63</v>
      </c>
      <c r="Z18" s="5"/>
      <c r="AA18" s="27">
        <v>7.25</v>
      </c>
      <c r="AB18" s="19">
        <v>776.6</v>
      </c>
      <c r="AC18" s="5"/>
      <c r="AD18" s="27">
        <v>6.95</v>
      </c>
      <c r="AE18" s="19">
        <v>741.16</v>
      </c>
      <c r="AF18" s="5"/>
      <c r="AG18" s="27">
        <v>7.11</v>
      </c>
      <c r="AH18" s="19">
        <v>755.75</v>
      </c>
      <c r="AI18" s="5"/>
      <c r="AJ18" s="27">
        <v>7.26</v>
      </c>
      <c r="AK18" s="19">
        <v>771.19</v>
      </c>
      <c r="AL18" s="5"/>
      <c r="AM18" s="27">
        <v>7.01</v>
      </c>
      <c r="AN18" s="19">
        <v>748.87</v>
      </c>
      <c r="AO18" s="5"/>
      <c r="AP18" s="27">
        <v>6.54</v>
      </c>
      <c r="AQ18" s="19">
        <v>701.9</v>
      </c>
      <c r="AR18" s="5"/>
      <c r="AS18" s="27">
        <v>6.17</v>
      </c>
      <c r="AT18" s="19">
        <v>663.35</v>
      </c>
      <c r="AU18" s="5"/>
      <c r="AV18" s="27">
        <v>6.15</v>
      </c>
      <c r="AW18" s="19">
        <v>659.04</v>
      </c>
      <c r="AX18" s="5"/>
      <c r="AY18" s="27">
        <v>6.22</v>
      </c>
      <c r="AZ18" s="19">
        <v>669.07</v>
      </c>
      <c r="BA18" s="5"/>
      <c r="BB18" s="27">
        <v>6.27</v>
      </c>
      <c r="BC18" s="19">
        <v>672.13</v>
      </c>
      <c r="BD18" s="5"/>
      <c r="BE18" s="27">
        <v>6.22</v>
      </c>
      <c r="BF18" s="19">
        <v>666.39</v>
      </c>
      <c r="BG18" s="5"/>
      <c r="BH18" s="27">
        <v>5.55</v>
      </c>
      <c r="BI18" s="19">
        <v>595.93</v>
      </c>
      <c r="BJ18" s="5"/>
      <c r="BK18" s="27">
        <v>5.95</v>
      </c>
      <c r="BL18" s="19">
        <v>636.06</v>
      </c>
      <c r="BM18" s="5"/>
      <c r="BN18" s="27">
        <f t="shared" si="0"/>
        <v>7.115238095238096</v>
      </c>
      <c r="BO18" s="19">
        <f t="shared" si="1"/>
        <v>759.9280952380951</v>
      </c>
      <c r="BP18" s="32"/>
      <c r="BQ18" s="9"/>
    </row>
    <row r="19" spans="1:69" ht="15.75" customHeight="1">
      <c r="A19" s="16">
        <v>7</v>
      </c>
      <c r="B19" s="17" t="s">
        <v>20</v>
      </c>
      <c r="C19" s="27">
        <f>1/0.7637</f>
        <v>1.30941469163284</v>
      </c>
      <c r="D19" s="19">
        <v>80.99</v>
      </c>
      <c r="E19" s="5"/>
      <c r="F19" s="27">
        <f>1/0.7651</f>
        <v>1.3070186903672723</v>
      </c>
      <c r="G19" s="19">
        <v>80.94</v>
      </c>
      <c r="H19" s="5"/>
      <c r="I19" s="27">
        <f>1/0.7572</f>
        <v>1.3206550449022716</v>
      </c>
      <c r="J19" s="19">
        <v>80.97</v>
      </c>
      <c r="K19" s="5"/>
      <c r="L19" s="27">
        <f>1/0.7583</f>
        <v>1.3187392852433075</v>
      </c>
      <c r="M19" s="19">
        <v>81.22</v>
      </c>
      <c r="N19" s="5"/>
      <c r="O19" s="27">
        <f>1/0.761</f>
        <v>1.314060446780552</v>
      </c>
      <c r="P19" s="19">
        <v>81.37</v>
      </c>
      <c r="Q19" s="5"/>
      <c r="R19" s="27">
        <f>1/0.7623</f>
        <v>1.3118194936376755</v>
      </c>
      <c r="S19" s="19">
        <v>81.12</v>
      </c>
      <c r="T19" s="5"/>
      <c r="U19" s="27">
        <f>1/0.7645</f>
        <v>1.3080444735120995</v>
      </c>
      <c r="V19" s="19">
        <v>81.38</v>
      </c>
      <c r="W19" s="5"/>
      <c r="X19" s="27">
        <f>1/0.761</f>
        <v>1.314060446780552</v>
      </c>
      <c r="Y19" s="19">
        <v>81.2</v>
      </c>
      <c r="Z19" s="5"/>
      <c r="AA19" s="27">
        <f>1/0.7404</f>
        <v>1.3506212857914641</v>
      </c>
      <c r="AB19" s="19">
        <v>79.31</v>
      </c>
      <c r="AC19" s="5"/>
      <c r="AD19" s="27">
        <f>1/0.7361</f>
        <v>1.3585110718652358</v>
      </c>
      <c r="AE19" s="19">
        <v>78.5</v>
      </c>
      <c r="AF19" s="5"/>
      <c r="AG19" s="27">
        <f>1/0.7416</f>
        <v>1.348435814455232</v>
      </c>
      <c r="AH19" s="19">
        <v>78.83</v>
      </c>
      <c r="AI19" s="5"/>
      <c r="AJ19" s="27">
        <f>1/0.7505</f>
        <v>1.3324450366422387</v>
      </c>
      <c r="AK19" s="19">
        <v>79.72</v>
      </c>
      <c r="AL19" s="5"/>
      <c r="AM19" s="27">
        <f>1/0.7384</f>
        <v>1.354279523293608</v>
      </c>
      <c r="AN19" s="19">
        <v>78.88</v>
      </c>
      <c r="AO19" s="5"/>
      <c r="AP19" s="27">
        <f>1/0.7298</f>
        <v>1.3702384214853385</v>
      </c>
      <c r="AQ19" s="19">
        <v>78.33</v>
      </c>
      <c r="AR19" s="5"/>
      <c r="AS19" s="27">
        <f>1/0.7269</f>
        <v>1.3757050488375293</v>
      </c>
      <c r="AT19" s="19">
        <v>78.15</v>
      </c>
      <c r="AU19" s="5"/>
      <c r="AV19" s="27">
        <f>1/0.7329</f>
        <v>1.364442625187611</v>
      </c>
      <c r="AW19" s="19">
        <v>78.54</v>
      </c>
      <c r="AX19" s="5"/>
      <c r="AY19" s="27">
        <f>1/0.7327</f>
        <v>1.364815067558346</v>
      </c>
      <c r="AZ19" s="19">
        <v>78.81</v>
      </c>
      <c r="BA19" s="5"/>
      <c r="BB19" s="27">
        <f>1/0.7352</f>
        <v>1.3601741022850926</v>
      </c>
      <c r="BC19" s="19">
        <v>78.81</v>
      </c>
      <c r="BD19" s="5"/>
      <c r="BE19" s="27">
        <f>1/0.7331</f>
        <v>1.3640703860319192</v>
      </c>
      <c r="BF19" s="19">
        <v>78.54</v>
      </c>
      <c r="BG19" s="5"/>
      <c r="BH19" s="27">
        <f>1/0.7162</f>
        <v>1.3962580284836639</v>
      </c>
      <c r="BI19" s="19">
        <v>76.9</v>
      </c>
      <c r="BJ19" s="18"/>
      <c r="BK19" s="27">
        <f>1/0.7214</f>
        <v>1.386193512614361</v>
      </c>
      <c r="BL19" s="19">
        <v>77.12</v>
      </c>
      <c r="BM19" s="18"/>
      <c r="BN19" s="27">
        <f t="shared" si="0"/>
        <v>1.3442858332089624</v>
      </c>
      <c r="BO19" s="19">
        <f t="shared" si="1"/>
        <v>79.50619047619048</v>
      </c>
      <c r="BP19" s="32"/>
      <c r="BQ19" s="24"/>
    </row>
    <row r="20" spans="1:69" ht="15.75" customHeight="1">
      <c r="A20" s="16">
        <v>8</v>
      </c>
      <c r="B20" s="17" t="s">
        <v>21</v>
      </c>
      <c r="C20" s="27">
        <v>1.3092</v>
      </c>
      <c r="D20" s="19">
        <v>81</v>
      </c>
      <c r="E20" s="5"/>
      <c r="F20" s="27">
        <v>1.3061</v>
      </c>
      <c r="G20" s="19">
        <v>81</v>
      </c>
      <c r="H20" s="5"/>
      <c r="I20" s="27">
        <v>1.3121</v>
      </c>
      <c r="J20" s="19">
        <v>81.5</v>
      </c>
      <c r="K20" s="5"/>
      <c r="L20" s="27">
        <v>1.3155</v>
      </c>
      <c r="M20" s="19">
        <v>81.42</v>
      </c>
      <c r="N20" s="5"/>
      <c r="O20" s="27">
        <v>1.3127</v>
      </c>
      <c r="P20" s="19">
        <v>81.45</v>
      </c>
      <c r="Q20" s="5"/>
      <c r="R20" s="27">
        <v>1.3148</v>
      </c>
      <c r="S20" s="19">
        <v>80.94</v>
      </c>
      <c r="T20" s="5"/>
      <c r="U20" s="27">
        <v>1.3268</v>
      </c>
      <c r="V20" s="19">
        <v>80.23</v>
      </c>
      <c r="W20" s="5"/>
      <c r="X20" s="27">
        <v>1.3389</v>
      </c>
      <c r="Y20" s="19">
        <v>79.7</v>
      </c>
      <c r="Z20" s="5"/>
      <c r="AA20" s="27">
        <v>1.3365</v>
      </c>
      <c r="AB20" s="19">
        <v>80.15</v>
      </c>
      <c r="AC20" s="5"/>
      <c r="AD20" s="27">
        <v>1.344</v>
      </c>
      <c r="AE20" s="19">
        <v>79.35</v>
      </c>
      <c r="AF20" s="5"/>
      <c r="AG20" s="27">
        <v>1.3443</v>
      </c>
      <c r="AH20" s="19">
        <v>79.07</v>
      </c>
      <c r="AI20" s="5"/>
      <c r="AJ20" s="27">
        <v>1.3432</v>
      </c>
      <c r="AK20" s="19">
        <v>79.08</v>
      </c>
      <c r="AL20" s="5"/>
      <c r="AM20" s="27">
        <v>1.3544</v>
      </c>
      <c r="AN20" s="19">
        <v>78.88</v>
      </c>
      <c r="AO20" s="5"/>
      <c r="AP20" s="27">
        <v>1.3624</v>
      </c>
      <c r="AQ20" s="19">
        <v>78.78</v>
      </c>
      <c r="AR20" s="5"/>
      <c r="AS20" s="27">
        <v>1.3602</v>
      </c>
      <c r="AT20" s="19">
        <v>79.04</v>
      </c>
      <c r="AU20" s="5"/>
      <c r="AV20" s="27">
        <v>1.3528</v>
      </c>
      <c r="AW20" s="19">
        <v>79.21</v>
      </c>
      <c r="AX20" s="5"/>
      <c r="AY20" s="27">
        <v>1.3554</v>
      </c>
      <c r="AZ20" s="19">
        <v>79.36</v>
      </c>
      <c r="BA20" s="5"/>
      <c r="BB20" s="27">
        <v>1.3477</v>
      </c>
      <c r="BC20" s="19">
        <v>79.54</v>
      </c>
      <c r="BD20" s="5"/>
      <c r="BE20" s="27">
        <v>1.3505</v>
      </c>
      <c r="BF20" s="19">
        <v>79.33</v>
      </c>
      <c r="BG20" s="5"/>
      <c r="BH20" s="27">
        <v>1.3722</v>
      </c>
      <c r="BI20" s="19">
        <v>78.25</v>
      </c>
      <c r="BJ20" s="5"/>
      <c r="BK20" s="27">
        <v>1.3714</v>
      </c>
      <c r="BL20" s="19">
        <v>77.95</v>
      </c>
      <c r="BM20" s="5"/>
      <c r="BN20" s="27">
        <f t="shared" si="0"/>
        <v>1.3395761904761905</v>
      </c>
      <c r="BO20" s="19">
        <f t="shared" si="1"/>
        <v>79.77285714285713</v>
      </c>
      <c r="BP20" s="32"/>
      <c r="BQ20" s="9"/>
    </row>
    <row r="21" spans="1:69" ht="15.75" customHeight="1">
      <c r="A21" s="16">
        <v>9</v>
      </c>
      <c r="B21" s="17" t="s">
        <v>22</v>
      </c>
      <c r="C21" s="27">
        <v>7.507</v>
      </c>
      <c r="D21" s="19">
        <v>14.13</v>
      </c>
      <c r="E21" s="5"/>
      <c r="F21" s="27">
        <v>7.492</v>
      </c>
      <c r="G21" s="19">
        <v>14.12</v>
      </c>
      <c r="H21" s="5"/>
      <c r="I21" s="27">
        <v>7.5932</v>
      </c>
      <c r="J21" s="19">
        <v>14.08</v>
      </c>
      <c r="K21" s="5"/>
      <c r="L21" s="27">
        <v>7.6106</v>
      </c>
      <c r="M21" s="19">
        <v>14.07</v>
      </c>
      <c r="N21" s="5"/>
      <c r="O21" s="27">
        <v>7.5881</v>
      </c>
      <c r="P21" s="19">
        <v>14.09</v>
      </c>
      <c r="Q21" s="5"/>
      <c r="R21" s="27">
        <v>7.5358</v>
      </c>
      <c r="S21" s="19">
        <v>14.12</v>
      </c>
      <c r="T21" s="5"/>
      <c r="U21" s="27">
        <v>7.5724</v>
      </c>
      <c r="V21" s="19">
        <v>14.06</v>
      </c>
      <c r="W21" s="5"/>
      <c r="X21" s="27">
        <v>7.6283</v>
      </c>
      <c r="Y21" s="19">
        <v>13.99</v>
      </c>
      <c r="Z21" s="5"/>
      <c r="AA21" s="27">
        <v>7.6968</v>
      </c>
      <c r="AB21" s="19">
        <v>13.92</v>
      </c>
      <c r="AC21" s="5"/>
      <c r="AD21" s="27">
        <v>7.7194</v>
      </c>
      <c r="AE21" s="19">
        <v>13.81</v>
      </c>
      <c r="AF21" s="5"/>
      <c r="AG21" s="27">
        <v>7.6725</v>
      </c>
      <c r="AH21" s="19">
        <v>13.85</v>
      </c>
      <c r="AI21" s="5"/>
      <c r="AJ21" s="27">
        <v>7.6235</v>
      </c>
      <c r="AK21" s="19">
        <v>13.93</v>
      </c>
      <c r="AL21" s="5"/>
      <c r="AM21" s="27">
        <v>7.6975</v>
      </c>
      <c r="AN21" s="19">
        <v>13.88</v>
      </c>
      <c r="AO21" s="5"/>
      <c r="AP21" s="27">
        <v>7.7315</v>
      </c>
      <c r="AQ21" s="19">
        <v>13.88</v>
      </c>
      <c r="AR21" s="5"/>
      <c r="AS21" s="27">
        <v>7.7215</v>
      </c>
      <c r="AT21" s="19">
        <v>13.92</v>
      </c>
      <c r="AU21" s="5"/>
      <c r="AV21" s="27">
        <v>7.6798</v>
      </c>
      <c r="AW21" s="19">
        <v>13.95</v>
      </c>
      <c r="AX21" s="5"/>
      <c r="AY21" s="27">
        <v>7.7053</v>
      </c>
      <c r="AZ21" s="19">
        <v>13.96</v>
      </c>
      <c r="BA21" s="5"/>
      <c r="BB21" s="27">
        <v>7.6676</v>
      </c>
      <c r="BC21" s="19">
        <v>13.98</v>
      </c>
      <c r="BD21" s="5"/>
      <c r="BE21" s="27">
        <v>7.6364</v>
      </c>
      <c r="BF21" s="19">
        <v>14.03</v>
      </c>
      <c r="BG21" s="5"/>
      <c r="BH21" s="27">
        <v>7.7022</v>
      </c>
      <c r="BI21" s="19">
        <v>13.94</v>
      </c>
      <c r="BJ21" s="5"/>
      <c r="BK21" s="27">
        <v>7.6557</v>
      </c>
      <c r="BL21" s="19">
        <v>13.96</v>
      </c>
      <c r="BM21" s="5"/>
      <c r="BN21" s="27">
        <f t="shared" si="0"/>
        <v>7.639861904761905</v>
      </c>
      <c r="BO21" s="19">
        <f t="shared" si="1"/>
        <v>13.98428571428571</v>
      </c>
      <c r="BP21" s="32"/>
      <c r="BQ21" s="9"/>
    </row>
    <row r="22" spans="1:69" ht="15.75" customHeight="1">
      <c r="A22" s="16">
        <v>10</v>
      </c>
      <c r="B22" s="17" t="s">
        <v>23</v>
      </c>
      <c r="C22" s="27">
        <v>6.876</v>
      </c>
      <c r="D22" s="19">
        <v>15.42</v>
      </c>
      <c r="E22" s="5"/>
      <c r="F22" s="27">
        <v>6.8258</v>
      </c>
      <c r="G22" s="19">
        <v>15.5</v>
      </c>
      <c r="H22" s="5"/>
      <c r="I22" s="27">
        <v>6.9307</v>
      </c>
      <c r="J22" s="19">
        <v>15.43</v>
      </c>
      <c r="K22" s="5"/>
      <c r="L22" s="27">
        <v>6.9366</v>
      </c>
      <c r="M22" s="19">
        <v>15.44</v>
      </c>
      <c r="N22" s="5"/>
      <c r="O22" s="27">
        <v>6.924</v>
      </c>
      <c r="P22" s="19">
        <v>15.44</v>
      </c>
      <c r="Q22" s="5"/>
      <c r="R22" s="27">
        <v>6.8701</v>
      </c>
      <c r="S22" s="19">
        <v>15.49</v>
      </c>
      <c r="T22" s="5"/>
      <c r="U22" s="27">
        <v>6.9184</v>
      </c>
      <c r="V22" s="19">
        <v>15.39</v>
      </c>
      <c r="W22" s="5"/>
      <c r="X22" s="27">
        <v>6.9358</v>
      </c>
      <c r="Y22" s="19">
        <v>15.38</v>
      </c>
      <c r="Z22" s="5"/>
      <c r="AA22" s="27">
        <v>6.9638</v>
      </c>
      <c r="AB22" s="19">
        <v>15.38</v>
      </c>
      <c r="AC22" s="5"/>
      <c r="AD22" s="27">
        <v>6.944</v>
      </c>
      <c r="AE22" s="19">
        <v>15.36</v>
      </c>
      <c r="AF22" s="5"/>
      <c r="AG22" s="27">
        <v>6.91</v>
      </c>
      <c r="AH22" s="19">
        <v>15.38</v>
      </c>
      <c r="AI22" s="5"/>
      <c r="AJ22" s="27">
        <v>6.8697</v>
      </c>
      <c r="AK22" s="19">
        <v>15.46</v>
      </c>
      <c r="AL22" s="5"/>
      <c r="AM22" s="27">
        <v>6.9462</v>
      </c>
      <c r="AN22" s="19">
        <v>15.38</v>
      </c>
      <c r="AO22" s="5"/>
      <c r="AP22" s="27">
        <v>6.9963</v>
      </c>
      <c r="AQ22" s="19">
        <v>15.34</v>
      </c>
      <c r="AR22" s="5"/>
      <c r="AS22" s="27">
        <v>6.9698</v>
      </c>
      <c r="AT22" s="19">
        <v>15.43</v>
      </c>
      <c r="AU22" s="5"/>
      <c r="AV22" s="27">
        <v>6.9344</v>
      </c>
      <c r="AW22" s="19">
        <v>15.45</v>
      </c>
      <c r="AX22" s="5"/>
      <c r="AY22" s="27">
        <v>6.97</v>
      </c>
      <c r="AZ22" s="19">
        <v>15.43</v>
      </c>
      <c r="BA22" s="5"/>
      <c r="BB22" s="27">
        <v>6.9285</v>
      </c>
      <c r="BC22" s="19">
        <v>15.47</v>
      </c>
      <c r="BD22" s="5"/>
      <c r="BE22" s="27">
        <v>6.8766</v>
      </c>
      <c r="BF22" s="19">
        <v>15.58</v>
      </c>
      <c r="BG22" s="5"/>
      <c r="BH22" s="27">
        <v>6.8977</v>
      </c>
      <c r="BI22" s="19">
        <v>15.57</v>
      </c>
      <c r="BJ22" s="5"/>
      <c r="BK22" s="27">
        <v>6.8693</v>
      </c>
      <c r="BL22" s="19">
        <v>15.56</v>
      </c>
      <c r="BM22" s="5"/>
      <c r="BN22" s="27">
        <f t="shared" si="0"/>
        <v>6.918747619047619</v>
      </c>
      <c r="BO22" s="19">
        <f t="shared" si="1"/>
        <v>15.441904761904762</v>
      </c>
      <c r="BP22" s="32"/>
      <c r="BQ22" s="9"/>
    </row>
    <row r="23" spans="1:69" ht="15.75" customHeight="1">
      <c r="A23" s="16">
        <v>11</v>
      </c>
      <c r="B23" s="17" t="s">
        <v>24</v>
      </c>
      <c r="C23" s="27">
        <v>6.0398</v>
      </c>
      <c r="D23" s="19">
        <v>17.56</v>
      </c>
      <c r="E23" s="5"/>
      <c r="F23" s="27">
        <v>6.0417</v>
      </c>
      <c r="G23" s="19">
        <v>17.51</v>
      </c>
      <c r="H23" s="5"/>
      <c r="I23" s="27">
        <v>6.1521</v>
      </c>
      <c r="J23" s="19">
        <v>17.38</v>
      </c>
      <c r="K23" s="5"/>
      <c r="L23" s="27">
        <v>6.1671</v>
      </c>
      <c r="M23" s="19">
        <v>17.37</v>
      </c>
      <c r="N23" s="5"/>
      <c r="O23" s="27">
        <v>6.1551</v>
      </c>
      <c r="P23" s="19">
        <v>17.37</v>
      </c>
      <c r="Q23" s="5"/>
      <c r="R23" s="27">
        <v>6.1255</v>
      </c>
      <c r="S23" s="19">
        <v>17.37</v>
      </c>
      <c r="T23" s="5"/>
      <c r="U23" s="27">
        <v>6.1517</v>
      </c>
      <c r="V23" s="19">
        <v>17.3</v>
      </c>
      <c r="W23" s="5"/>
      <c r="X23" s="27">
        <v>6.2048</v>
      </c>
      <c r="Y23" s="19">
        <v>17.2</v>
      </c>
      <c r="Z23" s="5"/>
      <c r="AA23" s="27">
        <v>6.2519</v>
      </c>
      <c r="AB23" s="19">
        <v>17.13</v>
      </c>
      <c r="AC23" s="5"/>
      <c r="AD23" s="27">
        <v>6.2475</v>
      </c>
      <c r="AE23" s="19">
        <v>17.07</v>
      </c>
      <c r="AF23" s="5"/>
      <c r="AG23" s="27">
        <v>6.2164</v>
      </c>
      <c r="AH23" s="19">
        <v>17.1</v>
      </c>
      <c r="AI23" s="5"/>
      <c r="AJ23" s="27">
        <v>6.1655</v>
      </c>
      <c r="AK23" s="19">
        <v>17.23</v>
      </c>
      <c r="AL23" s="5"/>
      <c r="AM23" s="27">
        <v>6.2418</v>
      </c>
      <c r="AN23" s="19">
        <v>17.11</v>
      </c>
      <c r="AO23" s="5"/>
      <c r="AP23" s="27">
        <v>6.2855</v>
      </c>
      <c r="AQ23" s="19">
        <v>17.07</v>
      </c>
      <c r="AR23" s="5"/>
      <c r="AS23" s="27">
        <v>6.2842</v>
      </c>
      <c r="AT23" s="19">
        <v>17.11</v>
      </c>
      <c r="AU23" s="5"/>
      <c r="AV23" s="27">
        <v>6.2549</v>
      </c>
      <c r="AW23" s="19">
        <v>17.13</v>
      </c>
      <c r="AX23" s="5"/>
      <c r="AY23" s="27">
        <v>6.2895</v>
      </c>
      <c r="AZ23" s="19">
        <v>17.1</v>
      </c>
      <c r="BA23" s="5"/>
      <c r="BB23" s="27">
        <v>6.2611</v>
      </c>
      <c r="BC23" s="19">
        <v>17.12</v>
      </c>
      <c r="BD23" s="5"/>
      <c r="BE23" s="27">
        <v>6.2395</v>
      </c>
      <c r="BF23" s="19">
        <v>17.17</v>
      </c>
      <c r="BG23" s="5"/>
      <c r="BH23" s="27">
        <v>6.2871</v>
      </c>
      <c r="BI23" s="19">
        <v>17.08</v>
      </c>
      <c r="BJ23" s="5"/>
      <c r="BK23" s="27">
        <v>6.2343</v>
      </c>
      <c r="BL23" s="19">
        <v>17.15</v>
      </c>
      <c r="BM23" s="5"/>
      <c r="BN23" s="27">
        <f t="shared" si="0"/>
        <v>6.2046190476190475</v>
      </c>
      <c r="BO23" s="19">
        <f t="shared" si="1"/>
        <v>17.22047619047619</v>
      </c>
      <c r="BP23" s="32"/>
      <c r="BQ23" s="9"/>
    </row>
    <row r="24" spans="1:69" ht="15.75" customHeight="1">
      <c r="A24" s="16">
        <v>12</v>
      </c>
      <c r="B24" s="17" t="s">
        <v>25</v>
      </c>
      <c r="C24" s="27">
        <f>1/1.48051</f>
        <v>0.6754429216959021</v>
      </c>
      <c r="D24" s="19">
        <v>157.01</v>
      </c>
      <c r="E24" s="5"/>
      <c r="F24" s="27">
        <f>1/1.487</f>
        <v>0.6724949562878278</v>
      </c>
      <c r="G24" s="19">
        <v>157.31</v>
      </c>
      <c r="H24" s="5"/>
      <c r="I24" s="27">
        <f>1/1.48473</f>
        <v>0.6735231321519737</v>
      </c>
      <c r="J24" s="19">
        <v>158.77</v>
      </c>
      <c r="K24" s="5"/>
      <c r="L24" s="27">
        <f>1/1.47133</f>
        <v>0.679657180917945</v>
      </c>
      <c r="M24" s="19">
        <v>157.59</v>
      </c>
      <c r="N24" s="5"/>
      <c r="O24" s="27">
        <f>1/1.47051</f>
        <v>0.6800361779246656</v>
      </c>
      <c r="P24" s="19">
        <v>157.23</v>
      </c>
      <c r="Q24" s="5"/>
      <c r="R24" s="27">
        <f>1/1.47069</f>
        <v>0.6799529472560498</v>
      </c>
      <c r="S24" s="19">
        <v>156.51</v>
      </c>
      <c r="T24" s="5"/>
      <c r="U24" s="27">
        <f>1/1.47399</f>
        <v>0.6784306542106799</v>
      </c>
      <c r="V24" s="19">
        <v>156.91</v>
      </c>
      <c r="W24" s="5"/>
      <c r="X24" s="27">
        <f>1/1.47088</f>
        <v>0.6798651147612313</v>
      </c>
      <c r="Y24" s="19">
        <v>156.95</v>
      </c>
      <c r="Z24" s="5"/>
      <c r="AA24" s="27">
        <f>1/1.46491</f>
        <v>0.6826357933251872</v>
      </c>
      <c r="AB24" s="19">
        <v>156.92</v>
      </c>
      <c r="AC24" s="5"/>
      <c r="AD24" s="27">
        <f>1/1.45698</f>
        <v>0.6863512196461173</v>
      </c>
      <c r="AE24" s="19">
        <v>155.37</v>
      </c>
      <c r="AF24" s="5"/>
      <c r="AG24" s="27">
        <f>1/1.45273</f>
        <v>0.6883591582744212</v>
      </c>
      <c r="AH24" s="19">
        <v>154.42</v>
      </c>
      <c r="AI24" s="5"/>
      <c r="AJ24" s="27">
        <f>1/1.45537</f>
        <v>0.6871104942385785</v>
      </c>
      <c r="AK24" s="19">
        <v>154.6</v>
      </c>
      <c r="AL24" s="5"/>
      <c r="AM24" s="27">
        <f>1/1.46326</f>
        <v>0.6834055465194155</v>
      </c>
      <c r="AN24" s="19">
        <v>156.32</v>
      </c>
      <c r="AO24" s="5"/>
      <c r="AP24" s="27">
        <f>1/1.45615</f>
        <v>0.6867424372489098</v>
      </c>
      <c r="AQ24" s="19">
        <v>156.28</v>
      </c>
      <c r="AR24" s="5"/>
      <c r="AS24" s="27">
        <f>1/1.44657</f>
        <v>0.6912904318491329</v>
      </c>
      <c r="AT24" s="19">
        <v>155.52</v>
      </c>
      <c r="AU24" s="5"/>
      <c r="AV24" s="27">
        <f>1/1.44811</f>
        <v>0.6905552754970271</v>
      </c>
      <c r="AW24" s="19">
        <v>155.18</v>
      </c>
      <c r="AX24" s="5"/>
      <c r="AY24" s="27">
        <f>1/1.4516</f>
        <v>0.6888950124001102</v>
      </c>
      <c r="AZ24" s="19">
        <v>156.14</v>
      </c>
      <c r="BA24" s="5"/>
      <c r="BB24" s="27">
        <f>1/1.4499</f>
        <v>0.6897027381198704</v>
      </c>
      <c r="BC24" s="19">
        <v>155.43</v>
      </c>
      <c r="BD24" s="5"/>
      <c r="BE24" s="27">
        <f>1/1.45149</f>
        <v>0.6889472197534947</v>
      </c>
      <c r="BF24" s="19">
        <v>155.51</v>
      </c>
      <c r="BG24" s="5"/>
      <c r="BH24" s="27">
        <f>1/1.45133</f>
        <v>0.6890231718492693</v>
      </c>
      <c r="BI24" s="19">
        <v>155.84</v>
      </c>
      <c r="BJ24" s="5"/>
      <c r="BK24" s="27">
        <f>1/1.4429</f>
        <v>0.6930487213251091</v>
      </c>
      <c r="BL24" s="19">
        <v>154.25</v>
      </c>
      <c r="BM24" s="5"/>
      <c r="BN24" s="27">
        <f t="shared" si="0"/>
        <v>0.6840700145358531</v>
      </c>
      <c r="BO24" s="19">
        <f t="shared" si="1"/>
        <v>156.1933333333333</v>
      </c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106.05</v>
      </c>
      <c r="E25" s="21"/>
      <c r="F25" s="28">
        <v>1</v>
      </c>
      <c r="G25" s="22">
        <v>105.79</v>
      </c>
      <c r="H25" s="21"/>
      <c r="I25" s="28">
        <v>1</v>
      </c>
      <c r="J25" s="22">
        <v>106.94</v>
      </c>
      <c r="K25" s="21"/>
      <c r="L25" s="28">
        <v>1</v>
      </c>
      <c r="M25" s="22">
        <v>107.11</v>
      </c>
      <c r="N25" s="21"/>
      <c r="O25" s="28">
        <v>1</v>
      </c>
      <c r="P25" s="22">
        <v>106.92</v>
      </c>
      <c r="Q25" s="21"/>
      <c r="R25" s="28">
        <v>1</v>
      </c>
      <c r="S25" s="22">
        <v>106.42</v>
      </c>
      <c r="T25" s="21"/>
      <c r="U25" s="28">
        <v>1</v>
      </c>
      <c r="V25" s="22">
        <v>106.45</v>
      </c>
      <c r="W25" s="21"/>
      <c r="X25" s="28">
        <v>1</v>
      </c>
      <c r="Y25" s="22">
        <v>106.7</v>
      </c>
      <c r="Z25" s="21"/>
      <c r="AA25" s="28">
        <v>1</v>
      </c>
      <c r="AB25" s="22">
        <v>107.12</v>
      </c>
      <c r="AC25" s="21"/>
      <c r="AD25" s="28">
        <v>1</v>
      </c>
      <c r="AE25" s="22">
        <v>106.64</v>
      </c>
      <c r="AF25" s="21"/>
      <c r="AG25" s="28">
        <v>1</v>
      </c>
      <c r="AH25" s="22">
        <v>106.29</v>
      </c>
      <c r="AI25" s="21"/>
      <c r="AJ25" s="28">
        <v>1</v>
      </c>
      <c r="AK25" s="22">
        <v>106.22</v>
      </c>
      <c r="AL25" s="21"/>
      <c r="AM25" s="28">
        <v>1</v>
      </c>
      <c r="AN25" s="22">
        <v>106.83</v>
      </c>
      <c r="AO25" s="21"/>
      <c r="AP25" s="28">
        <v>1</v>
      </c>
      <c r="AQ25" s="22">
        <v>107.32</v>
      </c>
      <c r="AR25" s="21"/>
      <c r="AS25" s="28">
        <v>1</v>
      </c>
      <c r="AT25" s="22">
        <v>107.51</v>
      </c>
      <c r="AU25" s="21"/>
      <c r="AV25" s="28">
        <v>1</v>
      </c>
      <c r="AW25" s="22">
        <v>107.16</v>
      </c>
      <c r="AX25" s="21"/>
      <c r="AY25" s="28">
        <v>1</v>
      </c>
      <c r="AZ25" s="22">
        <v>107.57</v>
      </c>
      <c r="BA25" s="21"/>
      <c r="BB25" s="28">
        <v>1</v>
      </c>
      <c r="BC25" s="22">
        <v>107.2</v>
      </c>
      <c r="BD25" s="21"/>
      <c r="BE25" s="28">
        <v>1</v>
      </c>
      <c r="BF25" s="22">
        <v>107.14</v>
      </c>
      <c r="BG25" s="21"/>
      <c r="BH25" s="28">
        <v>1</v>
      </c>
      <c r="BI25" s="22">
        <v>107.37</v>
      </c>
      <c r="BJ25" s="21"/>
      <c r="BK25" s="28">
        <v>1</v>
      </c>
      <c r="BL25" s="22">
        <v>106.9</v>
      </c>
      <c r="BM25" s="21"/>
      <c r="BN25" s="28">
        <f t="shared" si="0"/>
        <v>1</v>
      </c>
      <c r="BO25" s="22">
        <f t="shared" si="1"/>
        <v>106.8404761904762</v>
      </c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F16" sqref="BF16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115</v>
      </c>
      <c r="D4" s="4"/>
      <c r="E4" s="10"/>
      <c r="F4" s="4" t="s">
        <v>116</v>
      </c>
      <c r="G4" s="4"/>
      <c r="H4" s="10"/>
      <c r="I4" s="4" t="s">
        <v>117</v>
      </c>
      <c r="J4" s="4"/>
      <c r="K4" s="10"/>
      <c r="L4" s="4" t="s">
        <v>118</v>
      </c>
      <c r="M4" s="4"/>
      <c r="N4" s="10"/>
      <c r="O4" s="4" t="s">
        <v>119</v>
      </c>
      <c r="P4" s="4"/>
      <c r="Q4" s="10"/>
      <c r="R4" s="4" t="s">
        <v>120</v>
      </c>
      <c r="S4" s="4"/>
      <c r="T4" s="10"/>
      <c r="U4" s="4" t="s">
        <v>121</v>
      </c>
      <c r="V4" s="4"/>
      <c r="W4" s="10"/>
      <c r="X4" s="4" t="s">
        <v>122</v>
      </c>
      <c r="Y4" s="4"/>
      <c r="Z4" s="10"/>
      <c r="AA4" s="4" t="s">
        <v>123</v>
      </c>
      <c r="AB4" s="4"/>
      <c r="AC4" s="10"/>
      <c r="AD4" s="4" t="s">
        <v>124</v>
      </c>
      <c r="AE4" s="4"/>
      <c r="AF4" s="10"/>
      <c r="AG4" s="4" t="s">
        <v>125</v>
      </c>
      <c r="AH4" s="4"/>
      <c r="AI4" s="10"/>
      <c r="AJ4" s="4" t="s">
        <v>126</v>
      </c>
      <c r="AK4" s="4"/>
      <c r="AL4" s="10"/>
      <c r="AM4" s="4" t="s">
        <v>127</v>
      </c>
      <c r="AN4" s="4"/>
      <c r="AO4" s="10"/>
      <c r="AP4" s="4" t="s">
        <v>128</v>
      </c>
      <c r="AQ4" s="4"/>
      <c r="AR4" s="10"/>
      <c r="AS4" s="4" t="s">
        <v>129</v>
      </c>
      <c r="AT4" s="4"/>
      <c r="AU4" s="10"/>
      <c r="AV4" s="4" t="s">
        <v>130</v>
      </c>
      <c r="AW4" s="4"/>
      <c r="AX4" s="10"/>
      <c r="AY4" s="4" t="s">
        <v>131</v>
      </c>
      <c r="AZ4" s="4"/>
      <c r="BA4" s="10"/>
      <c r="BB4" s="4" t="s">
        <v>132</v>
      </c>
      <c r="BC4" s="4"/>
      <c r="BD4" s="10"/>
      <c r="BE4" s="4" t="s">
        <v>133</v>
      </c>
      <c r="BF4" s="4"/>
      <c r="BG4" s="10"/>
      <c r="BH4" s="4" t="s">
        <v>134</v>
      </c>
      <c r="BI4" s="4"/>
      <c r="BJ4" s="26"/>
      <c r="BK4" s="4" t="s">
        <v>3</v>
      </c>
      <c r="BL4" s="4"/>
      <c r="BM4" s="26"/>
      <c r="BN4" s="37"/>
      <c r="BO4" s="37"/>
      <c r="BP4" s="38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38"/>
      <c r="BO5" s="38"/>
      <c r="BP5" s="38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110.05</v>
      </c>
      <c r="D13" s="19">
        <v>96.6</v>
      </c>
      <c r="E13" s="5"/>
      <c r="F13" s="27">
        <v>108.93</v>
      </c>
      <c r="G13" s="19">
        <v>96.97</v>
      </c>
      <c r="H13" s="5"/>
      <c r="I13" s="27">
        <v>109.37</v>
      </c>
      <c r="J13" s="19">
        <v>96.65</v>
      </c>
      <c r="K13" s="5"/>
      <c r="L13" s="27">
        <v>110.66</v>
      </c>
      <c r="M13" s="19">
        <v>95.92</v>
      </c>
      <c r="N13" s="5"/>
      <c r="O13" s="27">
        <v>113.35</v>
      </c>
      <c r="P13" s="19">
        <v>94.63</v>
      </c>
      <c r="Q13" s="5"/>
      <c r="R13" s="27">
        <v>113.56</v>
      </c>
      <c r="S13" s="19">
        <v>94.4</v>
      </c>
      <c r="T13" s="5"/>
      <c r="U13" s="27">
        <v>112.85</v>
      </c>
      <c r="V13" s="19">
        <v>95.07</v>
      </c>
      <c r="W13" s="5"/>
      <c r="X13" s="27">
        <v>114.02</v>
      </c>
      <c r="Y13" s="19">
        <v>94.19</v>
      </c>
      <c r="Z13" s="5"/>
      <c r="AA13" s="27">
        <v>114.7</v>
      </c>
      <c r="AB13" s="19">
        <v>93.75</v>
      </c>
      <c r="AC13" s="5"/>
      <c r="AD13" s="27">
        <v>113.06</v>
      </c>
      <c r="AE13" s="19">
        <v>94.01</v>
      </c>
      <c r="AF13" s="5"/>
      <c r="AG13" s="27">
        <v>113.96</v>
      </c>
      <c r="AH13" s="19">
        <v>93.39</v>
      </c>
      <c r="AI13" s="5"/>
      <c r="AJ13" s="27">
        <v>112.64</v>
      </c>
      <c r="AK13" s="19">
        <v>94.28</v>
      </c>
      <c r="AL13" s="5"/>
      <c r="AM13" s="27">
        <v>113.37</v>
      </c>
      <c r="AN13" s="19">
        <v>93.95</v>
      </c>
      <c r="AO13" s="5"/>
      <c r="AP13" s="27">
        <v>111.84</v>
      </c>
      <c r="AQ13" s="19">
        <v>94.93</v>
      </c>
      <c r="AR13" s="5"/>
      <c r="AS13" s="27">
        <v>112.66</v>
      </c>
      <c r="AT13" s="19">
        <v>94.45</v>
      </c>
      <c r="AU13" s="5"/>
      <c r="AV13" s="27">
        <v>112.69</v>
      </c>
      <c r="AW13" s="19">
        <v>94.04</v>
      </c>
      <c r="AX13" s="5"/>
      <c r="AY13" s="27">
        <v>111.49</v>
      </c>
      <c r="AZ13" s="19">
        <v>94.66</v>
      </c>
      <c r="BA13" s="5"/>
      <c r="BB13" s="27">
        <v>111.61</v>
      </c>
      <c r="BC13" s="19">
        <v>94.29</v>
      </c>
      <c r="BD13" s="5"/>
      <c r="BE13" s="27">
        <v>110.76</v>
      </c>
      <c r="BF13" s="19">
        <v>94.38</v>
      </c>
      <c r="BG13" s="5"/>
      <c r="BH13" s="27">
        <v>109.37</v>
      </c>
      <c r="BI13" s="19">
        <v>95.56</v>
      </c>
      <c r="BJ13" s="5"/>
      <c r="BK13" s="27">
        <f>(+C13+F13+I13+L13+O13+R13+U13+X13+AA13+AD13+AG13+AJ13+AM13+AP13+AS13+AV13+AY13+BB13+BE13+BH13)/20</f>
        <v>112.04700000000003</v>
      </c>
      <c r="BL13" s="19">
        <f>(+D13+G13+J13+M13+P13+S13+V13+Y13+AB13+AE13+AH13+AK13+AN13+AQ13+AT13+AW13+AZ13+BC13+BF13+BI13)/20</f>
        <v>94.80600000000001</v>
      </c>
      <c r="BM13" s="5"/>
      <c r="BN13" s="31"/>
      <c r="BO13" s="32"/>
      <c r="BP13" s="9"/>
    </row>
    <row r="14" spans="1:68" ht="15.75" customHeight="1">
      <c r="A14" s="16">
        <v>2</v>
      </c>
      <c r="B14" s="17" t="s">
        <v>15</v>
      </c>
      <c r="C14" s="27">
        <f>1/1.7904</f>
        <v>0.5585344057193923</v>
      </c>
      <c r="D14" s="19">
        <v>190.33</v>
      </c>
      <c r="E14" s="5"/>
      <c r="F14" s="27">
        <f>1/1.7939</f>
        <v>0.5574446736161436</v>
      </c>
      <c r="G14" s="19">
        <v>189.48</v>
      </c>
      <c r="H14" s="5"/>
      <c r="I14" s="27">
        <f>1/1.7942</f>
        <v>0.5573514658343551</v>
      </c>
      <c r="J14" s="19">
        <v>189.66</v>
      </c>
      <c r="K14" s="5"/>
      <c r="L14" s="27">
        <f>1/1.7943</f>
        <v>0.5573204034999721</v>
      </c>
      <c r="M14" s="19">
        <v>190.46</v>
      </c>
      <c r="N14" s="5"/>
      <c r="O14" s="27">
        <f>1/1.7762</f>
        <v>0.5629996622002027</v>
      </c>
      <c r="P14" s="19">
        <v>190.52</v>
      </c>
      <c r="Q14" s="5"/>
      <c r="R14" s="27">
        <f>1/1.7626</f>
        <v>0.5673436968115284</v>
      </c>
      <c r="S14" s="19">
        <v>188.96</v>
      </c>
      <c r="T14" s="5"/>
      <c r="U14" s="27">
        <f>1/1.7728</f>
        <v>0.5640794223826715</v>
      </c>
      <c r="V14" s="19">
        <v>190.19</v>
      </c>
      <c r="W14" s="5"/>
      <c r="X14" s="27">
        <f>1/1.7652</f>
        <v>0.5665080444142306</v>
      </c>
      <c r="Y14" s="19">
        <v>189.58</v>
      </c>
      <c r="Z14" s="5"/>
      <c r="AA14" s="27">
        <f>1/1.7509</f>
        <v>0.5711348449368896</v>
      </c>
      <c r="AB14" s="19">
        <v>188.28</v>
      </c>
      <c r="AC14" s="5"/>
      <c r="AD14" s="27">
        <f>1/1.7694</f>
        <v>0.5651633322030066</v>
      </c>
      <c r="AE14" s="19">
        <v>188.06</v>
      </c>
      <c r="AF14" s="5"/>
      <c r="AG14" s="27">
        <f>1/1.7654</f>
        <v>0.5664438654129376</v>
      </c>
      <c r="AH14" s="19">
        <v>187.89</v>
      </c>
      <c r="AI14" s="5"/>
      <c r="AJ14" s="27">
        <f>1/1.7845</f>
        <v>0.5603810591202018</v>
      </c>
      <c r="AK14" s="19">
        <v>189.51</v>
      </c>
      <c r="AL14" s="5"/>
      <c r="AM14" s="27">
        <f>1/1.7669</f>
        <v>0.5659629860207143</v>
      </c>
      <c r="AN14" s="19">
        <v>188.2</v>
      </c>
      <c r="AO14" s="5"/>
      <c r="AP14" s="27">
        <f>1/1.7911</f>
        <v>0.5583161185863437</v>
      </c>
      <c r="AQ14" s="19">
        <v>190.15</v>
      </c>
      <c r="AR14" s="5"/>
      <c r="AS14" s="27">
        <f>1/1.7876</f>
        <v>0.5594092638174087</v>
      </c>
      <c r="AT14" s="19">
        <v>190.22</v>
      </c>
      <c r="AU14" s="5"/>
      <c r="AV14" s="27">
        <f>1/1.8052</f>
        <v>0.5539552404165744</v>
      </c>
      <c r="AW14" s="19">
        <v>191.3</v>
      </c>
      <c r="AX14" s="5"/>
      <c r="AY14" s="27">
        <f>1/1.8157</f>
        <v>0.5507517761744781</v>
      </c>
      <c r="AZ14" s="19">
        <v>191.62</v>
      </c>
      <c r="BA14" s="5"/>
      <c r="BB14" s="27">
        <f>1/1.824</f>
        <v>0.5482456140350876</v>
      </c>
      <c r="BC14" s="19">
        <v>191.95</v>
      </c>
      <c r="BD14" s="5"/>
      <c r="BE14" s="27">
        <f>1/1.8325</f>
        <v>0.5457025920873124</v>
      </c>
      <c r="BF14" s="19">
        <v>191.56</v>
      </c>
      <c r="BG14" s="5"/>
      <c r="BH14" s="27">
        <f>1/1.835</f>
        <v>0.5449591280653951</v>
      </c>
      <c r="BI14" s="19">
        <v>191.78</v>
      </c>
      <c r="BJ14" s="5"/>
      <c r="BK14" s="27">
        <f aca="true" t="shared" si="0" ref="BK14:BK25">(+C14+F14+I14+L14+O14+R14+U14+X14+AA14+AD14+AG14+AJ14+AM14+AP14+AS14+AV14+AY14+BB14+BE14+BH14)/20</f>
        <v>0.5591003797677423</v>
      </c>
      <c r="BL14" s="19">
        <f aca="true" t="shared" si="1" ref="BL14:BL25">(+D14+G14+J14+M14+P14+S14+V14+Y14+AB14+AE14+AH14+AK14+AN14+AQ14+AT14+AW14+AZ14+BC14+BF14+BI14)/20</f>
        <v>189.98499999999999</v>
      </c>
      <c r="BM14" s="5"/>
      <c r="BN14" s="31"/>
      <c r="BO14" s="32"/>
      <c r="BP14" s="9"/>
    </row>
    <row r="15" spans="1:68" ht="15.75" customHeight="1">
      <c r="A15" s="16">
        <v>3</v>
      </c>
      <c r="B15" s="17" t="s">
        <v>16</v>
      </c>
      <c r="C15" s="27">
        <v>1.2863</v>
      </c>
      <c r="D15" s="19">
        <v>82.64</v>
      </c>
      <c r="E15" s="5"/>
      <c r="F15" s="27">
        <v>1.2725</v>
      </c>
      <c r="G15" s="19">
        <v>83.01</v>
      </c>
      <c r="H15" s="5"/>
      <c r="I15" s="27">
        <v>1.2778</v>
      </c>
      <c r="J15" s="19">
        <v>82.73</v>
      </c>
      <c r="K15" s="5"/>
      <c r="L15" s="27">
        <v>1.285</v>
      </c>
      <c r="M15" s="19">
        <v>82.61</v>
      </c>
      <c r="N15" s="5"/>
      <c r="O15" s="27">
        <v>1.3016</v>
      </c>
      <c r="P15" s="19">
        <v>82.41</v>
      </c>
      <c r="Q15" s="5"/>
      <c r="R15" s="27">
        <v>1.3032</v>
      </c>
      <c r="S15" s="19">
        <v>82.26</v>
      </c>
      <c r="T15" s="5"/>
      <c r="U15" s="27">
        <v>1.2954</v>
      </c>
      <c r="V15" s="19">
        <v>82.82</v>
      </c>
      <c r="W15" s="5"/>
      <c r="X15" s="27">
        <v>1.2972</v>
      </c>
      <c r="Y15" s="19">
        <v>82.79</v>
      </c>
      <c r="Z15" s="5"/>
      <c r="AA15" s="27">
        <v>1.3051</v>
      </c>
      <c r="AB15" s="19">
        <v>82.39</v>
      </c>
      <c r="AC15" s="5"/>
      <c r="AD15" s="27">
        <v>1.2751</v>
      </c>
      <c r="AE15" s="19">
        <v>83.35</v>
      </c>
      <c r="AF15" s="5"/>
      <c r="AG15" s="27">
        <v>1.2773</v>
      </c>
      <c r="AH15" s="19">
        <v>83.32</v>
      </c>
      <c r="AI15" s="5"/>
      <c r="AJ15" s="27">
        <v>1.2843</v>
      </c>
      <c r="AK15" s="19">
        <v>82.69</v>
      </c>
      <c r="AL15" s="5"/>
      <c r="AM15" s="27">
        <v>1.2871</v>
      </c>
      <c r="AN15" s="19">
        <v>82.75</v>
      </c>
      <c r="AO15" s="5"/>
      <c r="AP15" s="27">
        <v>1.2746</v>
      </c>
      <c r="AQ15" s="19">
        <v>83.29</v>
      </c>
      <c r="AR15" s="5"/>
      <c r="AS15" s="27">
        <v>1.285</v>
      </c>
      <c r="AT15" s="19">
        <v>82.81</v>
      </c>
      <c r="AU15" s="5"/>
      <c r="AV15" s="27">
        <v>1.2728</v>
      </c>
      <c r="AW15" s="19">
        <v>83.26</v>
      </c>
      <c r="AX15" s="5"/>
      <c r="AY15" s="27">
        <v>1.2716</v>
      </c>
      <c r="AZ15" s="19">
        <v>83</v>
      </c>
      <c r="BA15" s="5"/>
      <c r="BB15" s="27">
        <v>1.2638</v>
      </c>
      <c r="BC15" s="19">
        <v>83.27</v>
      </c>
      <c r="BD15" s="5"/>
      <c r="BE15" s="27">
        <v>1.2493</v>
      </c>
      <c r="BF15" s="19">
        <v>83.67</v>
      </c>
      <c r="BG15" s="5"/>
      <c r="BH15" s="27">
        <v>1.2511</v>
      </c>
      <c r="BI15" s="19">
        <v>83.54</v>
      </c>
      <c r="BJ15" s="5"/>
      <c r="BK15" s="27">
        <f t="shared" si="0"/>
        <v>1.2808050000000002</v>
      </c>
      <c r="BL15" s="19">
        <f t="shared" si="1"/>
        <v>82.9305</v>
      </c>
      <c r="BM15" s="5"/>
      <c r="BN15" s="31"/>
      <c r="BO15" s="32"/>
      <c r="BP15" s="9"/>
    </row>
    <row r="16" spans="1:68" ht="15.75" customHeight="1">
      <c r="A16" s="16">
        <v>4</v>
      </c>
      <c r="B16" s="17" t="s">
        <v>17</v>
      </c>
      <c r="C16" s="27">
        <f>1/1.2066</f>
        <v>0.8287750704458811</v>
      </c>
      <c r="D16" s="19">
        <v>128.27</v>
      </c>
      <c r="E16" s="5"/>
      <c r="F16" s="27">
        <f>1/1.2147</f>
        <v>0.8232485387338438</v>
      </c>
      <c r="G16" s="19">
        <v>128.03</v>
      </c>
      <c r="H16" s="5"/>
      <c r="I16" s="27">
        <f>1/1.2134</f>
        <v>0.8241305422778968</v>
      </c>
      <c r="J16" s="19">
        <v>128.27</v>
      </c>
      <c r="K16" s="5"/>
      <c r="L16" s="27">
        <f>1/1.206</f>
        <v>0.8291873963515755</v>
      </c>
      <c r="M16" s="19">
        <v>128.02</v>
      </c>
      <c r="N16" s="5"/>
      <c r="O16" s="27">
        <f>1/1.1831</f>
        <v>0.8452370890034654</v>
      </c>
      <c r="P16" s="19">
        <v>126.9</v>
      </c>
      <c r="Q16" s="5"/>
      <c r="R16" s="27">
        <f>1/1.1835</f>
        <v>0.8449514152936206</v>
      </c>
      <c r="S16" s="19">
        <v>126.87</v>
      </c>
      <c r="T16" s="5"/>
      <c r="U16" s="27">
        <f>1/1.1891</f>
        <v>0.8409721638213775</v>
      </c>
      <c r="V16" s="19">
        <v>127.57</v>
      </c>
      <c r="W16" s="5"/>
      <c r="X16" s="27">
        <f>1/1.1852</f>
        <v>0.8437394532568343</v>
      </c>
      <c r="Y16" s="19">
        <v>127.29</v>
      </c>
      <c r="Z16" s="5"/>
      <c r="AA16" s="27">
        <f>1/1.1797</f>
        <v>0.847673137238281</v>
      </c>
      <c r="AB16" s="19">
        <v>126.85</v>
      </c>
      <c r="AC16" s="5"/>
      <c r="AD16" s="27">
        <f>1/1.2027</f>
        <v>0.8314625426124552</v>
      </c>
      <c r="AE16" s="19">
        <v>127.83</v>
      </c>
      <c r="AF16" s="5"/>
      <c r="AG16" s="27">
        <f>1/1.1998</f>
        <v>0.833472245374229</v>
      </c>
      <c r="AH16" s="19">
        <v>127.69</v>
      </c>
      <c r="AI16" s="5"/>
      <c r="AJ16" s="27">
        <f>1/1.2006</f>
        <v>0.8329168748958855</v>
      </c>
      <c r="AK16" s="19">
        <v>127.5</v>
      </c>
      <c r="AL16" s="5"/>
      <c r="AM16" s="27">
        <f>1/1.1935</f>
        <v>0.8378718056137411</v>
      </c>
      <c r="AN16" s="19">
        <v>127.12</v>
      </c>
      <c r="AO16" s="5"/>
      <c r="AP16" s="27">
        <f>1/1.2035</f>
        <v>0.8309098462816784</v>
      </c>
      <c r="AQ16" s="19">
        <v>127.77</v>
      </c>
      <c r="AR16" s="5"/>
      <c r="AS16" s="27">
        <f>1/1.1943</f>
        <v>0.8373105584861426</v>
      </c>
      <c r="AT16" s="19">
        <v>127.09</v>
      </c>
      <c r="AU16" s="5"/>
      <c r="AV16" s="27">
        <f>1/1.2072</f>
        <v>0.8283631544068919</v>
      </c>
      <c r="AW16" s="19">
        <v>127.93</v>
      </c>
      <c r="AX16" s="5"/>
      <c r="AY16" s="27">
        <f>1/1.2116</f>
        <v>0.8253549026081215</v>
      </c>
      <c r="AZ16" s="19">
        <v>127.87</v>
      </c>
      <c r="BA16" s="5"/>
      <c r="BB16" s="27">
        <f>1/1.2153</f>
        <v>0.8228420966016621</v>
      </c>
      <c r="BC16" s="19">
        <v>127.89</v>
      </c>
      <c r="BD16" s="5"/>
      <c r="BE16" s="27">
        <f>1/1.2243</f>
        <v>0.8167932696234583</v>
      </c>
      <c r="BF16" s="19">
        <v>127.98</v>
      </c>
      <c r="BG16" s="5"/>
      <c r="BH16" s="27">
        <f>1/1.2215</f>
        <v>0.8186655751125665</v>
      </c>
      <c r="BI16" s="19">
        <v>127.66</v>
      </c>
      <c r="BJ16" s="5"/>
      <c r="BK16" s="27">
        <f t="shared" si="0"/>
        <v>0.8321938839019805</v>
      </c>
      <c r="BL16" s="19">
        <f t="shared" si="1"/>
        <v>127.61999999999998</v>
      </c>
      <c r="BM16" s="5"/>
      <c r="BN16" s="31"/>
      <c r="BO16" s="32"/>
      <c r="BP16" s="9"/>
    </row>
    <row r="17" spans="1:68" ht="15.75" customHeight="1">
      <c r="A17" s="16">
        <v>5</v>
      </c>
      <c r="B17" s="17" t="s">
        <v>18</v>
      </c>
      <c r="C17" s="27">
        <v>391</v>
      </c>
      <c r="D17" s="19">
        <v>41565.26</v>
      </c>
      <c r="E17" s="5"/>
      <c r="F17" s="27">
        <v>394.2</v>
      </c>
      <c r="G17" s="19">
        <v>41637.38</v>
      </c>
      <c r="H17" s="5"/>
      <c r="I17" s="27">
        <v>392</v>
      </c>
      <c r="J17" s="19">
        <v>41437.99</v>
      </c>
      <c r="K17" s="5"/>
      <c r="L17" s="27">
        <v>386.25</v>
      </c>
      <c r="M17" s="19">
        <v>41000.44</v>
      </c>
      <c r="N17" s="5"/>
      <c r="O17" s="27">
        <v>373.5</v>
      </c>
      <c r="P17" s="19">
        <v>40061.92</v>
      </c>
      <c r="Q17" s="5"/>
      <c r="R17" s="27">
        <v>377.5</v>
      </c>
      <c r="S17" s="19">
        <v>40468.94</v>
      </c>
      <c r="T17" s="5"/>
      <c r="U17" s="27">
        <v>381.25</v>
      </c>
      <c r="V17" s="19">
        <v>40901.77</v>
      </c>
      <c r="W17" s="5"/>
      <c r="X17" s="27">
        <v>375</v>
      </c>
      <c r="Y17" s="19">
        <v>40274.69</v>
      </c>
      <c r="Z17" s="5"/>
      <c r="AA17" s="27">
        <v>373.25</v>
      </c>
      <c r="AB17" s="19">
        <v>40135.88</v>
      </c>
      <c r="AC17" s="5"/>
      <c r="AD17" s="27">
        <v>380.2</v>
      </c>
      <c r="AE17" s="19">
        <v>40409.24</v>
      </c>
      <c r="AF17" s="5"/>
      <c r="AG17" s="27">
        <v>378.75</v>
      </c>
      <c r="AH17" s="19">
        <v>40310.05</v>
      </c>
      <c r="AI17" s="5"/>
      <c r="AJ17" s="27">
        <v>379.65</v>
      </c>
      <c r="AK17" s="19">
        <v>40317.56</v>
      </c>
      <c r="AL17" s="5"/>
      <c r="AM17" s="27">
        <v>380.1</v>
      </c>
      <c r="AN17" s="19">
        <v>40485.08</v>
      </c>
      <c r="AO17" s="5"/>
      <c r="AP17" s="27">
        <v>382</v>
      </c>
      <c r="AQ17" s="19">
        <v>40555.03</v>
      </c>
      <c r="AR17" s="5"/>
      <c r="AS17" s="27">
        <v>383.5</v>
      </c>
      <c r="AT17" s="19">
        <v>40808.87</v>
      </c>
      <c r="AU17" s="5"/>
      <c r="AV17" s="27">
        <v>387.6</v>
      </c>
      <c r="AW17" s="19">
        <v>41075.59</v>
      </c>
      <c r="AX17" s="5"/>
      <c r="AY17" s="27">
        <v>390.3</v>
      </c>
      <c r="AZ17" s="19">
        <v>41191.29</v>
      </c>
      <c r="BA17" s="5"/>
      <c r="BB17" s="27">
        <v>391.25</v>
      </c>
      <c r="BC17" s="19">
        <v>41173.85</v>
      </c>
      <c r="BD17" s="5"/>
      <c r="BE17" s="27">
        <v>393.4</v>
      </c>
      <c r="BF17" s="19">
        <v>41123.41</v>
      </c>
      <c r="BG17" s="5"/>
      <c r="BH17" s="27">
        <v>395.1</v>
      </c>
      <c r="BI17" s="19">
        <v>41292.56</v>
      </c>
      <c r="BJ17" s="5"/>
      <c r="BK17" s="27">
        <f t="shared" si="0"/>
        <v>384.29</v>
      </c>
      <c r="BL17" s="19">
        <f t="shared" si="1"/>
        <v>40811.340000000004</v>
      </c>
      <c r="BM17" s="5"/>
      <c r="BN17" s="31"/>
      <c r="BO17" s="32"/>
      <c r="BP17" s="9"/>
    </row>
    <row r="18" spans="1:68" ht="15.75" customHeight="1">
      <c r="A18" s="16">
        <v>6</v>
      </c>
      <c r="B18" s="20" t="s">
        <v>19</v>
      </c>
      <c r="C18" s="27">
        <v>6.07</v>
      </c>
      <c r="D18" s="19">
        <v>645.27</v>
      </c>
      <c r="E18" s="5"/>
      <c r="F18" s="27">
        <v>6.11</v>
      </c>
      <c r="G18" s="19">
        <v>645.37</v>
      </c>
      <c r="H18" s="5"/>
      <c r="I18" s="27">
        <v>5.99</v>
      </c>
      <c r="J18" s="19">
        <v>633.2</v>
      </c>
      <c r="K18" s="5"/>
      <c r="L18" s="27">
        <v>5.77</v>
      </c>
      <c r="M18" s="19">
        <v>612.49</v>
      </c>
      <c r="N18" s="5"/>
      <c r="O18" s="27">
        <v>5.55</v>
      </c>
      <c r="P18" s="19">
        <v>595.3</v>
      </c>
      <c r="Q18" s="5"/>
      <c r="R18" s="27">
        <v>5.68</v>
      </c>
      <c r="S18" s="19">
        <v>608.91</v>
      </c>
      <c r="T18" s="5"/>
      <c r="U18" s="27">
        <v>5.64</v>
      </c>
      <c r="V18" s="19">
        <v>605.08</v>
      </c>
      <c r="W18" s="5"/>
      <c r="X18" s="27">
        <v>5.52</v>
      </c>
      <c r="Y18" s="19">
        <v>592.84</v>
      </c>
      <c r="Z18" s="5"/>
      <c r="AA18" s="27">
        <v>5.57</v>
      </c>
      <c r="AB18" s="19">
        <v>598.95</v>
      </c>
      <c r="AC18" s="5"/>
      <c r="AD18" s="27">
        <v>5.8</v>
      </c>
      <c r="AE18" s="19">
        <v>616.45</v>
      </c>
      <c r="AF18" s="5"/>
      <c r="AG18" s="27">
        <v>5.69</v>
      </c>
      <c r="AH18" s="19">
        <v>605.58</v>
      </c>
      <c r="AI18" s="5"/>
      <c r="AJ18" s="27">
        <v>5.7</v>
      </c>
      <c r="AK18" s="19">
        <v>605.32</v>
      </c>
      <c r="AL18" s="5"/>
      <c r="AM18" s="27">
        <v>5.82</v>
      </c>
      <c r="AN18" s="19">
        <v>619.9</v>
      </c>
      <c r="AO18" s="5"/>
      <c r="AP18" s="27">
        <v>5.85</v>
      </c>
      <c r="AQ18" s="19">
        <v>621.07</v>
      </c>
      <c r="AR18" s="5"/>
      <c r="AS18" s="27">
        <v>5.81</v>
      </c>
      <c r="AT18" s="19">
        <v>618.25</v>
      </c>
      <c r="AU18" s="5"/>
      <c r="AV18" s="27">
        <v>6.02</v>
      </c>
      <c r="AW18" s="19">
        <v>637.96</v>
      </c>
      <c r="AX18" s="5"/>
      <c r="AY18" s="27">
        <v>6.11</v>
      </c>
      <c r="AZ18" s="19">
        <v>644.83</v>
      </c>
      <c r="BA18" s="5"/>
      <c r="BB18" s="27">
        <v>6.07</v>
      </c>
      <c r="BC18" s="19">
        <v>638.79</v>
      </c>
      <c r="BD18" s="5"/>
      <c r="BE18" s="27">
        <v>6.15</v>
      </c>
      <c r="BF18" s="19">
        <v>642.88</v>
      </c>
      <c r="BG18" s="5"/>
      <c r="BH18" s="27">
        <v>6.15</v>
      </c>
      <c r="BI18" s="19">
        <v>642.75</v>
      </c>
      <c r="BJ18" s="5"/>
      <c r="BK18" s="27">
        <f t="shared" si="0"/>
        <v>5.8534999999999995</v>
      </c>
      <c r="BL18" s="19">
        <f t="shared" si="1"/>
        <v>621.5594999999998</v>
      </c>
      <c r="BM18" s="5"/>
      <c r="BN18" s="31"/>
      <c r="BO18" s="32"/>
      <c r="BP18" s="9"/>
    </row>
    <row r="19" spans="1:68" ht="15.75" customHeight="1">
      <c r="A19" s="16">
        <v>7</v>
      </c>
      <c r="B19" s="17" t="s">
        <v>20</v>
      </c>
      <c r="C19" s="27">
        <f>1/0.7264</f>
        <v>1.3766519823788546</v>
      </c>
      <c r="D19" s="19">
        <v>77.22</v>
      </c>
      <c r="E19" s="5"/>
      <c r="F19" s="27">
        <f>1/0.7315</f>
        <v>1.367053998632946</v>
      </c>
      <c r="G19" s="19">
        <v>77.26</v>
      </c>
      <c r="H19" s="5"/>
      <c r="I19" s="27">
        <f>1/0.7306</f>
        <v>1.368738023542294</v>
      </c>
      <c r="J19" s="19">
        <v>77.23</v>
      </c>
      <c r="K19" s="5"/>
      <c r="L19" s="27">
        <f>1/0.718</f>
        <v>1.392757660167131</v>
      </c>
      <c r="M19" s="19">
        <v>76.22</v>
      </c>
      <c r="N19" s="5"/>
      <c r="O19" s="27">
        <f>1/0.6939</f>
        <v>1.4411298457991066</v>
      </c>
      <c r="P19" s="19">
        <v>74.43</v>
      </c>
      <c r="Q19" s="5"/>
      <c r="R19" s="27">
        <f>1/0.6949</f>
        <v>1.4390559792775939</v>
      </c>
      <c r="S19" s="19">
        <v>74.5</v>
      </c>
      <c r="T19" s="5"/>
      <c r="U19" s="27">
        <f>1/0.7004</f>
        <v>1.427755568246716</v>
      </c>
      <c r="V19" s="19">
        <v>75.14</v>
      </c>
      <c r="W19" s="5"/>
      <c r="X19" s="27">
        <f>1/0.6875</f>
        <v>1.4545454545454546</v>
      </c>
      <c r="Y19" s="19">
        <v>73.84</v>
      </c>
      <c r="Z19" s="5"/>
      <c r="AA19" s="27">
        <f>1/0.6843</f>
        <v>1.461347362268011</v>
      </c>
      <c r="AB19" s="19">
        <v>73.58</v>
      </c>
      <c r="AC19" s="5"/>
      <c r="AD19" s="27">
        <f>1/0.6942</f>
        <v>1.4405070584845865</v>
      </c>
      <c r="AE19" s="19">
        <v>73.78</v>
      </c>
      <c r="AF19" s="5"/>
      <c r="AG19" s="27">
        <f>1/0.6856</f>
        <v>1.4585764294049008</v>
      </c>
      <c r="AH19" s="19">
        <v>72.97</v>
      </c>
      <c r="AI19" s="5"/>
      <c r="AJ19" s="27">
        <f>1/0.6981</f>
        <v>1.4324595330181922</v>
      </c>
      <c r="AK19" s="19">
        <v>74.14</v>
      </c>
      <c r="AL19" s="5"/>
      <c r="AM19" s="27">
        <f>1/0.6931</f>
        <v>1.4427932477276004</v>
      </c>
      <c r="AN19" s="19">
        <v>73.82</v>
      </c>
      <c r="AO19" s="5"/>
      <c r="AP19" s="27">
        <f>1/0.7006</f>
        <v>1.4273479874393378</v>
      </c>
      <c r="AQ19" s="19">
        <v>74.38</v>
      </c>
      <c r="AR19" s="5"/>
      <c r="AS19" s="27">
        <f>1/0.6962</f>
        <v>1.4363688595231254</v>
      </c>
      <c r="AT19" s="19">
        <v>74.08</v>
      </c>
      <c r="AU19" s="5"/>
      <c r="AV19" s="27">
        <f>1/0.7018</f>
        <v>1.4249073810202337</v>
      </c>
      <c r="AW19" s="19">
        <v>74.37</v>
      </c>
      <c r="AX19" s="5"/>
      <c r="AY19" s="27">
        <f>1/0.709</f>
        <v>1.4104372355430184</v>
      </c>
      <c r="AZ19" s="19">
        <v>74.83</v>
      </c>
      <c r="BA19" s="5"/>
      <c r="BB19" s="27">
        <f>1/0.7117</f>
        <v>1.405086412814388</v>
      </c>
      <c r="BC19" s="19">
        <v>74.9</v>
      </c>
      <c r="BD19" s="5"/>
      <c r="BE19" s="27">
        <f>1/0.713</f>
        <v>1.402524544179523</v>
      </c>
      <c r="BF19" s="19">
        <v>74.53</v>
      </c>
      <c r="BG19" s="5"/>
      <c r="BH19" s="27">
        <f>1/0.7168</f>
        <v>1.3950892857142858</v>
      </c>
      <c r="BI19" s="19">
        <v>74.91</v>
      </c>
      <c r="BJ19" s="18"/>
      <c r="BK19" s="27">
        <f t="shared" si="0"/>
        <v>1.4202566924863649</v>
      </c>
      <c r="BL19" s="19">
        <f t="shared" si="1"/>
        <v>74.8065</v>
      </c>
      <c r="BM19" s="18"/>
      <c r="BN19" s="31"/>
      <c r="BO19" s="32"/>
      <c r="BP19" s="24"/>
    </row>
    <row r="20" spans="1:68" ht="15.75" customHeight="1">
      <c r="A20" s="16">
        <v>8</v>
      </c>
      <c r="B20" s="17" t="s">
        <v>21</v>
      </c>
      <c r="C20" s="27">
        <v>1.3676</v>
      </c>
      <c r="D20" s="19">
        <v>77.73</v>
      </c>
      <c r="E20" s="5"/>
      <c r="F20" s="27">
        <v>1.3729</v>
      </c>
      <c r="G20" s="19">
        <v>76.94</v>
      </c>
      <c r="H20" s="5"/>
      <c r="I20" s="27">
        <v>1.375</v>
      </c>
      <c r="J20" s="19">
        <v>76.88</v>
      </c>
      <c r="K20" s="5"/>
      <c r="L20" s="27">
        <v>1.3807</v>
      </c>
      <c r="M20" s="19">
        <v>76.88</v>
      </c>
      <c r="N20" s="5"/>
      <c r="O20" s="27">
        <v>1.3892</v>
      </c>
      <c r="P20" s="19">
        <v>77.21</v>
      </c>
      <c r="Q20" s="5"/>
      <c r="R20" s="27">
        <v>1.3905</v>
      </c>
      <c r="S20" s="19">
        <v>77.1</v>
      </c>
      <c r="T20" s="5"/>
      <c r="U20" s="27">
        <v>1.3846</v>
      </c>
      <c r="V20" s="19">
        <v>77.48</v>
      </c>
      <c r="W20" s="5"/>
      <c r="X20" s="27">
        <v>1.3899</v>
      </c>
      <c r="Y20" s="19">
        <v>77.27</v>
      </c>
      <c r="Z20" s="5"/>
      <c r="AA20" s="27">
        <v>1.3955</v>
      </c>
      <c r="AB20" s="19">
        <v>77.06</v>
      </c>
      <c r="AC20" s="5"/>
      <c r="AD20" s="27">
        <v>1.3772</v>
      </c>
      <c r="AE20" s="19">
        <v>77.17</v>
      </c>
      <c r="AF20" s="5"/>
      <c r="AG20" s="27">
        <v>1.3984</v>
      </c>
      <c r="AH20" s="19">
        <v>76.11</v>
      </c>
      <c r="AI20" s="5"/>
      <c r="AJ20" s="27">
        <v>1.3829</v>
      </c>
      <c r="AK20" s="19">
        <v>76.79</v>
      </c>
      <c r="AL20" s="5"/>
      <c r="AM20" s="27">
        <v>1.3777</v>
      </c>
      <c r="AN20" s="19">
        <v>77.31</v>
      </c>
      <c r="AO20" s="5"/>
      <c r="AP20" s="27">
        <v>1.3717</v>
      </c>
      <c r="AQ20" s="19">
        <v>77.4</v>
      </c>
      <c r="AR20" s="5"/>
      <c r="AS20" s="27">
        <v>1.3733</v>
      </c>
      <c r="AT20" s="19">
        <v>77.49</v>
      </c>
      <c r="AU20" s="5"/>
      <c r="AV20" s="27">
        <v>1.3692</v>
      </c>
      <c r="AW20" s="19">
        <v>77.4</v>
      </c>
      <c r="AX20" s="5"/>
      <c r="AY20" s="27">
        <v>1.3663</v>
      </c>
      <c r="AZ20" s="19">
        <v>77.24</v>
      </c>
      <c r="BA20" s="5"/>
      <c r="BB20" s="27">
        <v>1.3664</v>
      </c>
      <c r="BC20" s="19">
        <v>77.02</v>
      </c>
      <c r="BD20" s="5"/>
      <c r="BE20" s="27">
        <v>1.3602</v>
      </c>
      <c r="BF20" s="19">
        <v>76.85</v>
      </c>
      <c r="BG20" s="5"/>
      <c r="BH20" s="27">
        <v>1.3605</v>
      </c>
      <c r="BI20" s="19">
        <v>76.82</v>
      </c>
      <c r="BJ20" s="5"/>
      <c r="BK20" s="27">
        <f t="shared" si="0"/>
        <v>1.377485</v>
      </c>
      <c r="BL20" s="19">
        <f t="shared" si="1"/>
        <v>77.10749999999999</v>
      </c>
      <c r="BM20" s="5"/>
      <c r="BN20" s="31"/>
      <c r="BO20" s="32"/>
      <c r="BP20" s="9"/>
    </row>
    <row r="21" spans="1:68" ht="15.75" customHeight="1">
      <c r="A21" s="16">
        <v>9</v>
      </c>
      <c r="B21" s="17" t="s">
        <v>22</v>
      </c>
      <c r="C21" s="27">
        <v>7.5675</v>
      </c>
      <c r="D21" s="19">
        <v>14.05</v>
      </c>
      <c r="E21" s="5"/>
      <c r="F21" s="27">
        <v>7.528</v>
      </c>
      <c r="G21" s="19">
        <v>14.03</v>
      </c>
      <c r="H21" s="5"/>
      <c r="I21" s="27">
        <v>7.49</v>
      </c>
      <c r="J21" s="19">
        <v>14.11</v>
      </c>
      <c r="K21" s="5"/>
      <c r="L21" s="27">
        <v>7.5314</v>
      </c>
      <c r="M21" s="19">
        <v>14.09</v>
      </c>
      <c r="N21" s="5"/>
      <c r="O21" s="27">
        <v>7.6995</v>
      </c>
      <c r="P21" s="19">
        <v>13.93</v>
      </c>
      <c r="Q21" s="5"/>
      <c r="R21" s="27">
        <v>7.7452</v>
      </c>
      <c r="S21" s="19">
        <v>13.84</v>
      </c>
      <c r="T21" s="5"/>
      <c r="U21" s="27">
        <v>7.7079</v>
      </c>
      <c r="V21" s="19">
        <v>13.92</v>
      </c>
      <c r="W21" s="5"/>
      <c r="X21" s="27">
        <v>7.7108</v>
      </c>
      <c r="Y21" s="19">
        <v>13.93</v>
      </c>
      <c r="Z21" s="5"/>
      <c r="AA21" s="27">
        <v>7.7625</v>
      </c>
      <c r="AB21" s="19">
        <v>13.85</v>
      </c>
      <c r="AC21" s="5"/>
      <c r="AD21" s="27">
        <v>7.645</v>
      </c>
      <c r="AE21" s="19">
        <v>13.9</v>
      </c>
      <c r="AF21" s="5"/>
      <c r="AG21" s="27">
        <v>7.638</v>
      </c>
      <c r="AH21" s="19">
        <v>13.93</v>
      </c>
      <c r="AI21" s="5"/>
      <c r="AJ21" s="27">
        <v>7.6146</v>
      </c>
      <c r="AK21" s="19">
        <v>13.95</v>
      </c>
      <c r="AL21" s="5"/>
      <c r="AM21" s="27">
        <v>7.5983</v>
      </c>
      <c r="AN21" s="19">
        <v>14.02</v>
      </c>
      <c r="AO21" s="5"/>
      <c r="AP21" s="27">
        <v>7.5647</v>
      </c>
      <c r="AQ21" s="19">
        <v>14.03</v>
      </c>
      <c r="AR21" s="5"/>
      <c r="AS21" s="27">
        <v>7.6131</v>
      </c>
      <c r="AT21" s="19">
        <v>13.98</v>
      </c>
      <c r="AU21" s="5"/>
      <c r="AV21" s="27">
        <v>7.556</v>
      </c>
      <c r="AW21" s="19">
        <v>14.03</v>
      </c>
      <c r="AX21" s="5"/>
      <c r="AY21" s="27">
        <v>7.5156</v>
      </c>
      <c r="AZ21" s="19">
        <v>14.04</v>
      </c>
      <c r="BA21" s="5"/>
      <c r="BB21" s="27">
        <v>7.471</v>
      </c>
      <c r="BC21" s="19">
        <v>14.09</v>
      </c>
      <c r="BD21" s="5"/>
      <c r="BE21" s="27">
        <v>7.4315</v>
      </c>
      <c r="BF21" s="19">
        <v>14.07</v>
      </c>
      <c r="BG21" s="5"/>
      <c r="BH21" s="27">
        <v>7.4454</v>
      </c>
      <c r="BI21" s="19">
        <v>14.04</v>
      </c>
      <c r="BJ21" s="5"/>
      <c r="BK21" s="27">
        <f t="shared" si="0"/>
        <v>7.591800000000001</v>
      </c>
      <c r="BL21" s="19">
        <f t="shared" si="1"/>
        <v>13.991500000000002</v>
      </c>
      <c r="BM21" s="5"/>
      <c r="BN21" s="31"/>
      <c r="BO21" s="32"/>
      <c r="BP21" s="9"/>
    </row>
    <row r="22" spans="1:68" ht="15.75" customHeight="1">
      <c r="A22" s="16">
        <v>10</v>
      </c>
      <c r="B22" s="17" t="s">
        <v>23</v>
      </c>
      <c r="C22" s="27">
        <v>6.8214</v>
      </c>
      <c r="D22" s="19">
        <v>15.58</v>
      </c>
      <c r="E22" s="5"/>
      <c r="F22" s="27">
        <v>6.7371</v>
      </c>
      <c r="G22" s="19">
        <v>15.68</v>
      </c>
      <c r="H22" s="5"/>
      <c r="I22" s="27">
        <v>6.7292</v>
      </c>
      <c r="J22" s="19">
        <v>15.71</v>
      </c>
      <c r="K22" s="5"/>
      <c r="L22" s="27">
        <v>6.7488</v>
      </c>
      <c r="M22" s="19">
        <v>15.73</v>
      </c>
      <c r="N22" s="5"/>
      <c r="O22" s="27">
        <v>6.8356</v>
      </c>
      <c r="P22" s="19">
        <v>15.69</v>
      </c>
      <c r="Q22" s="5"/>
      <c r="R22" s="27">
        <v>6.919</v>
      </c>
      <c r="S22" s="19">
        <v>15.49</v>
      </c>
      <c r="T22" s="5"/>
      <c r="U22" s="27">
        <v>6.9217</v>
      </c>
      <c r="V22" s="19">
        <v>15.5</v>
      </c>
      <c r="W22" s="5"/>
      <c r="X22" s="27">
        <v>6.8968</v>
      </c>
      <c r="Y22" s="19">
        <v>15.57</v>
      </c>
      <c r="Z22" s="5"/>
      <c r="AA22" s="27">
        <v>6.9369</v>
      </c>
      <c r="AB22" s="19">
        <v>15.5</v>
      </c>
      <c r="AC22" s="5"/>
      <c r="AD22" s="27">
        <v>6.861</v>
      </c>
      <c r="AE22" s="19">
        <v>15.49</v>
      </c>
      <c r="AF22" s="5"/>
      <c r="AG22" s="27">
        <v>6.8744</v>
      </c>
      <c r="AH22" s="19">
        <v>15.48</v>
      </c>
      <c r="AI22" s="5"/>
      <c r="AJ22" s="27">
        <v>6.9147</v>
      </c>
      <c r="AK22" s="19">
        <v>15.36</v>
      </c>
      <c r="AL22" s="5"/>
      <c r="AM22" s="27">
        <v>6.9219</v>
      </c>
      <c r="AN22" s="19">
        <v>15.39</v>
      </c>
      <c r="AO22" s="5"/>
      <c r="AP22" s="27">
        <v>6.8601</v>
      </c>
      <c r="AQ22" s="19">
        <v>15.48</v>
      </c>
      <c r="AR22" s="5"/>
      <c r="AS22" s="27">
        <v>6.8729</v>
      </c>
      <c r="AT22" s="19">
        <v>15.48</v>
      </c>
      <c r="AU22" s="5"/>
      <c r="AV22" s="27">
        <v>6.8064</v>
      </c>
      <c r="AW22" s="19">
        <v>15.57</v>
      </c>
      <c r="AX22" s="5"/>
      <c r="AY22" s="27">
        <v>6.7778</v>
      </c>
      <c r="AZ22" s="19">
        <v>15.57</v>
      </c>
      <c r="BA22" s="5"/>
      <c r="BB22" s="27">
        <v>6.7248</v>
      </c>
      <c r="BC22" s="19">
        <v>15.65</v>
      </c>
      <c r="BD22" s="5"/>
      <c r="BE22" s="27">
        <v>6.7073</v>
      </c>
      <c r="BF22" s="19">
        <v>15.59</v>
      </c>
      <c r="BG22" s="5"/>
      <c r="BH22" s="27">
        <v>6.7041</v>
      </c>
      <c r="BI22" s="19">
        <v>15.59</v>
      </c>
      <c r="BJ22" s="5"/>
      <c r="BK22" s="27">
        <f t="shared" si="0"/>
        <v>6.828595</v>
      </c>
      <c r="BL22" s="19">
        <f t="shared" si="1"/>
        <v>15.554999999999993</v>
      </c>
      <c r="BM22" s="5"/>
      <c r="BN22" s="31"/>
      <c r="BO22" s="32"/>
      <c r="BP22" s="9"/>
    </row>
    <row r="23" spans="1:68" ht="15.75" customHeight="1">
      <c r="A23" s="16">
        <v>11</v>
      </c>
      <c r="B23" s="17" t="s">
        <v>24</v>
      </c>
      <c r="C23" s="27">
        <v>6.1646</v>
      </c>
      <c r="D23" s="19">
        <v>17.24</v>
      </c>
      <c r="E23" s="5"/>
      <c r="F23" s="27">
        <v>6.1225</v>
      </c>
      <c r="G23" s="19">
        <v>17.25</v>
      </c>
      <c r="H23" s="5"/>
      <c r="I23" s="27">
        <v>6.1306</v>
      </c>
      <c r="J23" s="19">
        <v>17.24</v>
      </c>
      <c r="K23" s="5"/>
      <c r="L23" s="27">
        <v>6.1669</v>
      </c>
      <c r="M23" s="19">
        <v>17.21</v>
      </c>
      <c r="N23" s="5"/>
      <c r="O23" s="27">
        <v>6.2856</v>
      </c>
      <c r="P23" s="19">
        <v>17.06</v>
      </c>
      <c r="Q23" s="5"/>
      <c r="R23" s="27">
        <v>6.2858</v>
      </c>
      <c r="S23" s="19">
        <v>17.05</v>
      </c>
      <c r="T23" s="5"/>
      <c r="U23" s="27">
        <v>6.2549</v>
      </c>
      <c r="V23" s="19">
        <v>17.15</v>
      </c>
      <c r="W23" s="5"/>
      <c r="X23" s="27">
        <v>6.2764</v>
      </c>
      <c r="Y23" s="19">
        <v>17.11</v>
      </c>
      <c r="Z23" s="5"/>
      <c r="AA23" s="27">
        <v>6.3055</v>
      </c>
      <c r="AB23" s="19">
        <v>17.05</v>
      </c>
      <c r="AC23" s="5"/>
      <c r="AD23" s="27">
        <v>6.1846</v>
      </c>
      <c r="AE23" s="19">
        <v>17.19</v>
      </c>
      <c r="AF23" s="5"/>
      <c r="AG23" s="27">
        <v>6.2003</v>
      </c>
      <c r="AH23" s="19">
        <v>17.17</v>
      </c>
      <c r="AI23" s="5"/>
      <c r="AJ23" s="27">
        <v>6.1973</v>
      </c>
      <c r="AK23" s="19">
        <v>17.14</v>
      </c>
      <c r="AL23" s="5"/>
      <c r="AM23" s="27">
        <v>6.2323</v>
      </c>
      <c r="AN23" s="19">
        <v>17.09</v>
      </c>
      <c r="AO23" s="5"/>
      <c r="AP23" s="27">
        <v>6.1805</v>
      </c>
      <c r="AQ23" s="19">
        <v>17.18</v>
      </c>
      <c r="AR23" s="5"/>
      <c r="AS23" s="27">
        <v>6.2285</v>
      </c>
      <c r="AT23" s="19">
        <v>17.08</v>
      </c>
      <c r="AU23" s="5"/>
      <c r="AV23" s="27">
        <v>6.1611</v>
      </c>
      <c r="AW23" s="19">
        <v>17.2</v>
      </c>
      <c r="AX23" s="5"/>
      <c r="AY23" s="27">
        <v>6.138</v>
      </c>
      <c r="AZ23" s="19">
        <v>17.19</v>
      </c>
      <c r="BA23" s="5"/>
      <c r="BB23" s="27">
        <v>6.1194</v>
      </c>
      <c r="BC23" s="19">
        <v>17.2</v>
      </c>
      <c r="BD23" s="5"/>
      <c r="BE23" s="27">
        <v>6.073</v>
      </c>
      <c r="BF23" s="19">
        <v>17.21</v>
      </c>
      <c r="BG23" s="5"/>
      <c r="BH23" s="27">
        <v>6.0861</v>
      </c>
      <c r="BI23" s="19">
        <v>17.17</v>
      </c>
      <c r="BJ23" s="5"/>
      <c r="BK23" s="27">
        <f t="shared" si="0"/>
        <v>6.1896949999999995</v>
      </c>
      <c r="BL23" s="19">
        <f t="shared" si="1"/>
        <v>17.159</v>
      </c>
      <c r="BM23" s="5"/>
      <c r="BN23" s="31"/>
      <c r="BO23" s="32"/>
      <c r="BP23" s="9"/>
    </row>
    <row r="24" spans="1:68" ht="15.75" customHeight="1">
      <c r="A24" s="16">
        <v>12</v>
      </c>
      <c r="B24" s="17" t="s">
        <v>25</v>
      </c>
      <c r="C24" s="27">
        <f>1/1.45031</f>
        <v>0.6895077604098434</v>
      </c>
      <c r="D24" s="19">
        <v>154.18</v>
      </c>
      <c r="E24" s="5"/>
      <c r="F24" s="27">
        <f>1/1.45724</f>
        <v>0.6862287612198402</v>
      </c>
      <c r="G24" s="19">
        <v>153.92</v>
      </c>
      <c r="H24" s="5"/>
      <c r="I24" s="27">
        <f>1/1.46375</f>
        <v>0.6831767719897524</v>
      </c>
      <c r="J24" s="19">
        <v>154.73</v>
      </c>
      <c r="K24" s="5"/>
      <c r="L24" s="27">
        <f>1/1.46254</f>
        <v>0.6837419831252479</v>
      </c>
      <c r="M24" s="19">
        <v>155.25</v>
      </c>
      <c r="N24" s="5"/>
      <c r="O24" s="27">
        <f>1/1.4574</f>
        <v>0.6861534239055853</v>
      </c>
      <c r="P24" s="19">
        <v>156.32</v>
      </c>
      <c r="Q24" s="5"/>
      <c r="R24" s="27">
        <f>1/1.43986</f>
        <v>0.6945119664411818</v>
      </c>
      <c r="S24" s="19">
        <v>154.36</v>
      </c>
      <c r="T24" s="5"/>
      <c r="U24" s="27">
        <f>1/1.43803</f>
        <v>0.6953957845107543</v>
      </c>
      <c r="V24" s="19">
        <v>154.28</v>
      </c>
      <c r="W24" s="5"/>
      <c r="X24" s="27">
        <f>1/1.44224</f>
        <v>0.693365875305081</v>
      </c>
      <c r="Y24" s="19">
        <v>154.9</v>
      </c>
      <c r="Z24" s="5"/>
      <c r="AA24" s="27">
        <f>1/1.43843</f>
        <v>0.6952024081811419</v>
      </c>
      <c r="AB24" s="19">
        <v>154.68</v>
      </c>
      <c r="AC24" s="5"/>
      <c r="AD24" s="27">
        <f>1/1.43463</f>
        <v>0.6970438370869143</v>
      </c>
      <c r="AE24" s="19">
        <v>152.48</v>
      </c>
      <c r="AF24" s="5"/>
      <c r="AG24" s="27">
        <f>1/1.44813</f>
        <v>0.6905457382969762</v>
      </c>
      <c r="AH24" s="19">
        <v>154.12</v>
      </c>
      <c r="AI24" s="5"/>
      <c r="AJ24" s="27">
        <f>1/1.44596</f>
        <v>0.6915820631276107</v>
      </c>
      <c r="AK24" s="19">
        <v>153.56</v>
      </c>
      <c r="AL24" s="5"/>
      <c r="AM24" s="27">
        <f>1/1.44975</f>
        <v>0.6897740989825831</v>
      </c>
      <c r="AN24" s="19">
        <v>154.42</v>
      </c>
      <c r="AO24" s="5"/>
      <c r="AP24" s="27">
        <f>1/1.44574</f>
        <v>0.6916873020045098</v>
      </c>
      <c r="AQ24" s="19">
        <v>153.49</v>
      </c>
      <c r="AR24" s="5"/>
      <c r="AS24" s="27">
        <f>1/1.45412</f>
        <v>0.6877011525871317</v>
      </c>
      <c r="AT24" s="19">
        <v>154.74</v>
      </c>
      <c r="AU24" s="5"/>
      <c r="AV24" s="27">
        <f>1/1.44908</f>
        <v>0.690093024539708</v>
      </c>
      <c r="AW24" s="19">
        <v>153.57</v>
      </c>
      <c r="AX24" s="5"/>
      <c r="AY24" s="27">
        <f>1/1.4552</f>
        <v>0.6871907641561297</v>
      </c>
      <c r="AZ24" s="19">
        <v>153.58</v>
      </c>
      <c r="BA24" s="5"/>
      <c r="BB24" s="27">
        <f>1/1.4603</f>
        <v>0.6847907964116963</v>
      </c>
      <c r="BC24" s="19">
        <v>153.68</v>
      </c>
      <c r="BD24" s="5"/>
      <c r="BE24" s="27">
        <f>1/1.46275</f>
        <v>0.6836438215689625</v>
      </c>
      <c r="BF24" s="19">
        <v>152.91</v>
      </c>
      <c r="BG24" s="5"/>
      <c r="BH24" s="27">
        <f>1/1.46882</f>
        <v>0.6808186163042442</v>
      </c>
      <c r="BI24" s="19">
        <v>153.51</v>
      </c>
      <c r="BJ24" s="5"/>
      <c r="BK24" s="27">
        <f t="shared" si="0"/>
        <v>0.6891077975077448</v>
      </c>
      <c r="BL24" s="19">
        <f t="shared" si="1"/>
        <v>154.13400000000001</v>
      </c>
      <c r="BM24" s="5"/>
      <c r="BN24" s="31"/>
      <c r="BO24" s="32"/>
      <c r="BP24" s="9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106.31</v>
      </c>
      <c r="E25" s="21"/>
      <c r="F25" s="28">
        <v>1</v>
      </c>
      <c r="G25" s="22">
        <v>105.63</v>
      </c>
      <c r="H25" s="21"/>
      <c r="I25" s="28">
        <v>1</v>
      </c>
      <c r="J25" s="22">
        <v>105.71</v>
      </c>
      <c r="K25" s="21"/>
      <c r="L25" s="28">
        <v>1</v>
      </c>
      <c r="M25" s="22">
        <v>106.15</v>
      </c>
      <c r="N25" s="21"/>
      <c r="O25" s="28">
        <v>1</v>
      </c>
      <c r="P25" s="22">
        <v>107.26</v>
      </c>
      <c r="Q25" s="21"/>
      <c r="R25" s="28">
        <v>1</v>
      </c>
      <c r="S25" s="22">
        <v>107.2</v>
      </c>
      <c r="T25" s="21"/>
      <c r="U25" s="28">
        <v>1</v>
      </c>
      <c r="V25" s="22">
        <v>107</v>
      </c>
      <c r="W25" s="21"/>
      <c r="X25" s="28">
        <v>1</v>
      </c>
      <c r="Y25" s="22">
        <v>107.4</v>
      </c>
      <c r="Z25" s="21"/>
      <c r="AA25" s="28">
        <v>1</v>
      </c>
      <c r="AB25" s="22">
        <v>107.53</v>
      </c>
      <c r="AC25" s="21"/>
      <c r="AD25" s="28">
        <v>1</v>
      </c>
      <c r="AE25" s="22">
        <v>106.28</v>
      </c>
      <c r="AF25" s="21"/>
      <c r="AG25" s="28">
        <v>1</v>
      </c>
      <c r="AH25" s="22">
        <v>106.43</v>
      </c>
      <c r="AI25" s="21"/>
      <c r="AJ25" s="28">
        <v>1</v>
      </c>
      <c r="AK25" s="22">
        <v>106.2</v>
      </c>
      <c r="AL25" s="21"/>
      <c r="AM25" s="28">
        <v>1</v>
      </c>
      <c r="AN25" s="22">
        <v>106.51</v>
      </c>
      <c r="AO25" s="21"/>
      <c r="AP25" s="28">
        <v>1</v>
      </c>
      <c r="AQ25" s="22">
        <v>106.17</v>
      </c>
      <c r="AR25" s="21"/>
      <c r="AS25" s="28">
        <v>1</v>
      </c>
      <c r="AT25" s="22">
        <v>106.41</v>
      </c>
      <c r="AU25" s="21"/>
      <c r="AV25" s="28">
        <v>1</v>
      </c>
      <c r="AW25" s="22">
        <v>105.97</v>
      </c>
      <c r="AX25" s="21"/>
      <c r="AY25" s="28">
        <v>1</v>
      </c>
      <c r="AZ25" s="22">
        <v>105.54</v>
      </c>
      <c r="BA25" s="21"/>
      <c r="BB25" s="28">
        <v>1</v>
      </c>
      <c r="BC25" s="22">
        <v>105.24</v>
      </c>
      <c r="BD25" s="21"/>
      <c r="BE25" s="28">
        <v>1</v>
      </c>
      <c r="BF25" s="22">
        <v>104.53</v>
      </c>
      <c r="BG25" s="21"/>
      <c r="BH25" s="28">
        <v>1</v>
      </c>
      <c r="BI25" s="22">
        <v>104.51</v>
      </c>
      <c r="BJ25" s="21"/>
      <c r="BK25" s="28">
        <f t="shared" si="0"/>
        <v>1</v>
      </c>
      <c r="BL25" s="22">
        <f t="shared" si="1"/>
        <v>106.19900000000003</v>
      </c>
      <c r="BM25" s="21"/>
      <c r="BN25" s="31"/>
      <c r="BO25" s="32"/>
      <c r="BP25" s="9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&amp;LBanka e Shqiperise
Sektori i Informacionit
Kurset mujore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P13" sqref="BP13:BQ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136</v>
      </c>
      <c r="D4" s="4"/>
      <c r="E4" s="10"/>
      <c r="F4" s="4" t="s">
        <v>137</v>
      </c>
      <c r="G4" s="4"/>
      <c r="H4" s="10"/>
      <c r="I4" s="4" t="s">
        <v>138</v>
      </c>
      <c r="J4" s="4"/>
      <c r="K4" s="10"/>
      <c r="L4" s="4" t="s">
        <v>139</v>
      </c>
      <c r="M4" s="4"/>
      <c r="N4" s="10"/>
      <c r="O4" s="4" t="s">
        <v>140</v>
      </c>
      <c r="P4" s="4"/>
      <c r="Q4" s="10"/>
      <c r="R4" s="4" t="s">
        <v>141</v>
      </c>
      <c r="S4" s="4"/>
      <c r="T4" s="10"/>
      <c r="U4" s="4" t="s">
        <v>142</v>
      </c>
      <c r="V4" s="4"/>
      <c r="W4" s="10"/>
      <c r="X4" s="4" t="s">
        <v>143</v>
      </c>
      <c r="Y4" s="4"/>
      <c r="Z4" s="10"/>
      <c r="AA4" s="4" t="s">
        <v>144</v>
      </c>
      <c r="AB4" s="4"/>
      <c r="AC4" s="10"/>
      <c r="AD4" s="4" t="s">
        <v>145</v>
      </c>
      <c r="AE4" s="4"/>
      <c r="AF4" s="10"/>
      <c r="AG4" s="4" t="s">
        <v>146</v>
      </c>
      <c r="AH4" s="4"/>
      <c r="AI4" s="10"/>
      <c r="AJ4" s="4" t="s">
        <v>147</v>
      </c>
      <c r="AK4" s="4"/>
      <c r="AL4" s="10"/>
      <c r="AM4" s="4" t="s">
        <v>148</v>
      </c>
      <c r="AN4" s="4"/>
      <c r="AO4" s="10"/>
      <c r="AP4" s="4" t="s">
        <v>149</v>
      </c>
      <c r="AQ4" s="4"/>
      <c r="AR4" s="10"/>
      <c r="AS4" s="4" t="s">
        <v>150</v>
      </c>
      <c r="AT4" s="4"/>
      <c r="AU4" s="10"/>
      <c r="AV4" s="4" t="s">
        <v>151</v>
      </c>
      <c r="AW4" s="4"/>
      <c r="AX4" s="10"/>
      <c r="AY4" s="4" t="s">
        <v>152</v>
      </c>
      <c r="AZ4" s="4"/>
      <c r="BA4" s="10"/>
      <c r="BB4" s="4" t="s">
        <v>153</v>
      </c>
      <c r="BC4" s="4"/>
      <c r="BD4" s="10"/>
      <c r="BE4" s="4" t="s">
        <v>154</v>
      </c>
      <c r="BF4" s="4"/>
      <c r="BG4" s="10"/>
      <c r="BH4" s="4" t="s">
        <v>155</v>
      </c>
      <c r="BI4" s="4"/>
      <c r="BJ4" s="26"/>
      <c r="BK4" s="4" t="s">
        <v>156</v>
      </c>
      <c r="BL4" s="4"/>
      <c r="BM4" s="26"/>
      <c r="BN4" s="4" t="s">
        <v>157</v>
      </c>
      <c r="BO4" s="4"/>
      <c r="BP4" s="4" t="s">
        <v>3</v>
      </c>
      <c r="BQ4" s="4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109.4</v>
      </c>
      <c r="D13" s="19">
        <v>95.31</v>
      </c>
      <c r="E13" s="5"/>
      <c r="F13" s="27">
        <v>110.66</v>
      </c>
      <c r="G13" s="19">
        <v>94.09</v>
      </c>
      <c r="H13" s="5"/>
      <c r="I13" s="27">
        <v>110.73</v>
      </c>
      <c r="J13" s="19">
        <v>94.19</v>
      </c>
      <c r="K13" s="5"/>
      <c r="L13" s="27">
        <v>111.17</v>
      </c>
      <c r="M13" s="19">
        <v>93.86</v>
      </c>
      <c r="N13" s="5"/>
      <c r="O13" s="27">
        <v>109.98</v>
      </c>
      <c r="P13" s="19">
        <v>94.26</v>
      </c>
      <c r="Q13" s="5"/>
      <c r="R13" s="27">
        <v>109.65</v>
      </c>
      <c r="S13" s="19">
        <v>94.22</v>
      </c>
      <c r="T13" s="5"/>
      <c r="U13" s="27">
        <v>108.77</v>
      </c>
      <c r="V13" s="19">
        <v>95.38</v>
      </c>
      <c r="W13" s="5"/>
      <c r="X13" s="27">
        <v>109.95</v>
      </c>
      <c r="Y13" s="19">
        <v>95.13</v>
      </c>
      <c r="Z13" s="5"/>
      <c r="AA13" s="27">
        <v>110.12</v>
      </c>
      <c r="AB13" s="19">
        <v>95.06</v>
      </c>
      <c r="AC13" s="5"/>
      <c r="AD13" s="27">
        <v>110.63</v>
      </c>
      <c r="AE13" s="19">
        <v>94.08</v>
      </c>
      <c r="AF13" s="5"/>
      <c r="AG13" s="27">
        <v>111.27</v>
      </c>
      <c r="AH13" s="19">
        <v>92.84</v>
      </c>
      <c r="AI13" s="5"/>
      <c r="AJ13" s="27">
        <v>109.86</v>
      </c>
      <c r="AK13" s="19">
        <v>93.6</v>
      </c>
      <c r="AL13" s="5"/>
      <c r="AM13" s="27">
        <v>109.28</v>
      </c>
      <c r="AN13" s="19">
        <v>94.22</v>
      </c>
      <c r="AO13" s="5"/>
      <c r="AP13" s="27">
        <v>109.23</v>
      </c>
      <c r="AQ13" s="19">
        <v>93.79</v>
      </c>
      <c r="AR13" s="5"/>
      <c r="AS13" s="27">
        <v>108.41</v>
      </c>
      <c r="AT13" s="19">
        <v>93.53</v>
      </c>
      <c r="AU13" s="5"/>
      <c r="AV13" s="27">
        <v>108.62</v>
      </c>
      <c r="AW13" s="19">
        <v>93.01</v>
      </c>
      <c r="AX13" s="5"/>
      <c r="AY13" s="27">
        <v>108.84</v>
      </c>
      <c r="AZ13" s="19">
        <v>92.42</v>
      </c>
      <c r="BA13" s="5"/>
      <c r="BB13" s="27">
        <v>107.74</v>
      </c>
      <c r="BC13" s="19">
        <v>93.57</v>
      </c>
      <c r="BD13" s="5"/>
      <c r="BE13" s="27">
        <v>107.81</v>
      </c>
      <c r="BF13" s="19">
        <v>94.3</v>
      </c>
      <c r="BG13" s="5"/>
      <c r="BH13" s="27">
        <v>108.09</v>
      </c>
      <c r="BI13" s="19">
        <v>94.04</v>
      </c>
      <c r="BJ13" s="5"/>
      <c r="BK13" s="27">
        <v>108.53</v>
      </c>
      <c r="BL13" s="19">
        <v>93.46</v>
      </c>
      <c r="BM13" s="5"/>
      <c r="BN13" s="27">
        <v>109.06</v>
      </c>
      <c r="BO13" s="19">
        <v>93.07</v>
      </c>
      <c r="BP13" s="27">
        <f>(+C13+F13+I13+L13+O13+R13+U13+X13+AA13+AD13+AG13+AJ13+AM13+AP13+AS13+AV13+AY13+BB13+BE13+BH13+BK13+BN13)/22</f>
        <v>109.44545454545455</v>
      </c>
      <c r="BQ13" s="19">
        <f>(+D13+G13+J13+M13+P13+S13+V13+Y13+AB13+AE13+AH13+AK13+AN13+AQ13+AT13+AW13+AZ13+BC13+BF13+BI13+BL13+BO13)/22</f>
        <v>93.9740909090909</v>
      </c>
    </row>
    <row r="14" spans="1:69" ht="15.75" customHeight="1">
      <c r="A14" s="16">
        <v>2</v>
      </c>
      <c r="B14" s="17" t="s">
        <v>15</v>
      </c>
      <c r="C14" s="27">
        <f>1/1.8377</f>
        <v>0.5441584589432443</v>
      </c>
      <c r="D14" s="19">
        <v>191.61</v>
      </c>
      <c r="E14" s="5"/>
      <c r="F14" s="27">
        <f>1/1.844</f>
        <v>0.5422993492407809</v>
      </c>
      <c r="G14" s="19">
        <v>192</v>
      </c>
      <c r="H14" s="5"/>
      <c r="I14" s="27">
        <f>1/1.8336</f>
        <v>0.5453752181500873</v>
      </c>
      <c r="J14" s="19">
        <v>191.24</v>
      </c>
      <c r="K14" s="5"/>
      <c r="L14" s="27">
        <f>1/1.8382</f>
        <v>0.544010445000544</v>
      </c>
      <c r="M14" s="19">
        <v>191.8</v>
      </c>
      <c r="N14" s="5"/>
      <c r="O14" s="27">
        <f>1/1.84</f>
        <v>0.5434782608695652</v>
      </c>
      <c r="P14" s="19">
        <v>190.75</v>
      </c>
      <c r="Q14" s="5"/>
      <c r="R14" s="27">
        <f>1/1.8437</f>
        <v>0.5423875901719369</v>
      </c>
      <c r="S14" s="19">
        <v>190.48</v>
      </c>
      <c r="T14" s="5"/>
      <c r="U14" s="27">
        <f>1/1.8378</f>
        <v>0.5441288497116117</v>
      </c>
      <c r="V14" s="19">
        <v>190.67</v>
      </c>
      <c r="W14" s="5"/>
      <c r="X14" s="27">
        <f>1/1.8292</f>
        <v>0.5466870763175159</v>
      </c>
      <c r="Y14" s="19">
        <v>191.32</v>
      </c>
      <c r="Z14" s="5"/>
      <c r="AA14" s="27">
        <f>1/1.24</f>
        <v>0.8064516129032259</v>
      </c>
      <c r="AB14" s="19">
        <v>190.94</v>
      </c>
      <c r="AC14" s="5"/>
      <c r="AD14" s="27">
        <f>1/1.8088</f>
        <v>0.5528527200353825</v>
      </c>
      <c r="AE14" s="19">
        <v>188.27</v>
      </c>
      <c r="AF14" s="5"/>
      <c r="AG14" s="27">
        <f>1/1.8134</f>
        <v>0.5514503143266792</v>
      </c>
      <c r="AH14" s="19">
        <v>187.34</v>
      </c>
      <c r="AI14" s="5"/>
      <c r="AJ14" s="27">
        <f>1/1.8272</f>
        <v>0.5472854640980735</v>
      </c>
      <c r="AK14" s="19">
        <v>187.89</v>
      </c>
      <c r="AL14" s="5"/>
      <c r="AM14" s="27">
        <f>1/1.8324</f>
        <v>0.5457323728443572</v>
      </c>
      <c r="AN14" s="19">
        <v>188.66</v>
      </c>
      <c r="AO14" s="5"/>
      <c r="AP14" s="27">
        <f>1/1.8312</f>
        <v>0.54608999563128</v>
      </c>
      <c r="AQ14" s="19">
        <v>187.59</v>
      </c>
      <c r="AR14" s="5"/>
      <c r="AS14" s="27">
        <f>1/1.8321</f>
        <v>0.5458217346214727</v>
      </c>
      <c r="AT14" s="19">
        <v>185.77</v>
      </c>
      <c r="AU14" s="5"/>
      <c r="AV14" s="27">
        <f>1/1.819</f>
        <v>0.5497526113249038</v>
      </c>
      <c r="AW14" s="19">
        <v>183.78</v>
      </c>
      <c r="AX14" s="5"/>
      <c r="AY14" s="27">
        <f>1/1.8154</f>
        <v>0.5508427894678859</v>
      </c>
      <c r="AZ14" s="19">
        <v>182.62</v>
      </c>
      <c r="BA14" s="5"/>
      <c r="BB14" s="27">
        <f>1/1.8174</f>
        <v>0.5502366017387477</v>
      </c>
      <c r="BC14" s="19">
        <v>183.21</v>
      </c>
      <c r="BD14" s="5"/>
      <c r="BE14" s="27">
        <f>1/1.8198</f>
        <v>0.5495109352676119</v>
      </c>
      <c r="BF14" s="19">
        <v>185.01</v>
      </c>
      <c r="BG14" s="5"/>
      <c r="BH14" s="27">
        <f>1/1.8268</f>
        <v>0.5474052988832931</v>
      </c>
      <c r="BI14" s="19">
        <v>185.69</v>
      </c>
      <c r="BJ14" s="5"/>
      <c r="BK14" s="27">
        <f>1/1.8214</f>
        <v>0.5490282200505107</v>
      </c>
      <c r="BL14" s="19">
        <v>184.75</v>
      </c>
      <c r="BM14" s="5"/>
      <c r="BN14" s="27">
        <f>1/1.8086</f>
        <v>0.5529138560212319</v>
      </c>
      <c r="BO14" s="19">
        <v>183.58</v>
      </c>
      <c r="BP14" s="27">
        <f aca="true" t="shared" si="0" ref="BP14:BP25">(+C14+F14+I14+L14+O14+R14+U14+X14+AA14+AD14+AG14+AJ14+AM14+AP14+AS14+AV14+AY14+BB14+BE14+BH14+BK14+BN14)/22</f>
        <v>0.5589954443463611</v>
      </c>
      <c r="BQ14" s="19">
        <f aca="true" t="shared" si="1" ref="BQ14:BQ25">(+D14+G14+J14+M14+P14+S14+V14+Y14+AB14+AE14+AH14+AK14+AN14+AQ14+AT14+AW14+AZ14+BC14+BF14+BI14+BL14+BO14)/22</f>
        <v>187.95318181818183</v>
      </c>
    </row>
    <row r="15" spans="1:69" ht="15.75" customHeight="1">
      <c r="A15" s="16">
        <v>3</v>
      </c>
      <c r="B15" s="17" t="s">
        <v>16</v>
      </c>
      <c r="C15" s="27">
        <v>1.2481</v>
      </c>
      <c r="D15" s="19">
        <v>83.54</v>
      </c>
      <c r="E15" s="5"/>
      <c r="F15" s="27">
        <v>1.2445</v>
      </c>
      <c r="G15" s="19">
        <v>83.66</v>
      </c>
      <c r="H15" s="5"/>
      <c r="I15" s="27">
        <v>1.2485</v>
      </c>
      <c r="J15" s="19">
        <v>83.54</v>
      </c>
      <c r="K15" s="5"/>
      <c r="L15" s="27">
        <v>1.2503</v>
      </c>
      <c r="M15" s="19">
        <v>83.45</v>
      </c>
      <c r="N15" s="5"/>
      <c r="O15" s="27">
        <v>1.2361</v>
      </c>
      <c r="P15" s="19">
        <v>83.87</v>
      </c>
      <c r="Q15" s="5"/>
      <c r="R15" s="27">
        <v>1.234</v>
      </c>
      <c r="S15" s="19">
        <v>83.72</v>
      </c>
      <c r="T15" s="5"/>
      <c r="U15" s="27">
        <v>1.2434</v>
      </c>
      <c r="V15" s="19">
        <v>83.44</v>
      </c>
      <c r="W15" s="5"/>
      <c r="X15" s="27">
        <v>1.254</v>
      </c>
      <c r="Y15" s="19">
        <v>83.41</v>
      </c>
      <c r="Z15" s="5"/>
      <c r="AA15" s="27">
        <v>1.2539</v>
      </c>
      <c r="AB15" s="19">
        <v>83.49</v>
      </c>
      <c r="AC15" s="5"/>
      <c r="AD15" s="27">
        <v>1.2615</v>
      </c>
      <c r="AE15" s="19">
        <v>82.51</v>
      </c>
      <c r="AF15" s="5"/>
      <c r="AG15" s="27">
        <v>1.2621</v>
      </c>
      <c r="AH15" s="19">
        <v>81.85</v>
      </c>
      <c r="AI15" s="5"/>
      <c r="AJ15" s="27">
        <v>1.2618</v>
      </c>
      <c r="AK15" s="19">
        <v>81.49</v>
      </c>
      <c r="AL15" s="5"/>
      <c r="AM15" s="27">
        <v>1.258</v>
      </c>
      <c r="AN15" s="19">
        <v>81.84</v>
      </c>
      <c r="AO15" s="5"/>
      <c r="AP15" s="27">
        <v>1.258</v>
      </c>
      <c r="AQ15" s="19">
        <v>81.43</v>
      </c>
      <c r="AR15" s="5"/>
      <c r="AS15" s="27">
        <v>1.2477</v>
      </c>
      <c r="AT15" s="19">
        <v>81.27</v>
      </c>
      <c r="AU15" s="5"/>
      <c r="AV15" s="27">
        <v>1.2535</v>
      </c>
      <c r="AW15" s="19">
        <v>80.6</v>
      </c>
      <c r="AX15" s="5"/>
      <c r="AY15" s="27">
        <v>1.2527</v>
      </c>
      <c r="AZ15" s="19">
        <v>80.3</v>
      </c>
      <c r="BA15" s="5"/>
      <c r="BB15" s="27">
        <v>1.2477</v>
      </c>
      <c r="BC15" s="19">
        <v>80.79</v>
      </c>
      <c r="BD15" s="5"/>
      <c r="BE15" s="27">
        <v>1.2485</v>
      </c>
      <c r="BF15" s="19">
        <v>81.43</v>
      </c>
      <c r="BG15" s="5"/>
      <c r="BH15" s="27">
        <v>1.2508</v>
      </c>
      <c r="BI15" s="19">
        <v>81.27</v>
      </c>
      <c r="BJ15" s="5"/>
      <c r="BK15" s="27">
        <v>1.2552</v>
      </c>
      <c r="BL15" s="19">
        <v>80.81</v>
      </c>
      <c r="BM15" s="5"/>
      <c r="BN15" s="27">
        <v>1.2583</v>
      </c>
      <c r="BO15" s="19">
        <v>80.67</v>
      </c>
      <c r="BP15" s="27">
        <f t="shared" si="0"/>
        <v>1.2512999999999996</v>
      </c>
      <c r="BQ15" s="19">
        <f t="shared" si="1"/>
        <v>82.1990909090909</v>
      </c>
    </row>
    <row r="16" spans="1:69" ht="15.75" customHeight="1">
      <c r="A16" s="16">
        <v>4</v>
      </c>
      <c r="B16" s="17" t="s">
        <v>17</v>
      </c>
      <c r="C16" s="27">
        <f>1/1.2245</f>
        <v>0.8166598611678236</v>
      </c>
      <c r="D16" s="19">
        <v>127.67</v>
      </c>
      <c r="E16" s="5"/>
      <c r="F16" s="27">
        <f>1/1.2264</f>
        <v>0.8153946510110894</v>
      </c>
      <c r="G16" s="19">
        <v>127.69</v>
      </c>
      <c r="H16" s="5"/>
      <c r="I16" s="27">
        <f>1/1.2229</f>
        <v>0.8177283506419167</v>
      </c>
      <c r="J16" s="19">
        <v>127.54</v>
      </c>
      <c r="K16" s="5"/>
      <c r="L16" s="27">
        <f>1/1.2216</f>
        <v>0.8185985592665357</v>
      </c>
      <c r="M16" s="19">
        <v>127.46</v>
      </c>
      <c r="N16" s="5"/>
      <c r="O16" s="27">
        <f>1/1.2322</f>
        <v>0.8115565654926149</v>
      </c>
      <c r="P16" s="19">
        <v>127.74</v>
      </c>
      <c r="Q16" s="5"/>
      <c r="R16" s="27">
        <f>1/1.2328</f>
        <v>0.8111615833874108</v>
      </c>
      <c r="S16" s="19">
        <v>127.36</v>
      </c>
      <c r="T16" s="5"/>
      <c r="U16" s="27">
        <f>1/1.2215</f>
        <v>0.8186655751125665</v>
      </c>
      <c r="V16" s="19">
        <v>126.73</v>
      </c>
      <c r="W16" s="5"/>
      <c r="X16" s="27">
        <f>1/1.2061</f>
        <v>0.8291186468783683</v>
      </c>
      <c r="Y16" s="19">
        <v>126.15</v>
      </c>
      <c r="Z16" s="5"/>
      <c r="AA16" s="27">
        <f>1/1.2011</f>
        <v>0.8325701440346349</v>
      </c>
      <c r="AB16" s="19">
        <v>125.74</v>
      </c>
      <c r="AC16" s="5"/>
      <c r="AD16" s="27">
        <f>1/1.2005</f>
        <v>0.8329862557267805</v>
      </c>
      <c r="AE16" s="19">
        <v>124.95</v>
      </c>
      <c r="AF16" s="5"/>
      <c r="AG16" s="27">
        <f>1/1.2035</f>
        <v>0.8309098462816784</v>
      </c>
      <c r="AH16" s="19">
        <v>124.33</v>
      </c>
      <c r="AI16" s="5"/>
      <c r="AJ16" s="27">
        <f>1/1.2079</f>
        <v>0.8278831029058697</v>
      </c>
      <c r="AK16" s="19">
        <v>124.21</v>
      </c>
      <c r="AL16" s="5"/>
      <c r="AM16" s="27">
        <f>1/1.204</f>
        <v>0.8305647840531561</v>
      </c>
      <c r="AN16" s="19">
        <v>123.96</v>
      </c>
      <c r="AO16" s="5"/>
      <c r="AP16" s="27">
        <f>1/1.2009</f>
        <v>0.8327088017320342</v>
      </c>
      <c r="AQ16" s="19">
        <v>123.02</v>
      </c>
      <c r="AR16" s="5"/>
      <c r="AS16" s="27">
        <f>1/1.2095</f>
        <v>0.8267879288962381</v>
      </c>
      <c r="AT16" s="19">
        <v>122.64</v>
      </c>
      <c r="AU16" s="5"/>
      <c r="AV16" s="27">
        <f>1/1.207</f>
        <v>0.828500414250207</v>
      </c>
      <c r="AW16" s="19">
        <v>121.95</v>
      </c>
      <c r="AX16" s="5"/>
      <c r="AY16" s="27">
        <f>1/1.2115</f>
        <v>0.8254230293025175</v>
      </c>
      <c r="AZ16" s="19">
        <v>121.87</v>
      </c>
      <c r="BA16" s="5"/>
      <c r="BB16" s="27">
        <f>1/1.2111</f>
        <v>0.825695648583932</v>
      </c>
      <c r="BC16" s="19">
        <v>122.09</v>
      </c>
      <c r="BD16" s="5"/>
      <c r="BE16" s="27">
        <f>1/1.2119</f>
        <v>0.8251505899826719</v>
      </c>
      <c r="BF16" s="19">
        <v>123.21</v>
      </c>
      <c r="BG16" s="5"/>
      <c r="BH16" s="27">
        <f>1/1.2168</f>
        <v>0.8218277449046679</v>
      </c>
      <c r="BI16" s="19">
        <v>123.69</v>
      </c>
      <c r="BJ16" s="5"/>
      <c r="BK16" s="27">
        <f>1/1.2168</f>
        <v>0.8218277449046679</v>
      </c>
      <c r="BL16" s="19">
        <v>123.42</v>
      </c>
      <c r="BM16" s="5"/>
      <c r="BN16" s="27">
        <f>1/1.2124</f>
        <v>0.8248102936324646</v>
      </c>
      <c r="BO16" s="19">
        <v>123.06</v>
      </c>
      <c r="BP16" s="27">
        <f t="shared" si="0"/>
        <v>0.8239331873704473</v>
      </c>
      <c r="BQ16" s="19">
        <f t="shared" si="1"/>
        <v>124.84000000000002</v>
      </c>
    </row>
    <row r="17" spans="1:69" ht="15.75" customHeight="1">
      <c r="A17" s="16">
        <v>5</v>
      </c>
      <c r="B17" s="17" t="s">
        <v>18</v>
      </c>
      <c r="C17" s="27">
        <v>395.75</v>
      </c>
      <c r="D17" s="19">
        <v>41263.53</v>
      </c>
      <c r="E17" s="5"/>
      <c r="F17" s="27">
        <v>396</v>
      </c>
      <c r="G17" s="19">
        <v>41231.85</v>
      </c>
      <c r="H17" s="5"/>
      <c r="I17" s="27">
        <v>391.3</v>
      </c>
      <c r="J17" s="19">
        <v>40810.63</v>
      </c>
      <c r="K17" s="5"/>
      <c r="L17" s="27">
        <v>388.2</v>
      </c>
      <c r="M17" s="19">
        <v>40504.46</v>
      </c>
      <c r="N17" s="5"/>
      <c r="O17" s="27">
        <v>393.1</v>
      </c>
      <c r="P17" s="19">
        <v>40752.68</v>
      </c>
      <c r="Q17" s="5"/>
      <c r="R17" s="27">
        <v>394.75</v>
      </c>
      <c r="S17" s="19">
        <v>40782.61</v>
      </c>
      <c r="T17" s="5"/>
      <c r="U17" s="27">
        <v>389</v>
      </c>
      <c r="V17" s="19">
        <v>40357.45</v>
      </c>
      <c r="W17" s="5"/>
      <c r="X17" s="27">
        <v>383.75</v>
      </c>
      <c r="Y17" s="19">
        <v>40136.41</v>
      </c>
      <c r="Z17" s="5"/>
      <c r="AA17" s="27">
        <v>384.2</v>
      </c>
      <c r="AB17" s="19">
        <v>40219.34</v>
      </c>
      <c r="AC17" s="5"/>
      <c r="AD17" s="27">
        <v>382.55</v>
      </c>
      <c r="AE17" s="19">
        <v>39817.72</v>
      </c>
      <c r="AF17" s="5"/>
      <c r="AG17" s="27">
        <v>382.1</v>
      </c>
      <c r="AH17" s="19">
        <v>39474.11</v>
      </c>
      <c r="AI17" s="5"/>
      <c r="AJ17" s="27">
        <v>387.25</v>
      </c>
      <c r="AK17" s="19">
        <v>39820.59</v>
      </c>
      <c r="AL17" s="5"/>
      <c r="AM17" s="27">
        <v>385.8</v>
      </c>
      <c r="AN17" s="19">
        <v>39721.33</v>
      </c>
      <c r="AO17" s="5"/>
      <c r="AP17" s="27">
        <v>389</v>
      </c>
      <c r="AQ17" s="19">
        <v>39850.13</v>
      </c>
      <c r="AR17" s="5"/>
      <c r="AS17" s="27">
        <v>393.9</v>
      </c>
      <c r="AT17" s="19">
        <v>39939.49</v>
      </c>
      <c r="AU17" s="5"/>
      <c r="AV17" s="27">
        <v>393.75</v>
      </c>
      <c r="AW17" s="19">
        <v>39781.55</v>
      </c>
      <c r="AX17" s="5"/>
      <c r="AY17" s="27">
        <v>395</v>
      </c>
      <c r="AZ17" s="19">
        <v>39734.5</v>
      </c>
      <c r="BA17" s="5"/>
      <c r="BB17" s="27">
        <v>396.25</v>
      </c>
      <c r="BC17" s="19">
        <v>39944.97</v>
      </c>
      <c r="BD17" s="5"/>
      <c r="BE17" s="27">
        <v>401</v>
      </c>
      <c r="BF17" s="19">
        <v>40768.33</v>
      </c>
      <c r="BG17" s="5"/>
      <c r="BH17" s="27">
        <v>402</v>
      </c>
      <c r="BI17" s="19">
        <v>40862.97</v>
      </c>
      <c r="BJ17" s="5"/>
      <c r="BK17" s="27">
        <v>397.5</v>
      </c>
      <c r="BL17" s="19">
        <v>40319.42</v>
      </c>
      <c r="BM17" s="5"/>
      <c r="BN17" s="27">
        <v>393.25</v>
      </c>
      <c r="BO17" s="19">
        <v>39916.51</v>
      </c>
      <c r="BP17" s="27">
        <f t="shared" si="0"/>
        <v>391.60909090909087</v>
      </c>
      <c r="BQ17" s="19">
        <f t="shared" si="1"/>
        <v>40273.208181818176</v>
      </c>
    </row>
    <row r="18" spans="1:69" ht="15.75" customHeight="1">
      <c r="A18" s="16">
        <v>6</v>
      </c>
      <c r="B18" s="20" t="s">
        <v>19</v>
      </c>
      <c r="C18" s="27">
        <v>6.14</v>
      </c>
      <c r="D18" s="19">
        <v>640.2</v>
      </c>
      <c r="E18" s="5"/>
      <c r="F18" s="27">
        <v>6.08</v>
      </c>
      <c r="G18" s="19">
        <v>633.05</v>
      </c>
      <c r="H18" s="5"/>
      <c r="I18" s="27">
        <v>5.81</v>
      </c>
      <c r="J18" s="19">
        <v>605.95</v>
      </c>
      <c r="K18" s="5"/>
      <c r="L18" s="27">
        <v>5.72</v>
      </c>
      <c r="M18" s="19">
        <v>596.82</v>
      </c>
      <c r="N18" s="5"/>
      <c r="O18" s="27">
        <v>5.85</v>
      </c>
      <c r="P18" s="19">
        <v>606.47</v>
      </c>
      <c r="Q18" s="5"/>
      <c r="R18" s="27">
        <v>5.87</v>
      </c>
      <c r="S18" s="19">
        <v>606.44</v>
      </c>
      <c r="T18" s="5"/>
      <c r="U18" s="27">
        <v>5.73</v>
      </c>
      <c r="V18" s="19">
        <v>594.47</v>
      </c>
      <c r="W18" s="5"/>
      <c r="X18" s="27">
        <v>5.64</v>
      </c>
      <c r="Y18" s="19">
        <v>589.89</v>
      </c>
      <c r="Z18" s="5"/>
      <c r="AA18" s="27">
        <v>5.67</v>
      </c>
      <c r="AB18" s="19">
        <v>593.55</v>
      </c>
      <c r="AC18" s="5"/>
      <c r="AD18" s="27">
        <v>5.62</v>
      </c>
      <c r="AE18" s="19">
        <v>584.96</v>
      </c>
      <c r="AF18" s="5"/>
      <c r="AG18" s="27">
        <v>5.64</v>
      </c>
      <c r="AH18" s="19">
        <v>582.66</v>
      </c>
      <c r="AI18" s="5"/>
      <c r="AJ18" s="27">
        <v>5.69</v>
      </c>
      <c r="AK18" s="19">
        <v>585.1</v>
      </c>
      <c r="AL18" s="5"/>
      <c r="AM18" s="27">
        <v>5.72</v>
      </c>
      <c r="AN18" s="19">
        <v>588.92</v>
      </c>
      <c r="AO18" s="5"/>
      <c r="AP18" s="27">
        <v>5.89</v>
      </c>
      <c r="AQ18" s="19">
        <v>603.39</v>
      </c>
      <c r="AR18" s="5"/>
      <c r="AS18" s="27">
        <v>5.94</v>
      </c>
      <c r="AT18" s="19">
        <v>602.29</v>
      </c>
      <c r="AU18" s="5"/>
      <c r="AV18" s="27">
        <v>5.81</v>
      </c>
      <c r="AW18" s="19">
        <v>587</v>
      </c>
      <c r="AX18" s="5"/>
      <c r="AY18" s="27">
        <v>5.9</v>
      </c>
      <c r="AZ18" s="19">
        <v>593.5</v>
      </c>
      <c r="BA18" s="5"/>
      <c r="BB18" s="27">
        <v>5.88</v>
      </c>
      <c r="BC18" s="19">
        <v>592.75</v>
      </c>
      <c r="BD18" s="5"/>
      <c r="BE18" s="27">
        <v>6.13</v>
      </c>
      <c r="BF18" s="19">
        <v>623.22</v>
      </c>
      <c r="BG18" s="5"/>
      <c r="BH18" s="27">
        <v>6.14</v>
      </c>
      <c r="BI18" s="19">
        <v>624.13</v>
      </c>
      <c r="BJ18" s="5"/>
      <c r="BK18" s="27">
        <v>5.89</v>
      </c>
      <c r="BL18" s="19">
        <v>597.44</v>
      </c>
      <c r="BM18" s="5"/>
      <c r="BN18" s="27">
        <v>5.88</v>
      </c>
      <c r="BO18" s="19">
        <v>596.84</v>
      </c>
      <c r="BP18" s="27">
        <f t="shared" si="0"/>
        <v>5.847272727272727</v>
      </c>
      <c r="BQ18" s="19">
        <f t="shared" si="1"/>
        <v>601.3199999999999</v>
      </c>
    </row>
    <row r="19" spans="1:69" ht="15.75" customHeight="1">
      <c r="A19" s="16">
        <v>7</v>
      </c>
      <c r="B19" s="17" t="s">
        <v>20</v>
      </c>
      <c r="C19" s="27">
        <f>1/0.7152</f>
        <v>1.3982102908277405</v>
      </c>
      <c r="D19" s="19">
        <v>74.57</v>
      </c>
      <c r="E19" s="5"/>
      <c r="F19" s="27">
        <f>1/0.7009</f>
        <v>1.42673705236125</v>
      </c>
      <c r="G19" s="19">
        <v>72.98</v>
      </c>
      <c r="H19" s="5"/>
      <c r="I19" s="27">
        <f>1/0.6954</f>
        <v>1.438021282714984</v>
      </c>
      <c r="J19" s="19">
        <v>72.53</v>
      </c>
      <c r="K19" s="5"/>
      <c r="L19" s="27">
        <f>1/0.6913</f>
        <v>1.4465499783017504</v>
      </c>
      <c r="M19" s="19">
        <v>72.13</v>
      </c>
      <c r="N19" s="5"/>
      <c r="O19" s="27">
        <f>1/0.7012</f>
        <v>1.426126640045636</v>
      </c>
      <c r="P19" s="19">
        <v>72.69</v>
      </c>
      <c r="Q19" s="5"/>
      <c r="R19" s="27">
        <f>1/0.7046</f>
        <v>1.419244961680386</v>
      </c>
      <c r="S19" s="19">
        <v>72.79</v>
      </c>
      <c r="T19" s="5"/>
      <c r="U19" s="27">
        <f>1/0.6983</f>
        <v>1.4320492624946297</v>
      </c>
      <c r="V19" s="19">
        <v>72.45</v>
      </c>
      <c r="W19" s="5"/>
      <c r="X19" s="27">
        <f>1/0.6914</f>
        <v>1.4463407578825571</v>
      </c>
      <c r="Y19" s="19">
        <v>72.31</v>
      </c>
      <c r="Z19" s="5"/>
      <c r="AA19" s="27">
        <f>1/0.6922</f>
        <v>1.444669170759896</v>
      </c>
      <c r="AB19" s="19">
        <v>72.46</v>
      </c>
      <c r="AC19" s="5"/>
      <c r="AD19" s="27">
        <f>1/0.686</f>
        <v>1.4577259475218658</v>
      </c>
      <c r="AE19" s="19">
        <v>71.4</v>
      </c>
      <c r="AF19" s="5"/>
      <c r="AG19" s="27">
        <f>1/0.6814</f>
        <v>1.4675667742882301</v>
      </c>
      <c r="AH19" s="19">
        <v>70.39</v>
      </c>
      <c r="AI19" s="5"/>
      <c r="AJ19" s="27">
        <f>1/0.6931</f>
        <v>1.4427932477276004</v>
      </c>
      <c r="AK19" s="19">
        <v>71.27</v>
      </c>
      <c r="AL19" s="5"/>
      <c r="AM19" s="27">
        <f>1/0.6873</f>
        <v>1.4549687181725592</v>
      </c>
      <c r="AN19" s="19">
        <v>70.76</v>
      </c>
      <c r="AO19" s="5"/>
      <c r="AP19" s="27">
        <f>1/0.6831</f>
        <v>1.4639145073927682</v>
      </c>
      <c r="AQ19" s="19">
        <v>69.98</v>
      </c>
      <c r="AR19" s="5"/>
      <c r="AS19" s="27">
        <f>1/0.6886</f>
        <v>1.4522218995062446</v>
      </c>
      <c r="AT19" s="19">
        <v>69.82</v>
      </c>
      <c r="AU19" s="5"/>
      <c r="AV19" s="27">
        <f>1/0.687</f>
        <v>1.455604075691412</v>
      </c>
      <c r="AW19" s="19">
        <v>69.41</v>
      </c>
      <c r="AX19" s="5"/>
      <c r="AY19" s="27">
        <f>1/0.687</f>
        <v>1.455604075691412</v>
      </c>
      <c r="AZ19" s="19">
        <v>69.11</v>
      </c>
      <c r="BA19" s="5"/>
      <c r="BB19" s="27">
        <f>1/0.6952</f>
        <v>1.4384349827387801</v>
      </c>
      <c r="BC19" s="19">
        <v>70.08</v>
      </c>
      <c r="BD19" s="5"/>
      <c r="BE19" s="27">
        <f>1/0.6964</f>
        <v>1.4359563469270533</v>
      </c>
      <c r="BF19" s="19">
        <v>70.8</v>
      </c>
      <c r="BG19" s="5"/>
      <c r="BH19" s="27">
        <f>1/0.6983</f>
        <v>1.4320492624946297</v>
      </c>
      <c r="BI19" s="19">
        <v>70.98</v>
      </c>
      <c r="BJ19" s="18"/>
      <c r="BK19" s="27">
        <f>1/0.6972</f>
        <v>1.4343086632243258</v>
      </c>
      <c r="BL19" s="19">
        <v>70.72</v>
      </c>
      <c r="BM19" s="18"/>
      <c r="BN19" s="27">
        <f>1/0.6896</f>
        <v>1.4501160092807426</v>
      </c>
      <c r="BO19" s="19">
        <v>70</v>
      </c>
      <c r="BP19" s="27">
        <f t="shared" si="0"/>
        <v>1.4417824503512024</v>
      </c>
      <c r="BQ19" s="19">
        <f t="shared" si="1"/>
        <v>71.34681818181818</v>
      </c>
    </row>
    <row r="20" spans="1:69" ht="15.75" customHeight="1">
      <c r="A20" s="16">
        <v>8</v>
      </c>
      <c r="B20" s="17" t="s">
        <v>21</v>
      </c>
      <c r="C20" s="27">
        <v>1.3619</v>
      </c>
      <c r="D20" s="19">
        <v>76.56</v>
      </c>
      <c r="E20" s="5"/>
      <c r="F20" s="27">
        <v>1.3646</v>
      </c>
      <c r="G20" s="19">
        <v>76.3</v>
      </c>
      <c r="H20" s="5"/>
      <c r="I20" s="27">
        <v>1.3609</v>
      </c>
      <c r="J20" s="19">
        <v>76.64</v>
      </c>
      <c r="K20" s="5"/>
      <c r="L20" s="27">
        <v>1.363</v>
      </c>
      <c r="M20" s="19">
        <v>76.55</v>
      </c>
      <c r="N20" s="5"/>
      <c r="O20" s="27">
        <v>1.3472</v>
      </c>
      <c r="P20" s="19">
        <v>76.95</v>
      </c>
      <c r="Q20" s="5"/>
      <c r="R20" s="27">
        <v>1.341</v>
      </c>
      <c r="S20" s="19">
        <v>77.04</v>
      </c>
      <c r="T20" s="5"/>
      <c r="U20" s="27">
        <v>1.3477</v>
      </c>
      <c r="V20" s="19">
        <v>76.98</v>
      </c>
      <c r="W20" s="5"/>
      <c r="X20" s="27">
        <v>1.3613</v>
      </c>
      <c r="Y20" s="19">
        <v>76.83</v>
      </c>
      <c r="Z20" s="5"/>
      <c r="AA20" s="27">
        <v>1.3641</v>
      </c>
      <c r="AB20" s="19">
        <v>76.74</v>
      </c>
      <c r="AC20" s="5"/>
      <c r="AD20" s="27">
        <v>1.3662</v>
      </c>
      <c r="AE20" s="19">
        <v>76.19</v>
      </c>
      <c r="AF20" s="5"/>
      <c r="AG20" s="27">
        <v>1.3768</v>
      </c>
      <c r="AH20" s="19">
        <v>75.04</v>
      </c>
      <c r="AI20" s="5"/>
      <c r="AJ20" s="27">
        <v>1.3704</v>
      </c>
      <c r="AK20" s="19">
        <v>75.04</v>
      </c>
      <c r="AL20" s="5"/>
      <c r="AM20" s="27">
        <v>1.3699</v>
      </c>
      <c r="AN20" s="19">
        <v>75.16</v>
      </c>
      <c r="AO20" s="5"/>
      <c r="AP20" s="27">
        <v>1.3735</v>
      </c>
      <c r="AQ20" s="19">
        <v>74.59</v>
      </c>
      <c r="AR20" s="5"/>
      <c r="AS20" s="27">
        <v>1.3656</v>
      </c>
      <c r="AT20" s="19">
        <v>74.25</v>
      </c>
      <c r="AU20" s="5"/>
      <c r="AV20" s="27">
        <v>1.3633</v>
      </c>
      <c r="AW20" s="19">
        <v>74.11</v>
      </c>
      <c r="AX20" s="5"/>
      <c r="AY20" s="27">
        <v>1.3591</v>
      </c>
      <c r="AZ20" s="19">
        <v>74.01</v>
      </c>
      <c r="BA20" s="5"/>
      <c r="BB20" s="27">
        <v>1.3552</v>
      </c>
      <c r="BC20" s="19">
        <v>74.39</v>
      </c>
      <c r="BD20" s="5"/>
      <c r="BE20" s="27">
        <v>1.3474</v>
      </c>
      <c r="BF20" s="19">
        <v>75.45</v>
      </c>
      <c r="BG20" s="5"/>
      <c r="BH20" s="27">
        <v>1.347</v>
      </c>
      <c r="BI20" s="19">
        <v>75.46</v>
      </c>
      <c r="BJ20" s="5"/>
      <c r="BK20" s="27">
        <v>1.3459</v>
      </c>
      <c r="BL20" s="19">
        <v>75.36</v>
      </c>
      <c r="BM20" s="5"/>
      <c r="BN20" s="27">
        <v>1.3463</v>
      </c>
      <c r="BO20" s="19">
        <v>75.39</v>
      </c>
      <c r="BP20" s="27">
        <f t="shared" si="0"/>
        <v>1.3590136363636365</v>
      </c>
      <c r="BQ20" s="19">
        <f t="shared" si="1"/>
        <v>75.68318181818182</v>
      </c>
    </row>
    <row r="21" spans="1:69" ht="15.75" customHeight="1">
      <c r="A21" s="16">
        <v>9</v>
      </c>
      <c r="B21" s="17" t="s">
        <v>22</v>
      </c>
      <c r="C21" s="27">
        <v>7.429</v>
      </c>
      <c r="D21" s="19">
        <v>14.04</v>
      </c>
      <c r="E21" s="5"/>
      <c r="F21" s="27">
        <v>7.4381</v>
      </c>
      <c r="G21" s="19">
        <v>14</v>
      </c>
      <c r="H21" s="5"/>
      <c r="I21" s="27">
        <v>7.4601</v>
      </c>
      <c r="J21" s="19">
        <v>13.98</v>
      </c>
      <c r="K21" s="5"/>
      <c r="L21" s="27">
        <v>7.4825</v>
      </c>
      <c r="M21" s="19">
        <v>13.94</v>
      </c>
      <c r="N21" s="5"/>
      <c r="O21" s="27">
        <v>7.4118</v>
      </c>
      <c r="P21" s="19">
        <v>13.99</v>
      </c>
      <c r="Q21" s="5"/>
      <c r="R21" s="27">
        <v>7.382</v>
      </c>
      <c r="S21" s="19">
        <v>14</v>
      </c>
      <c r="T21" s="5"/>
      <c r="U21" s="27">
        <v>7.4355</v>
      </c>
      <c r="V21" s="19">
        <v>13.95</v>
      </c>
      <c r="W21" s="5"/>
      <c r="X21" s="27">
        <v>7.5691</v>
      </c>
      <c r="Y21" s="19">
        <v>13.82</v>
      </c>
      <c r="Z21" s="5"/>
      <c r="AA21" s="27">
        <v>7.6273</v>
      </c>
      <c r="AB21" s="19">
        <v>13.72</v>
      </c>
      <c r="AC21" s="5"/>
      <c r="AD21" s="27">
        <v>7.641</v>
      </c>
      <c r="AE21" s="19">
        <v>13.62</v>
      </c>
      <c r="AF21" s="5"/>
      <c r="AG21" s="27">
        <v>7.6087</v>
      </c>
      <c r="AH21" s="19">
        <v>13.58</v>
      </c>
      <c r="AI21" s="5"/>
      <c r="AJ21" s="27">
        <v>7.5641</v>
      </c>
      <c r="AK21" s="19">
        <v>13.59</v>
      </c>
      <c r="AL21" s="5"/>
      <c r="AM21" s="27">
        <v>7.5945</v>
      </c>
      <c r="AN21" s="19">
        <v>13.56</v>
      </c>
      <c r="AO21" s="5"/>
      <c r="AP21" s="27">
        <v>7.6227</v>
      </c>
      <c r="AQ21" s="19">
        <v>13.44</v>
      </c>
      <c r="AR21" s="5"/>
      <c r="AS21" s="27">
        <v>7.5545</v>
      </c>
      <c r="AT21" s="19">
        <v>13.42</v>
      </c>
      <c r="AU21" s="5"/>
      <c r="AV21" s="27">
        <v>7.5835</v>
      </c>
      <c r="AW21" s="19">
        <v>13.32</v>
      </c>
      <c r="AX21" s="5"/>
      <c r="AY21" s="27">
        <v>7.5717</v>
      </c>
      <c r="AZ21" s="19">
        <v>13.29</v>
      </c>
      <c r="BA21" s="5"/>
      <c r="BB21" s="27">
        <v>7.5525</v>
      </c>
      <c r="BC21" s="19">
        <v>13.35</v>
      </c>
      <c r="BD21" s="5"/>
      <c r="BE21" s="27">
        <v>7.546</v>
      </c>
      <c r="BF21" s="19">
        <v>13.47</v>
      </c>
      <c r="BG21" s="5"/>
      <c r="BH21" s="27">
        <v>7.5238</v>
      </c>
      <c r="BI21" s="19">
        <v>13.51</v>
      </c>
      <c r="BJ21" s="5"/>
      <c r="BK21" s="27">
        <v>7.4995</v>
      </c>
      <c r="BL21" s="19">
        <v>13.53</v>
      </c>
      <c r="BM21" s="5"/>
      <c r="BN21" s="27">
        <v>7.5321</v>
      </c>
      <c r="BO21" s="19">
        <v>13.48</v>
      </c>
      <c r="BP21" s="27">
        <f t="shared" si="0"/>
        <v>7.528636363636363</v>
      </c>
      <c r="BQ21" s="19">
        <f t="shared" si="1"/>
        <v>13.663636363636362</v>
      </c>
    </row>
    <row r="22" spans="1:69" ht="15.75" customHeight="1">
      <c r="A22" s="16">
        <v>10</v>
      </c>
      <c r="B22" s="17" t="s">
        <v>23</v>
      </c>
      <c r="C22" s="27">
        <v>6.684</v>
      </c>
      <c r="D22" s="19">
        <v>15.6</v>
      </c>
      <c r="E22" s="5"/>
      <c r="F22" s="27">
        <v>6.6811</v>
      </c>
      <c r="G22" s="19">
        <v>15.58</v>
      </c>
      <c r="H22" s="5"/>
      <c r="I22" s="27">
        <v>6.7005</v>
      </c>
      <c r="J22" s="19">
        <v>15.57</v>
      </c>
      <c r="K22" s="5"/>
      <c r="L22" s="27">
        <v>6.7023</v>
      </c>
      <c r="M22" s="19">
        <v>15.57</v>
      </c>
      <c r="N22" s="5"/>
      <c r="O22" s="27">
        <v>6.652</v>
      </c>
      <c r="P22" s="19">
        <v>15.58</v>
      </c>
      <c r="Q22" s="5"/>
      <c r="R22" s="27">
        <v>6.6374</v>
      </c>
      <c r="S22" s="19">
        <v>15.57</v>
      </c>
      <c r="T22" s="5"/>
      <c r="U22" s="27">
        <v>6.7067</v>
      </c>
      <c r="V22" s="19">
        <v>15.47</v>
      </c>
      <c r="W22" s="5"/>
      <c r="X22" s="27">
        <v>6.8231</v>
      </c>
      <c r="Y22" s="19">
        <v>15.33</v>
      </c>
      <c r="Z22" s="5"/>
      <c r="AA22" s="27">
        <v>6.8961</v>
      </c>
      <c r="AB22" s="19">
        <v>15.18</v>
      </c>
      <c r="AC22" s="5"/>
      <c r="AD22" s="27">
        <v>6.9571</v>
      </c>
      <c r="AE22" s="19">
        <v>14.96</v>
      </c>
      <c r="AF22" s="5"/>
      <c r="AG22" s="27">
        <v>6.8862</v>
      </c>
      <c r="AH22" s="19">
        <v>15</v>
      </c>
      <c r="AI22" s="5"/>
      <c r="AJ22" s="27">
        <v>6.8817</v>
      </c>
      <c r="AK22" s="19">
        <v>14.94</v>
      </c>
      <c r="AL22" s="5"/>
      <c r="AM22" s="27">
        <v>6.9279</v>
      </c>
      <c r="AN22" s="19">
        <v>14.86</v>
      </c>
      <c r="AO22" s="5"/>
      <c r="AP22" s="27">
        <v>6.9791</v>
      </c>
      <c r="AQ22" s="19">
        <v>14.68</v>
      </c>
      <c r="AR22" s="5"/>
      <c r="AS22" s="27">
        <v>6.9119</v>
      </c>
      <c r="AT22" s="19">
        <v>14.67</v>
      </c>
      <c r="AU22" s="5"/>
      <c r="AV22" s="27">
        <v>6.8999</v>
      </c>
      <c r="AW22" s="19">
        <v>14.64</v>
      </c>
      <c r="AX22" s="5"/>
      <c r="AY22" s="27">
        <v>6.888</v>
      </c>
      <c r="AZ22" s="19">
        <v>14.6</v>
      </c>
      <c r="BA22" s="5"/>
      <c r="BB22" s="27">
        <v>6.912</v>
      </c>
      <c r="BC22" s="19">
        <v>14.58</v>
      </c>
      <c r="BD22" s="5"/>
      <c r="BE22" s="27">
        <v>6.8543</v>
      </c>
      <c r="BF22" s="19">
        <v>14.83</v>
      </c>
      <c r="BG22" s="5"/>
      <c r="BH22" s="27">
        <v>6.8255</v>
      </c>
      <c r="BI22" s="19">
        <v>14.89</v>
      </c>
      <c r="BJ22" s="5"/>
      <c r="BK22" s="27">
        <v>6.8452</v>
      </c>
      <c r="BL22" s="19">
        <v>14.82</v>
      </c>
      <c r="BM22" s="5"/>
      <c r="BN22" s="27">
        <v>6.9252</v>
      </c>
      <c r="BO22" s="19">
        <v>14.66</v>
      </c>
      <c r="BP22" s="27">
        <f t="shared" si="0"/>
        <v>6.826236363636363</v>
      </c>
      <c r="BQ22" s="19">
        <f t="shared" si="1"/>
        <v>15.07181818181818</v>
      </c>
    </row>
    <row r="23" spans="1:69" ht="15.75" customHeight="1">
      <c r="A23" s="16">
        <v>11</v>
      </c>
      <c r="B23" s="17" t="s">
        <v>24</v>
      </c>
      <c r="C23" s="27">
        <v>6.0722</v>
      </c>
      <c r="D23" s="19">
        <v>17.17</v>
      </c>
      <c r="E23" s="5"/>
      <c r="F23" s="27">
        <v>6.0618</v>
      </c>
      <c r="G23" s="19">
        <v>17.18</v>
      </c>
      <c r="H23" s="5"/>
      <c r="I23" s="27">
        <v>6.0793</v>
      </c>
      <c r="J23" s="19">
        <v>17.16</v>
      </c>
      <c r="K23" s="5"/>
      <c r="L23" s="27">
        <v>6.0842</v>
      </c>
      <c r="M23" s="19">
        <v>17.15</v>
      </c>
      <c r="N23" s="5"/>
      <c r="O23" s="27">
        <v>6.0309</v>
      </c>
      <c r="P23" s="19">
        <v>17.19</v>
      </c>
      <c r="Q23" s="5"/>
      <c r="R23" s="27">
        <v>6.0282</v>
      </c>
      <c r="S23" s="19">
        <v>17.14</v>
      </c>
      <c r="T23" s="5"/>
      <c r="U23" s="27">
        <v>6.0892</v>
      </c>
      <c r="V23" s="19">
        <v>17.04</v>
      </c>
      <c r="W23" s="5"/>
      <c r="X23" s="27">
        <v>6.165</v>
      </c>
      <c r="Y23" s="19">
        <v>16.97</v>
      </c>
      <c r="Z23" s="5"/>
      <c r="AA23" s="27">
        <v>6.188</v>
      </c>
      <c r="AB23" s="19">
        <v>16.92</v>
      </c>
      <c r="AC23" s="5"/>
      <c r="AD23" s="27">
        <v>6.1904</v>
      </c>
      <c r="AE23" s="19">
        <v>16.81</v>
      </c>
      <c r="AF23" s="5"/>
      <c r="AG23" s="27">
        <v>6.1739</v>
      </c>
      <c r="AH23" s="19">
        <v>16.73</v>
      </c>
      <c r="AI23" s="5"/>
      <c r="AJ23" s="27">
        <v>6.1517</v>
      </c>
      <c r="AK23" s="19">
        <v>16.72</v>
      </c>
      <c r="AL23" s="5"/>
      <c r="AM23" s="27">
        <v>6.173</v>
      </c>
      <c r="AN23" s="19">
        <v>16.68</v>
      </c>
      <c r="AO23" s="5"/>
      <c r="AP23" s="27">
        <v>6.1873</v>
      </c>
      <c r="AQ23" s="19">
        <v>16.56</v>
      </c>
      <c r="AR23" s="5"/>
      <c r="AS23" s="27">
        <v>6.1434</v>
      </c>
      <c r="AT23" s="19">
        <v>16.5</v>
      </c>
      <c r="AU23" s="5"/>
      <c r="AV23" s="27">
        <v>6.1568</v>
      </c>
      <c r="AW23" s="19">
        <v>16.41</v>
      </c>
      <c r="AX23" s="5"/>
      <c r="AY23" s="27">
        <v>6.1334</v>
      </c>
      <c r="AZ23" s="19">
        <v>16.4</v>
      </c>
      <c r="BA23" s="5"/>
      <c r="BB23" s="27">
        <v>6.1362</v>
      </c>
      <c r="BC23" s="19">
        <v>16.43</v>
      </c>
      <c r="BD23" s="5"/>
      <c r="BE23" s="27">
        <v>6.1298</v>
      </c>
      <c r="BF23" s="19">
        <v>16.59</v>
      </c>
      <c r="BG23" s="5"/>
      <c r="BH23" s="27">
        <v>6.1069</v>
      </c>
      <c r="BI23" s="19">
        <v>16.64</v>
      </c>
      <c r="BJ23" s="5"/>
      <c r="BK23" s="27">
        <v>6.1098</v>
      </c>
      <c r="BL23" s="19">
        <v>16.6</v>
      </c>
      <c r="BM23" s="5"/>
      <c r="BN23" s="27">
        <v>6.1285</v>
      </c>
      <c r="BO23" s="19">
        <v>16.56</v>
      </c>
      <c r="BP23" s="27">
        <f t="shared" si="0"/>
        <v>6.123631818181818</v>
      </c>
      <c r="BQ23" s="19">
        <f t="shared" si="1"/>
        <v>16.797727272727272</v>
      </c>
    </row>
    <row r="24" spans="1:69" ht="15.75" customHeight="1">
      <c r="A24" s="16">
        <v>12</v>
      </c>
      <c r="B24" s="17" t="s">
        <v>25</v>
      </c>
      <c r="C24" s="27">
        <f>1/1.46882</f>
        <v>0.6808186163042442</v>
      </c>
      <c r="D24" s="19">
        <v>153.15</v>
      </c>
      <c r="E24" s="5"/>
      <c r="F24" s="27">
        <f>1/1.47088</f>
        <v>0.6798651147612313</v>
      </c>
      <c r="G24" s="19">
        <v>153.15</v>
      </c>
      <c r="H24" s="5"/>
      <c r="I24" s="27">
        <f>1/1.47154</f>
        <v>0.6795601886459083</v>
      </c>
      <c r="J24" s="19">
        <v>153.47</v>
      </c>
      <c r="K24" s="5"/>
      <c r="L24" s="27">
        <f>1/1.46663</f>
        <v>0.6818352276988743</v>
      </c>
      <c r="M24" s="19">
        <v>153.03</v>
      </c>
      <c r="N24" s="5"/>
      <c r="O24" s="27">
        <f>1/1.46668</f>
        <v>0.6818119835274224</v>
      </c>
      <c r="P24" s="19">
        <v>152.05</v>
      </c>
      <c r="Q24" s="5"/>
      <c r="R24" s="27">
        <f>1/1.47389</f>
        <v>0.6784766841487493</v>
      </c>
      <c r="S24" s="19">
        <v>152.27</v>
      </c>
      <c r="T24" s="5"/>
      <c r="U24" s="27">
        <f>1/1.47448</f>
        <v>0.6782051977646356</v>
      </c>
      <c r="V24" s="19">
        <v>152.97</v>
      </c>
      <c r="W24" s="5"/>
      <c r="X24" s="27">
        <f>1/1.46965</f>
        <v>0.6804341169666247</v>
      </c>
      <c r="Y24" s="19">
        <v>153.71</v>
      </c>
      <c r="Z24" s="5"/>
      <c r="AA24" s="27">
        <f>1/1.46217</f>
        <v>0.6839150030434218</v>
      </c>
      <c r="AB24" s="19">
        <v>153.06</v>
      </c>
      <c r="AC24" s="5"/>
      <c r="AD24" s="27">
        <f>1/1.46217</f>
        <v>0.6839150030434218</v>
      </c>
      <c r="AE24" s="19">
        <v>152.19</v>
      </c>
      <c r="AF24" s="5"/>
      <c r="AG24" s="27">
        <f>1/1.45579</f>
        <v>0.6869122606969412</v>
      </c>
      <c r="AH24" s="19">
        <v>150.4</v>
      </c>
      <c r="AI24" s="5"/>
      <c r="AJ24" s="27">
        <f>1/1.45754</f>
        <v>0.6860875173237098</v>
      </c>
      <c r="AK24" s="19">
        <v>149.88</v>
      </c>
      <c r="AL24" s="5"/>
      <c r="AM24" s="27">
        <f>1/1.46122</f>
        <v>0.6843596446804725</v>
      </c>
      <c r="AN24" s="19">
        <v>150.44</v>
      </c>
      <c r="AO24" s="5"/>
      <c r="AP24" s="27">
        <f>1/1.46393</f>
        <v>0.6830927708292064</v>
      </c>
      <c r="AQ24" s="19">
        <v>149.97</v>
      </c>
      <c r="AR24" s="5"/>
      <c r="AS24" s="27">
        <f>1/1.46221</f>
        <v>0.683896293965983</v>
      </c>
      <c r="AT24" s="19">
        <v>148.26</v>
      </c>
      <c r="AU24" s="5"/>
      <c r="AV24" s="27">
        <f>1/1.46625</f>
        <v>0.6820119352088662</v>
      </c>
      <c r="AW24" s="19">
        <v>148.14</v>
      </c>
      <c r="AX24" s="5"/>
      <c r="AY24" s="27">
        <f>1/1.464</f>
        <v>0.6830601092896175</v>
      </c>
      <c r="AZ24" s="19">
        <v>147.27</v>
      </c>
      <c r="BA24" s="5"/>
      <c r="BB24" s="27">
        <f>1/1.46318</f>
        <v>0.6834429120135596</v>
      </c>
      <c r="BC24" s="19">
        <v>147.5</v>
      </c>
      <c r="BD24" s="5"/>
      <c r="BE24" s="27">
        <f>1/1.46587</f>
        <v>0.6821887343352412</v>
      </c>
      <c r="BF24" s="19">
        <v>149.03</v>
      </c>
      <c r="BG24" s="5"/>
      <c r="BH24" s="27">
        <f>1/1.46761</f>
        <v>0.681379930635523</v>
      </c>
      <c r="BI24" s="19">
        <v>149.18</v>
      </c>
      <c r="BJ24" s="5"/>
      <c r="BK24" s="27">
        <f>1/1.46949</f>
        <v>0.6805082035263935</v>
      </c>
      <c r="BL24" s="19">
        <v>149.05</v>
      </c>
      <c r="BM24" s="5"/>
      <c r="BN24" s="27">
        <f>1/1.46757</f>
        <v>0.681398502286092</v>
      </c>
      <c r="BO24" s="19">
        <v>148.96</v>
      </c>
      <c r="BP24" s="27">
        <f t="shared" si="0"/>
        <v>0.682144361395279</v>
      </c>
      <c r="BQ24" s="19">
        <f t="shared" si="1"/>
        <v>150.77863636363637</v>
      </c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104.27</v>
      </c>
      <c r="E25" s="21"/>
      <c r="F25" s="28">
        <v>1</v>
      </c>
      <c r="G25" s="22">
        <v>104.12</v>
      </c>
      <c r="H25" s="21"/>
      <c r="I25" s="28">
        <v>1</v>
      </c>
      <c r="J25" s="22">
        <v>104.3</v>
      </c>
      <c r="K25" s="21"/>
      <c r="L25" s="28">
        <v>1</v>
      </c>
      <c r="M25" s="22">
        <v>104.34</v>
      </c>
      <c r="N25" s="21"/>
      <c r="O25" s="28">
        <v>1</v>
      </c>
      <c r="P25" s="22">
        <v>103.67</v>
      </c>
      <c r="Q25" s="21"/>
      <c r="R25" s="28">
        <v>1</v>
      </c>
      <c r="S25" s="22">
        <v>103.31</v>
      </c>
      <c r="T25" s="21"/>
      <c r="U25" s="28">
        <v>1</v>
      </c>
      <c r="V25" s="22">
        <v>103.75</v>
      </c>
      <c r="W25" s="21"/>
      <c r="X25" s="28">
        <v>1</v>
      </c>
      <c r="Y25" s="22">
        <v>104.59</v>
      </c>
      <c r="Z25" s="21"/>
      <c r="AA25" s="28">
        <v>1</v>
      </c>
      <c r="AB25" s="22">
        <v>104.68</v>
      </c>
      <c r="AC25" s="21"/>
      <c r="AD25" s="28">
        <v>1</v>
      </c>
      <c r="AE25" s="22">
        <v>104.09</v>
      </c>
      <c r="AF25" s="21"/>
      <c r="AG25" s="28">
        <v>1</v>
      </c>
      <c r="AH25" s="22">
        <v>103.31</v>
      </c>
      <c r="AI25" s="21"/>
      <c r="AJ25" s="28">
        <v>1</v>
      </c>
      <c r="AK25" s="22">
        <v>102.83</v>
      </c>
      <c r="AL25" s="21"/>
      <c r="AM25" s="28">
        <v>1</v>
      </c>
      <c r="AN25" s="22">
        <v>102.96</v>
      </c>
      <c r="AO25" s="21"/>
      <c r="AP25" s="28">
        <v>1</v>
      </c>
      <c r="AQ25" s="22">
        <v>102.44</v>
      </c>
      <c r="AR25" s="21"/>
      <c r="AS25" s="28">
        <v>1</v>
      </c>
      <c r="AT25" s="22">
        <v>101.4</v>
      </c>
      <c r="AU25" s="21"/>
      <c r="AV25" s="28">
        <v>1</v>
      </c>
      <c r="AW25" s="22">
        <v>101.03</v>
      </c>
      <c r="AX25" s="21"/>
      <c r="AY25" s="28">
        <v>1</v>
      </c>
      <c r="AZ25" s="22">
        <v>100.59</v>
      </c>
      <c r="BA25" s="21"/>
      <c r="BB25" s="28">
        <v>1</v>
      </c>
      <c r="BC25" s="22">
        <v>100.81</v>
      </c>
      <c r="BD25" s="21"/>
      <c r="BE25" s="28">
        <v>1</v>
      </c>
      <c r="BF25" s="22">
        <v>101.67</v>
      </c>
      <c r="BG25" s="21"/>
      <c r="BH25" s="28">
        <v>1</v>
      </c>
      <c r="BI25" s="22">
        <v>101.65</v>
      </c>
      <c r="BJ25" s="21"/>
      <c r="BK25" s="28">
        <v>1</v>
      </c>
      <c r="BL25" s="22">
        <v>101.43</v>
      </c>
      <c r="BM25" s="21"/>
      <c r="BN25" s="28">
        <v>1</v>
      </c>
      <c r="BO25" s="22">
        <v>101.5</v>
      </c>
      <c r="BP25" s="28">
        <f t="shared" si="0"/>
        <v>1</v>
      </c>
      <c r="BQ25" s="22">
        <f t="shared" si="1"/>
        <v>102.85181818181817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 xml:space="preserve">&amp;LBanka e Shqiperise
Sektori i Statistikave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8515625" style="0" customWidth="1"/>
    <col min="66" max="67" width="13.28125" style="0" customWidth="1"/>
    <col min="68" max="68" width="4.28125" style="0" customWidth="1"/>
  </cols>
  <sheetData>
    <row r="1" spans="1:65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158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7" ht="15.75" customHeight="1">
      <c r="A4" s="6" t="s">
        <v>2</v>
      </c>
      <c r="B4" s="5"/>
      <c r="C4" s="4" t="s">
        <v>159</v>
      </c>
      <c r="D4" s="4"/>
      <c r="E4" s="10"/>
      <c r="F4" s="4" t="s">
        <v>160</v>
      </c>
      <c r="G4" s="4"/>
      <c r="H4" s="10"/>
      <c r="I4" s="4" t="s">
        <v>161</v>
      </c>
      <c r="J4" s="4"/>
      <c r="K4" s="10"/>
      <c r="L4" s="4" t="s">
        <v>162</v>
      </c>
      <c r="M4" s="4"/>
      <c r="N4" s="10"/>
      <c r="O4" s="4" t="s">
        <v>163</v>
      </c>
      <c r="P4" s="4"/>
      <c r="Q4" s="10"/>
      <c r="R4" s="4" t="s">
        <v>164</v>
      </c>
      <c r="S4" s="4"/>
      <c r="T4" s="10"/>
      <c r="U4" s="4" t="s">
        <v>165</v>
      </c>
      <c r="V4" s="4"/>
      <c r="W4" s="10"/>
      <c r="X4" s="4" t="s">
        <v>166</v>
      </c>
      <c r="Y4" s="4"/>
      <c r="Z4" s="10"/>
      <c r="AA4" s="4" t="s">
        <v>167</v>
      </c>
      <c r="AB4" s="4"/>
      <c r="AC4" s="10"/>
      <c r="AD4" s="4" t="s">
        <v>168</v>
      </c>
      <c r="AE4" s="4"/>
      <c r="AF4" s="10"/>
      <c r="AG4" s="4" t="s">
        <v>169</v>
      </c>
      <c r="AH4" s="4"/>
      <c r="AI4" s="10"/>
      <c r="AJ4" s="4" t="s">
        <v>170</v>
      </c>
      <c r="AK4" s="4"/>
      <c r="AL4" s="10"/>
      <c r="AM4" s="4" t="s">
        <v>171</v>
      </c>
      <c r="AN4" s="4"/>
      <c r="AO4" s="10"/>
      <c r="AP4" s="4" t="s">
        <v>172</v>
      </c>
      <c r="AQ4" s="4"/>
      <c r="AR4" s="10"/>
      <c r="AS4" s="4" t="s">
        <v>173</v>
      </c>
      <c r="AT4" s="4"/>
      <c r="AU4" s="10"/>
      <c r="AV4" s="4" t="s">
        <v>174</v>
      </c>
      <c r="AW4" s="4"/>
      <c r="AX4" s="10"/>
      <c r="AY4" s="4" t="s">
        <v>175</v>
      </c>
      <c r="AZ4" s="4"/>
      <c r="BA4" s="10"/>
      <c r="BB4" s="4" t="s">
        <v>176</v>
      </c>
      <c r="BC4" s="4"/>
      <c r="BD4" s="10"/>
      <c r="BE4" s="4" t="s">
        <v>177</v>
      </c>
      <c r="BF4" s="4"/>
      <c r="BG4" s="10"/>
      <c r="BH4" s="4" t="s">
        <v>178</v>
      </c>
      <c r="BI4" s="4"/>
      <c r="BJ4" s="26"/>
      <c r="BK4" s="4" t="s">
        <v>179</v>
      </c>
      <c r="BL4" s="4"/>
      <c r="BM4" s="26"/>
      <c r="BN4" s="4" t="s">
        <v>180</v>
      </c>
      <c r="BO4" s="4"/>
      <c r="BP4" s="26"/>
      <c r="BQ4" s="4" t="s">
        <v>3</v>
      </c>
      <c r="BR4" s="4"/>
      <c r="BS4" s="37"/>
      <c r="BT4" s="37"/>
      <c r="BW4" s="38"/>
      <c r="BX4" s="37"/>
      <c r="BY4" s="37"/>
    </row>
    <row r="5" spans="1:7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W5" s="38"/>
      <c r="BX5" s="38"/>
      <c r="BY5" s="38"/>
    </row>
    <row r="6" spans="1:7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W6" s="9"/>
      <c r="BX6" s="9"/>
      <c r="BY6" s="9"/>
    </row>
    <row r="7" spans="1:7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W7" s="39"/>
      <c r="BX7" s="39"/>
      <c r="BY7" s="39"/>
    </row>
    <row r="8" spans="1:7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W8" s="39"/>
      <c r="BX8" s="39"/>
      <c r="BY8" s="39"/>
    </row>
    <row r="9" spans="1:7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W9" s="39"/>
      <c r="BX9" s="39"/>
      <c r="BY9" s="39"/>
    </row>
    <row r="10" spans="1:7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W10" s="39"/>
      <c r="BX10" s="39"/>
      <c r="BY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40"/>
      <c r="BV11" s="40"/>
      <c r="BW11" s="9"/>
      <c r="BX11" s="9"/>
      <c r="BY11" s="9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40"/>
      <c r="BV12" s="40"/>
      <c r="BW12" s="9"/>
      <c r="BX12" s="9"/>
      <c r="BY12" s="9"/>
      <c r="BZ12" s="40"/>
      <c r="CA12" s="40"/>
      <c r="CB12" s="40"/>
      <c r="CC12" s="40"/>
      <c r="CD12" s="40"/>
      <c r="CE12" s="40"/>
    </row>
    <row r="13" spans="1:77" ht="15.75" customHeight="1">
      <c r="A13" s="16">
        <v>1</v>
      </c>
      <c r="B13" s="17" t="s">
        <v>14</v>
      </c>
      <c r="C13" s="27">
        <v>108.2</v>
      </c>
      <c r="D13" s="19">
        <v>93.48</v>
      </c>
      <c r="E13" s="5"/>
      <c r="F13" s="27">
        <v>108.98</v>
      </c>
      <c r="G13" s="19">
        <v>92.7</v>
      </c>
      <c r="H13" s="5"/>
      <c r="I13" s="27">
        <v>108.67</v>
      </c>
      <c r="J13" s="19">
        <v>92.18</v>
      </c>
      <c r="K13" s="5"/>
      <c r="L13" s="27">
        <v>109.39</v>
      </c>
      <c r="M13" s="19">
        <v>91.52</v>
      </c>
      <c r="N13" s="5"/>
      <c r="O13" s="27">
        <v>108.31</v>
      </c>
      <c r="P13" s="19">
        <v>92.45</v>
      </c>
      <c r="Q13" s="5"/>
      <c r="R13" s="27">
        <v>108.95</v>
      </c>
      <c r="S13" s="19">
        <v>92.02</v>
      </c>
      <c r="T13" s="5"/>
      <c r="U13" s="27">
        <v>108.34</v>
      </c>
      <c r="V13" s="19">
        <v>92.61</v>
      </c>
      <c r="W13" s="5"/>
      <c r="X13" s="27">
        <v>107.96</v>
      </c>
      <c r="Y13" s="19">
        <v>93.27</v>
      </c>
      <c r="Z13" s="5"/>
      <c r="AA13" s="27">
        <v>108.41</v>
      </c>
      <c r="AB13" s="19">
        <v>93.19</v>
      </c>
      <c r="AC13" s="5"/>
      <c r="AD13" s="27">
        <v>109.01</v>
      </c>
      <c r="AE13" s="19">
        <v>92.9</v>
      </c>
      <c r="AF13" s="5"/>
      <c r="AG13" s="27">
        <v>109.45</v>
      </c>
      <c r="AH13" s="19">
        <v>92.82</v>
      </c>
      <c r="AI13" s="5"/>
      <c r="AJ13" s="27">
        <v>109.59</v>
      </c>
      <c r="AK13" s="19">
        <v>92.61</v>
      </c>
      <c r="AL13" s="5"/>
      <c r="AM13" s="27">
        <v>108.41</v>
      </c>
      <c r="AN13" s="19">
        <v>92.7</v>
      </c>
      <c r="AO13" s="5"/>
      <c r="AP13" s="27">
        <v>108.47</v>
      </c>
      <c r="AQ13" s="19">
        <v>92.55</v>
      </c>
      <c r="AR13" s="5"/>
      <c r="AS13" s="27">
        <v>108.99</v>
      </c>
      <c r="AT13" s="19">
        <v>92.64</v>
      </c>
      <c r="AU13" s="5"/>
      <c r="AV13" s="27">
        <v>109.34</v>
      </c>
      <c r="AW13" s="19">
        <v>92.75</v>
      </c>
      <c r="AX13" s="5"/>
      <c r="AY13" s="27">
        <v>110.14</v>
      </c>
      <c r="AZ13" s="19">
        <v>92.35</v>
      </c>
      <c r="BA13" s="5"/>
      <c r="BB13" s="27">
        <v>109.85</v>
      </c>
      <c r="BC13" s="19">
        <v>92.68</v>
      </c>
      <c r="BD13" s="5"/>
      <c r="BE13" s="27">
        <v>109.7</v>
      </c>
      <c r="BF13" s="19">
        <v>92.95</v>
      </c>
      <c r="BG13" s="5"/>
      <c r="BH13" s="27">
        <v>111.31</v>
      </c>
      <c r="BI13" s="19">
        <v>92.37</v>
      </c>
      <c r="BJ13" s="5"/>
      <c r="BK13" s="27">
        <v>112.2</v>
      </c>
      <c r="BL13" s="19">
        <v>92.38</v>
      </c>
      <c r="BM13" s="5"/>
      <c r="BN13" s="27">
        <v>111.43</v>
      </c>
      <c r="BO13" s="19">
        <v>93.32</v>
      </c>
      <c r="BP13" s="5"/>
      <c r="BQ13" s="27">
        <f>(+C13+F13+I13+L13+O13+R13+U13+X13+AA13+AD13+AG13+AJ13+AM13+AP13+AS13+AV13+AY13+BB13+BE13+BH13+BK13+BN13)/22</f>
        <v>109.32272727272725</v>
      </c>
      <c r="BR13" s="19">
        <f>(+D13+G13+J13+M13+P13+S13+V13+Y13+AB13+AE13+AH13+AK13+AN13+AQ13+AT13+AW13+AZ13+BC13+BF13+BI13+BL13+BO13)/22</f>
        <v>92.65636363636365</v>
      </c>
      <c r="BS13" s="31"/>
      <c r="BT13" s="32"/>
      <c r="BW13" s="9"/>
      <c r="BX13" s="31"/>
      <c r="BY13" s="32"/>
    </row>
    <row r="14" spans="1:77" ht="15.75" customHeight="1">
      <c r="A14" s="16">
        <v>2</v>
      </c>
      <c r="B14" s="17" t="s">
        <v>15</v>
      </c>
      <c r="C14" s="27">
        <f>1/1.8146</f>
        <v>0.5510856387082552</v>
      </c>
      <c r="D14" s="19">
        <v>183.54</v>
      </c>
      <c r="E14" s="5"/>
      <c r="F14" s="27">
        <f>1/1.8194</f>
        <v>0.5496317467296912</v>
      </c>
      <c r="G14" s="19">
        <v>183.8</v>
      </c>
      <c r="H14" s="5"/>
      <c r="I14" s="27">
        <f>1/1.832</f>
        <v>0.5458515283842794</v>
      </c>
      <c r="J14" s="19">
        <v>183.52</v>
      </c>
      <c r="K14" s="5"/>
      <c r="L14" s="27">
        <f>1/1.8329</f>
        <v>0.545583501554913</v>
      </c>
      <c r="M14" s="19">
        <v>183.5</v>
      </c>
      <c r="N14" s="5"/>
      <c r="O14" s="27">
        <f>1/1.8537</f>
        <v>0.5394616173059287</v>
      </c>
      <c r="P14" s="19">
        <v>185.62</v>
      </c>
      <c r="Q14" s="5"/>
      <c r="R14" s="27">
        <f>1/1.8512</f>
        <v>0.54019014693172</v>
      </c>
      <c r="S14" s="19">
        <v>185.59</v>
      </c>
      <c r="T14" s="5"/>
      <c r="U14" s="27">
        <f>1/1.8519</f>
        <v>0.5399859603650304</v>
      </c>
      <c r="V14" s="19">
        <v>185.81</v>
      </c>
      <c r="W14" s="5"/>
      <c r="X14" s="27">
        <f>1/1.8643</f>
        <v>0.536394357131363</v>
      </c>
      <c r="Y14" s="19">
        <v>187.72</v>
      </c>
      <c r="Z14" s="5"/>
      <c r="AA14" s="27">
        <f>1/1.858</f>
        <v>0.5382131324004306</v>
      </c>
      <c r="AB14" s="19">
        <v>187.71</v>
      </c>
      <c r="AC14" s="5"/>
      <c r="AD14" s="27">
        <f>1/1.8571</f>
        <v>0.5384739647838027</v>
      </c>
      <c r="AE14" s="19">
        <v>188.08</v>
      </c>
      <c r="AF14" s="5"/>
      <c r="AG14" s="27">
        <f>1/1.8495</f>
        <v>0.5406866720735334</v>
      </c>
      <c r="AH14" s="19">
        <v>187.89</v>
      </c>
      <c r="AI14" s="5"/>
      <c r="AJ14" s="27">
        <f>1/1.8561</f>
        <v>0.5387640752114649</v>
      </c>
      <c r="AK14" s="19">
        <v>188.38</v>
      </c>
      <c r="AL14" s="5"/>
      <c r="AM14" s="27">
        <f>1/1.8685</f>
        <v>0.5351886540005352</v>
      </c>
      <c r="AN14" s="19">
        <v>187.77</v>
      </c>
      <c r="AO14" s="5"/>
      <c r="AP14" s="27">
        <f>1/1.8577</f>
        <v>0.5383000484470044</v>
      </c>
      <c r="AQ14" s="19">
        <v>186.5</v>
      </c>
      <c r="AR14" s="5"/>
      <c r="AS14" s="27">
        <f>1/1.8432</f>
        <v>0.5425347222222222</v>
      </c>
      <c r="AT14" s="19">
        <v>186.11</v>
      </c>
      <c r="AU14" s="5"/>
      <c r="AV14" s="27">
        <f>1/1.8439</f>
        <v>0.5423287596941265</v>
      </c>
      <c r="AW14" s="19">
        <v>186.99</v>
      </c>
      <c r="AX14" s="5"/>
      <c r="AY14" s="27">
        <f>1/1.8335</f>
        <v>0.545404963185165</v>
      </c>
      <c r="AZ14" s="19">
        <v>186.5</v>
      </c>
      <c r="BA14" s="5"/>
      <c r="BB14" s="27">
        <f>1/1.84</f>
        <v>0.5434782608695652</v>
      </c>
      <c r="BC14" s="19">
        <v>187.33</v>
      </c>
      <c r="BD14" s="5"/>
      <c r="BE14" s="27">
        <f>1/1.8412</f>
        <v>0.5431240495329134</v>
      </c>
      <c r="BF14" s="19">
        <v>187.74</v>
      </c>
      <c r="BG14" s="5"/>
      <c r="BH14" s="27">
        <f>1/1.8174</f>
        <v>0.5502366017387477</v>
      </c>
      <c r="BI14" s="19">
        <v>186.86</v>
      </c>
      <c r="BJ14" s="5"/>
      <c r="BK14" s="27">
        <f>1/1.8147</f>
        <v>0.5510552708436657</v>
      </c>
      <c r="BL14" s="19">
        <v>188.09</v>
      </c>
      <c r="BM14" s="5"/>
      <c r="BN14" s="27">
        <f>1/1.8154</f>
        <v>0.5508427894678859</v>
      </c>
      <c r="BO14" s="19">
        <v>188.78</v>
      </c>
      <c r="BP14" s="5"/>
      <c r="BQ14" s="27">
        <f aca="true" t="shared" si="0" ref="BQ14:BQ25">(+C14+F14+I14+L14+O14+R14+U14+X14+AA14+AD14+AG14+AJ14+AM14+AP14+AS14+AV14+AY14+BB14+BE14+BH14+BK14+BN14)/22</f>
        <v>0.543037111890102</v>
      </c>
      <c r="BR14" s="19">
        <f aca="true" t="shared" si="1" ref="BR14:BR25">(+D14+G14+J14+M14+P14+S14+V14+Y14+AB14+AE14+AH14+AK14+AN14+AQ14+AT14+AW14+AZ14+BC14+BF14+BI14+BL14+BO14)/22</f>
        <v>186.53772727272727</v>
      </c>
      <c r="BS14" s="31"/>
      <c r="BT14" s="32"/>
      <c r="BW14" s="9"/>
      <c r="BX14" s="31"/>
      <c r="BY14" s="32"/>
    </row>
    <row r="15" spans="1:77" ht="15.75" customHeight="1">
      <c r="A15" s="16">
        <v>3</v>
      </c>
      <c r="B15" s="17" t="s">
        <v>16</v>
      </c>
      <c r="C15" s="27">
        <v>1.2534</v>
      </c>
      <c r="D15" s="19">
        <v>80.7</v>
      </c>
      <c r="E15" s="5"/>
      <c r="F15" s="27">
        <v>1.2507</v>
      </c>
      <c r="G15" s="19">
        <v>80.77</v>
      </c>
      <c r="H15" s="5"/>
      <c r="I15" s="27">
        <v>1.2352</v>
      </c>
      <c r="J15" s="19">
        <v>81.1</v>
      </c>
      <c r="K15" s="5"/>
      <c r="L15" s="27">
        <v>1.2362</v>
      </c>
      <c r="M15" s="19">
        <v>80.98</v>
      </c>
      <c r="N15" s="5"/>
      <c r="O15" s="27">
        <v>1.2273</v>
      </c>
      <c r="P15" s="19">
        <v>81.59</v>
      </c>
      <c r="Q15" s="5"/>
      <c r="R15" s="27">
        <v>1.2288</v>
      </c>
      <c r="S15" s="19">
        <v>81.59</v>
      </c>
      <c r="T15" s="5"/>
      <c r="U15" s="27">
        <v>1.2262</v>
      </c>
      <c r="V15" s="19">
        <v>81.82</v>
      </c>
      <c r="W15" s="5"/>
      <c r="X15" s="27">
        <v>1.2213</v>
      </c>
      <c r="Y15" s="19">
        <v>82.45</v>
      </c>
      <c r="Z15" s="5"/>
      <c r="AA15" s="27">
        <v>1.2303</v>
      </c>
      <c r="AB15" s="19">
        <v>82.12</v>
      </c>
      <c r="AC15" s="5"/>
      <c r="AD15" s="27">
        <v>1.2331</v>
      </c>
      <c r="AE15" s="19">
        <v>82.13</v>
      </c>
      <c r="AF15" s="5"/>
      <c r="AG15" s="27">
        <v>1.2351</v>
      </c>
      <c r="AH15" s="19">
        <v>82.25</v>
      </c>
      <c r="AI15" s="5"/>
      <c r="AJ15" s="27">
        <v>1.2351</v>
      </c>
      <c r="AK15" s="19">
        <v>82.17</v>
      </c>
      <c r="AL15" s="5"/>
      <c r="AM15" s="27">
        <v>1.2301</v>
      </c>
      <c r="AN15" s="19">
        <v>81.7</v>
      </c>
      <c r="AO15" s="5"/>
      <c r="AP15" s="27">
        <v>1.2351</v>
      </c>
      <c r="AQ15" s="19">
        <v>81.28</v>
      </c>
      <c r="AR15" s="5"/>
      <c r="AS15" s="27">
        <v>1.2465</v>
      </c>
      <c r="AT15" s="19">
        <v>81</v>
      </c>
      <c r="AU15" s="5"/>
      <c r="AV15" s="27">
        <v>1.2489</v>
      </c>
      <c r="AW15" s="19">
        <v>81.2</v>
      </c>
      <c r="AX15" s="5"/>
      <c r="AY15" s="27">
        <v>1.2549</v>
      </c>
      <c r="AZ15" s="19">
        <v>81.06</v>
      </c>
      <c r="BA15" s="5"/>
      <c r="BB15" s="27">
        <v>1.2601</v>
      </c>
      <c r="BC15" s="19">
        <v>80.79</v>
      </c>
      <c r="BD15" s="5"/>
      <c r="BE15" s="27">
        <v>1.2612</v>
      </c>
      <c r="BF15" s="19">
        <v>80.85</v>
      </c>
      <c r="BG15" s="5"/>
      <c r="BH15" s="27">
        <v>1.2769</v>
      </c>
      <c r="BI15" s="19">
        <v>80.52</v>
      </c>
      <c r="BJ15" s="5"/>
      <c r="BK15" s="27">
        <v>1.2802</v>
      </c>
      <c r="BL15" s="19">
        <v>80.96</v>
      </c>
      <c r="BM15" s="5"/>
      <c r="BN15" s="27">
        <v>1.2781</v>
      </c>
      <c r="BO15" s="19">
        <v>81.36</v>
      </c>
      <c r="BP15" s="5"/>
      <c r="BQ15" s="27">
        <f t="shared" si="0"/>
        <v>1.2447590909090909</v>
      </c>
      <c r="BR15" s="19">
        <f t="shared" si="1"/>
        <v>81.38136363636362</v>
      </c>
      <c r="BS15" s="31"/>
      <c r="BT15" s="32"/>
      <c r="BW15" s="9"/>
      <c r="BX15" s="31"/>
      <c r="BY15" s="32"/>
    </row>
    <row r="16" spans="1:77" ht="15.75" customHeight="1">
      <c r="A16" s="16">
        <v>4</v>
      </c>
      <c r="B16" s="17" t="s">
        <v>17</v>
      </c>
      <c r="C16" s="27">
        <f>1/1.2154</f>
        <v>0.8227743952608194</v>
      </c>
      <c r="D16" s="19">
        <v>122.93</v>
      </c>
      <c r="E16" s="5"/>
      <c r="F16" s="27">
        <f>1/1.2149</f>
        <v>0.823113013416742</v>
      </c>
      <c r="G16" s="19">
        <v>122.73</v>
      </c>
      <c r="H16" s="5"/>
      <c r="I16" s="27">
        <f>1/1.229</f>
        <v>0.8136696501220504</v>
      </c>
      <c r="J16" s="19">
        <v>123.11</v>
      </c>
      <c r="K16" s="5"/>
      <c r="L16" s="27">
        <f>1/1.229</f>
        <v>0.8136696501220504</v>
      </c>
      <c r="M16" s="19">
        <v>123.04</v>
      </c>
      <c r="N16" s="5"/>
      <c r="O16" s="27">
        <f>1/1.2374</f>
        <v>0.8081461128171973</v>
      </c>
      <c r="P16" s="19">
        <v>123.9</v>
      </c>
      <c r="Q16" s="5"/>
      <c r="R16" s="27">
        <f>1/1.2353</f>
        <v>0.8095199546668825</v>
      </c>
      <c r="S16" s="19">
        <v>123.84</v>
      </c>
      <c r="T16" s="5"/>
      <c r="U16" s="27">
        <f>1/1.2389</f>
        <v>0.8071676487206394</v>
      </c>
      <c r="V16" s="19">
        <v>124.3</v>
      </c>
      <c r="W16" s="5"/>
      <c r="X16" s="27">
        <f>1/1.2429</f>
        <v>0.8045699573577924</v>
      </c>
      <c r="Y16" s="19">
        <v>125.15</v>
      </c>
      <c r="Z16" s="5"/>
      <c r="AA16" s="27">
        <f>1/1.2372</f>
        <v>0.8082767539605561</v>
      </c>
      <c r="AB16" s="19">
        <v>124.99</v>
      </c>
      <c r="AC16" s="5"/>
      <c r="AD16" s="27">
        <f>1/1.2366</f>
        <v>0.8086689309396734</v>
      </c>
      <c r="AE16" s="19">
        <v>125.24</v>
      </c>
      <c r="AF16" s="5"/>
      <c r="AG16" s="27">
        <f>1/1.2348</f>
        <v>0.8098477486232589</v>
      </c>
      <c r="AH16" s="19">
        <v>125.44</v>
      </c>
      <c r="AI16" s="5"/>
      <c r="AJ16" s="27">
        <f>1/1.2361</f>
        <v>0.808996035919424</v>
      </c>
      <c r="AK16" s="19">
        <v>125.46</v>
      </c>
      <c r="AL16" s="5"/>
      <c r="AM16" s="27">
        <f>1/1.2413</f>
        <v>0.805607024893257</v>
      </c>
      <c r="AN16" s="19">
        <v>124.74</v>
      </c>
      <c r="AO16" s="5"/>
      <c r="AP16" s="27">
        <f>1/1.2404</f>
        <v>0.8061915511125444</v>
      </c>
      <c r="AQ16" s="19">
        <v>124.53</v>
      </c>
      <c r="AR16" s="5"/>
      <c r="AS16" s="27">
        <f>1/1.2303</f>
        <v>0.8128098837681866</v>
      </c>
      <c r="AT16" s="19">
        <v>124.22</v>
      </c>
      <c r="AU16" s="5"/>
      <c r="AV16" s="27">
        <f>1/1.2269</f>
        <v>0.8150623522699486</v>
      </c>
      <c r="AW16" s="19">
        <v>124.42</v>
      </c>
      <c r="AX16" s="5"/>
      <c r="AY16" s="27">
        <f>1/1.218</f>
        <v>0.8210180623973727</v>
      </c>
      <c r="AZ16" s="19">
        <v>123.89</v>
      </c>
      <c r="BA16" s="5"/>
      <c r="BB16" s="27">
        <f>1/1.2154</f>
        <v>0.8227743952608194</v>
      </c>
      <c r="BC16" s="19">
        <v>123.74</v>
      </c>
      <c r="BD16" s="5"/>
      <c r="BE16" s="27">
        <f>1/1.217</f>
        <v>0.8216926869350862</v>
      </c>
      <c r="BF16" s="19">
        <v>124.09</v>
      </c>
      <c r="BG16" s="5"/>
      <c r="BH16" s="27">
        <f>1/1.2028</f>
        <v>0.8313934153641502</v>
      </c>
      <c r="BI16" s="19">
        <v>123.67</v>
      </c>
      <c r="BJ16" s="5"/>
      <c r="BK16" s="27">
        <f>1/1.2015</f>
        <v>0.8322929671244278</v>
      </c>
      <c r="BL16" s="19">
        <v>124.53</v>
      </c>
      <c r="BM16" s="5"/>
      <c r="BN16" s="27">
        <f>1/1.205</f>
        <v>0.8298755186721991</v>
      </c>
      <c r="BO16" s="19">
        <v>125.3</v>
      </c>
      <c r="BP16" s="5"/>
      <c r="BQ16" s="27">
        <f t="shared" si="0"/>
        <v>0.8153244413511399</v>
      </c>
      <c r="BR16" s="19">
        <f t="shared" si="1"/>
        <v>124.23909090909093</v>
      </c>
      <c r="BS16" s="31"/>
      <c r="BT16" s="32"/>
      <c r="BW16" s="9"/>
      <c r="BX16" s="31"/>
      <c r="BY16" s="32"/>
    </row>
    <row r="17" spans="1:77" ht="15.75" customHeight="1">
      <c r="A17" s="16">
        <v>5</v>
      </c>
      <c r="B17" s="17" t="s">
        <v>18</v>
      </c>
      <c r="C17" s="27">
        <v>393.9</v>
      </c>
      <c r="D17" s="19">
        <v>39841.67</v>
      </c>
      <c r="E17" s="5"/>
      <c r="F17" s="27">
        <v>394.25</v>
      </c>
      <c r="G17" s="19">
        <v>39828.78</v>
      </c>
      <c r="H17" s="5"/>
      <c r="I17" s="27">
        <v>398</v>
      </c>
      <c r="J17" s="19">
        <v>39869.55</v>
      </c>
      <c r="K17" s="5"/>
      <c r="L17" s="27">
        <v>398.25</v>
      </c>
      <c r="M17" s="19">
        <v>39870.07</v>
      </c>
      <c r="N17" s="5"/>
      <c r="O17" s="27">
        <v>397.05</v>
      </c>
      <c r="P17" s="19">
        <v>39757.94</v>
      </c>
      <c r="Q17" s="5"/>
      <c r="R17" s="27">
        <v>402.05</v>
      </c>
      <c r="S17" s="19">
        <v>40306.42</v>
      </c>
      <c r="T17" s="5"/>
      <c r="U17" s="27">
        <v>406</v>
      </c>
      <c r="V17" s="19">
        <v>40735.33</v>
      </c>
      <c r="W17" s="5"/>
      <c r="X17" s="27">
        <v>407.75</v>
      </c>
      <c r="Y17" s="19">
        <v>41056.62</v>
      </c>
      <c r="Z17" s="5"/>
      <c r="AA17" s="27">
        <v>404.4</v>
      </c>
      <c r="AB17" s="19">
        <v>40855.86</v>
      </c>
      <c r="AC17" s="5"/>
      <c r="AD17" s="27">
        <v>403.5</v>
      </c>
      <c r="AE17" s="19">
        <v>40864.46</v>
      </c>
      <c r="AF17" s="5"/>
      <c r="AG17" s="27">
        <v>403.95</v>
      </c>
      <c r="AH17" s="19">
        <v>41036.27</v>
      </c>
      <c r="AI17" s="5"/>
      <c r="AJ17" s="27">
        <v>403.5</v>
      </c>
      <c r="AK17" s="19">
        <v>40952.9</v>
      </c>
      <c r="AL17" s="5"/>
      <c r="AM17" s="27">
        <v>406.9</v>
      </c>
      <c r="AN17" s="19">
        <v>40891.42</v>
      </c>
      <c r="AO17" s="5"/>
      <c r="AP17" s="27">
        <v>404.7</v>
      </c>
      <c r="AQ17" s="19">
        <v>40628.37</v>
      </c>
      <c r="AR17" s="5"/>
      <c r="AS17" s="27">
        <v>399.5</v>
      </c>
      <c r="AT17" s="19">
        <v>40337.85</v>
      </c>
      <c r="AU17" s="5"/>
      <c r="AV17" s="27">
        <v>395.7</v>
      </c>
      <c r="AW17" s="19">
        <v>40127.937</v>
      </c>
      <c r="AX17" s="5"/>
      <c r="AY17" s="27">
        <v>392.5</v>
      </c>
      <c r="AZ17" s="19">
        <v>39923.79</v>
      </c>
      <c r="BA17" s="5"/>
      <c r="BB17" s="27">
        <v>391.5</v>
      </c>
      <c r="BC17" s="19">
        <v>39857.64</v>
      </c>
      <c r="BD17" s="5"/>
      <c r="BE17" s="27">
        <v>392.25</v>
      </c>
      <c r="BF17" s="19">
        <v>39996.43</v>
      </c>
      <c r="BG17" s="5"/>
      <c r="BH17" s="27">
        <v>385.25</v>
      </c>
      <c r="BI17" s="19">
        <v>39610.12</v>
      </c>
      <c r="BJ17" s="5"/>
      <c r="BK17" s="27">
        <v>388</v>
      </c>
      <c r="BL17" s="19">
        <v>40215.55</v>
      </c>
      <c r="BM17" s="5"/>
      <c r="BN17" s="27">
        <v>389.5</v>
      </c>
      <c r="BO17" s="19">
        <v>40502.81</v>
      </c>
      <c r="BP17" s="5"/>
      <c r="BQ17" s="27">
        <f t="shared" si="0"/>
        <v>398.10909090909087</v>
      </c>
      <c r="BR17" s="19">
        <f t="shared" si="1"/>
        <v>40321.26304545456</v>
      </c>
      <c r="BS17" s="31"/>
      <c r="BT17" s="32"/>
      <c r="BW17" s="9"/>
      <c r="BX17" s="31"/>
      <c r="BY17" s="32"/>
    </row>
    <row r="18" spans="1:77" ht="15.75" customHeight="1">
      <c r="A18" s="16">
        <v>6</v>
      </c>
      <c r="B18" s="20" t="s">
        <v>19</v>
      </c>
      <c r="C18" s="27">
        <v>5.83</v>
      </c>
      <c r="D18" s="19">
        <v>589.69</v>
      </c>
      <c r="E18" s="5"/>
      <c r="F18" s="27">
        <v>5.91</v>
      </c>
      <c r="G18" s="19">
        <v>597.05</v>
      </c>
      <c r="H18" s="5"/>
      <c r="I18" s="27">
        <v>6.01</v>
      </c>
      <c r="J18" s="19">
        <v>602.05</v>
      </c>
      <c r="K18" s="5"/>
      <c r="L18" s="27">
        <v>6.02</v>
      </c>
      <c r="M18" s="19">
        <v>602.68</v>
      </c>
      <c r="N18" s="5"/>
      <c r="O18" s="27">
        <v>6.03</v>
      </c>
      <c r="P18" s="19">
        <v>603.8</v>
      </c>
      <c r="Q18" s="5"/>
      <c r="R18" s="27">
        <v>6.17</v>
      </c>
      <c r="S18" s="19">
        <v>618.56</v>
      </c>
      <c r="T18" s="5"/>
      <c r="U18" s="27">
        <v>6.45</v>
      </c>
      <c r="V18" s="19">
        <v>647.15</v>
      </c>
      <c r="W18" s="5"/>
      <c r="X18" s="27">
        <v>6.53</v>
      </c>
      <c r="Y18" s="19">
        <v>657.51</v>
      </c>
      <c r="Z18" s="5"/>
      <c r="AA18" s="27">
        <v>6.42</v>
      </c>
      <c r="AB18" s="19">
        <v>648.6</v>
      </c>
      <c r="AC18" s="5"/>
      <c r="AD18" s="27">
        <v>6.4</v>
      </c>
      <c r="AE18" s="19">
        <v>648.16</v>
      </c>
      <c r="AF18" s="5"/>
      <c r="AG18" s="27">
        <v>6.55</v>
      </c>
      <c r="AH18" s="19">
        <v>665.4</v>
      </c>
      <c r="AI18" s="5"/>
      <c r="AJ18" s="27">
        <v>6.6</v>
      </c>
      <c r="AK18" s="19">
        <v>669.86</v>
      </c>
      <c r="AL18" s="5"/>
      <c r="AM18" s="27">
        <v>6.69</v>
      </c>
      <c r="AN18" s="19">
        <v>672.31</v>
      </c>
      <c r="AO18" s="5"/>
      <c r="AP18" s="27">
        <v>6.58</v>
      </c>
      <c r="AQ18" s="19">
        <v>660.57</v>
      </c>
      <c r="AR18" s="5"/>
      <c r="AS18" s="27">
        <v>6.48</v>
      </c>
      <c r="AT18" s="19">
        <v>654.29</v>
      </c>
      <c r="AU18" s="5"/>
      <c r="AV18" s="27">
        <v>6.35</v>
      </c>
      <c r="AW18" s="19">
        <v>643.95</v>
      </c>
      <c r="AX18" s="5"/>
      <c r="AY18" s="27">
        <v>6.29</v>
      </c>
      <c r="AZ18" s="19">
        <v>639.8</v>
      </c>
      <c r="BA18" s="5"/>
      <c r="BB18" s="27">
        <v>6.29</v>
      </c>
      <c r="BC18" s="19">
        <v>640.37</v>
      </c>
      <c r="BD18" s="5"/>
      <c r="BE18" s="27">
        <v>6.25</v>
      </c>
      <c r="BF18" s="19">
        <v>637.29</v>
      </c>
      <c r="BG18" s="5"/>
      <c r="BH18" s="27">
        <v>6.16</v>
      </c>
      <c r="BI18" s="19">
        <v>633.35</v>
      </c>
      <c r="BJ18" s="5"/>
      <c r="BK18" s="27">
        <v>6.31</v>
      </c>
      <c r="BL18" s="19">
        <v>654.02</v>
      </c>
      <c r="BM18" s="5"/>
      <c r="BN18" s="27">
        <v>6.42</v>
      </c>
      <c r="BO18" s="19">
        <v>667.59</v>
      </c>
      <c r="BP18" s="5"/>
      <c r="BQ18" s="27">
        <f t="shared" si="0"/>
        <v>6.306363636363636</v>
      </c>
      <c r="BR18" s="19">
        <f t="shared" si="1"/>
        <v>638.8204545454546</v>
      </c>
      <c r="BS18" s="31"/>
      <c r="BT18" s="32"/>
      <c r="BW18" s="9"/>
      <c r="BX18" s="31"/>
      <c r="BY18" s="32"/>
    </row>
    <row r="19" spans="1:77" ht="15.75" customHeight="1">
      <c r="A19" s="16">
        <v>7</v>
      </c>
      <c r="B19" s="17" t="s">
        <v>20</v>
      </c>
      <c r="C19" s="27">
        <f>1/0.7002</f>
        <v>1.4281633818908883</v>
      </c>
      <c r="D19" s="19">
        <v>70.82</v>
      </c>
      <c r="E19" s="5"/>
      <c r="F19" s="27">
        <f>1/0.7024</f>
        <v>1.4236902050113895</v>
      </c>
      <c r="G19" s="19">
        <v>70.96</v>
      </c>
      <c r="H19" s="5"/>
      <c r="I19" s="27">
        <f>1/0.7131</f>
        <v>1.4023278642546628</v>
      </c>
      <c r="J19" s="19">
        <v>71.43</v>
      </c>
      <c r="K19" s="5"/>
      <c r="L19" s="27">
        <f>1/0.7142</f>
        <v>1.4001680201624196</v>
      </c>
      <c r="M19" s="19">
        <v>71.5</v>
      </c>
      <c r="N19" s="5"/>
      <c r="O19" s="27">
        <f>1/0.7219</f>
        <v>1.3852334118298935</v>
      </c>
      <c r="P19" s="19">
        <v>72.29</v>
      </c>
      <c r="Q19" s="5"/>
      <c r="R19" s="27">
        <f>1/0.7185</f>
        <v>1.3917884481558802</v>
      </c>
      <c r="S19" s="19">
        <v>72.03</v>
      </c>
      <c r="T19" s="5"/>
      <c r="U19" s="27">
        <f>1/0.7214</f>
        <v>1.386193512614361</v>
      </c>
      <c r="V19" s="19">
        <v>72.38</v>
      </c>
      <c r="W19" s="5"/>
      <c r="X19" s="27">
        <f>1/0.7267</f>
        <v>1.3760836658868858</v>
      </c>
      <c r="Y19" s="19">
        <v>73.17</v>
      </c>
      <c r="Z19" s="5"/>
      <c r="AA19" s="27">
        <f>1/0.724</f>
        <v>1.3812154696132597</v>
      </c>
      <c r="AB19" s="19">
        <v>73.14</v>
      </c>
      <c r="AC19" s="5"/>
      <c r="AD19" s="27">
        <f>1/0.7249</f>
        <v>1.3795006207752794</v>
      </c>
      <c r="AE19" s="19">
        <v>73.41</v>
      </c>
      <c r="AF19" s="5"/>
      <c r="AG19" s="27">
        <f>1/0.7212</f>
        <v>1.3865779256794233</v>
      </c>
      <c r="AH19" s="19">
        <v>73.26</v>
      </c>
      <c r="AI19" s="5"/>
      <c r="AJ19" s="27">
        <f>1/0.7237</f>
        <v>1.381788033715628</v>
      </c>
      <c r="AK19" s="19">
        <v>73.45</v>
      </c>
      <c r="AL19" s="5"/>
      <c r="AM19" s="27">
        <f>1/0.7325</f>
        <v>1.36518771331058</v>
      </c>
      <c r="AN19" s="19">
        <v>73.61</v>
      </c>
      <c r="AO19" s="5"/>
      <c r="AP19" s="27">
        <f>1/0.7299</f>
        <v>1.3700506918755995</v>
      </c>
      <c r="AQ19" s="19">
        <v>73.28</v>
      </c>
      <c r="AR19" s="5"/>
      <c r="AS19" s="27">
        <f>1/0.7231</f>
        <v>1.3829345871940257</v>
      </c>
      <c r="AT19" s="19">
        <v>73.01</v>
      </c>
      <c r="AU19" s="5"/>
      <c r="AV19" s="27">
        <f>1/0.717</f>
        <v>1.394700139470014</v>
      </c>
      <c r="AW19" s="19">
        <v>72.71</v>
      </c>
      <c r="AX19" s="5"/>
      <c r="AY19" s="27">
        <f>1/0.7085</f>
        <v>1.4114326040931544</v>
      </c>
      <c r="AZ19" s="19">
        <v>72.07</v>
      </c>
      <c r="BA19" s="5"/>
      <c r="BB19" s="27">
        <f>1/0.7122</f>
        <v>1.4040999719180005</v>
      </c>
      <c r="BC19" s="19">
        <v>72.51</v>
      </c>
      <c r="BD19" s="5"/>
      <c r="BE19" s="27">
        <f>1/0.7114</f>
        <v>1.405678942929435</v>
      </c>
      <c r="BF19" s="19">
        <v>72.54</v>
      </c>
      <c r="BG19" s="5"/>
      <c r="BH19" s="27">
        <f>1/0.6964</f>
        <v>1.4359563469270533</v>
      </c>
      <c r="BI19" s="19">
        <v>71.6</v>
      </c>
      <c r="BJ19" s="18"/>
      <c r="BK19" s="27">
        <f>1/0.6978</f>
        <v>1.4330753797649758</v>
      </c>
      <c r="BL19" s="19">
        <v>72.33</v>
      </c>
      <c r="BM19" s="18"/>
      <c r="BN19" s="27">
        <f>1/0.7009</f>
        <v>1.42673705236125</v>
      </c>
      <c r="BO19" s="19">
        <v>72.88</v>
      </c>
      <c r="BP19" s="18"/>
      <c r="BQ19" s="27">
        <f t="shared" si="0"/>
        <v>1.3978447267924572</v>
      </c>
      <c r="BR19" s="19">
        <f t="shared" si="1"/>
        <v>72.47181818181816</v>
      </c>
      <c r="BS19" s="31"/>
      <c r="BT19" s="32"/>
      <c r="BW19" s="24"/>
      <c r="BX19" s="31"/>
      <c r="BY19" s="32"/>
    </row>
    <row r="20" spans="1:77" ht="15.75" customHeight="1">
      <c r="A20" s="16">
        <v>8</v>
      </c>
      <c r="B20" s="17" t="s">
        <v>21</v>
      </c>
      <c r="C20" s="27">
        <v>1.3329</v>
      </c>
      <c r="D20" s="19">
        <v>75.88</v>
      </c>
      <c r="E20" s="5"/>
      <c r="F20" s="27">
        <v>1.3354</v>
      </c>
      <c r="G20" s="19">
        <v>75.65</v>
      </c>
      <c r="H20" s="5"/>
      <c r="I20" s="27">
        <v>1.3244</v>
      </c>
      <c r="J20" s="19">
        <v>75.64</v>
      </c>
      <c r="K20" s="5"/>
      <c r="L20" s="27">
        <v>1.323</v>
      </c>
      <c r="M20" s="19">
        <v>75.67</v>
      </c>
      <c r="N20" s="5"/>
      <c r="O20" s="27">
        <v>1.3194</v>
      </c>
      <c r="P20" s="19">
        <v>75.89</v>
      </c>
      <c r="Q20" s="5"/>
      <c r="R20" s="27">
        <v>1.3265</v>
      </c>
      <c r="S20" s="19">
        <v>75.58</v>
      </c>
      <c r="T20" s="5"/>
      <c r="U20" s="27">
        <v>1.318</v>
      </c>
      <c r="V20" s="19">
        <v>76.13</v>
      </c>
      <c r="W20" s="5"/>
      <c r="X20" s="27">
        <v>1.316</v>
      </c>
      <c r="Y20" s="19">
        <v>76.51</v>
      </c>
      <c r="Z20" s="5"/>
      <c r="AA20" s="27">
        <v>1.3227</v>
      </c>
      <c r="AB20" s="19">
        <v>76.38</v>
      </c>
      <c r="AC20" s="5"/>
      <c r="AD20" s="27">
        <v>1.3195</v>
      </c>
      <c r="AE20" s="19">
        <v>76.75</v>
      </c>
      <c r="AF20" s="5"/>
      <c r="AG20" s="27">
        <v>1.3233</v>
      </c>
      <c r="AH20" s="19">
        <v>76.77</v>
      </c>
      <c r="AI20" s="5"/>
      <c r="AJ20" s="27">
        <v>1.32</v>
      </c>
      <c r="AK20" s="19">
        <v>76.89</v>
      </c>
      <c r="AL20" s="5"/>
      <c r="AM20" s="27">
        <v>1.3084</v>
      </c>
      <c r="AN20" s="19">
        <v>76.81</v>
      </c>
      <c r="AO20" s="5"/>
      <c r="AP20" s="27">
        <v>1.3087</v>
      </c>
      <c r="AQ20" s="19">
        <v>76.71</v>
      </c>
      <c r="AR20" s="5"/>
      <c r="AS20" s="27">
        <v>1.3188</v>
      </c>
      <c r="AT20" s="19">
        <v>76.56</v>
      </c>
      <c r="AU20" s="5"/>
      <c r="AV20" s="27">
        <v>1.323</v>
      </c>
      <c r="AW20" s="19">
        <v>76.65</v>
      </c>
      <c r="AX20" s="5"/>
      <c r="AY20" s="27">
        <v>1.3214</v>
      </c>
      <c r="AZ20" s="19">
        <v>76.98</v>
      </c>
      <c r="BA20" s="5"/>
      <c r="BB20" s="27">
        <v>1.3165</v>
      </c>
      <c r="BC20" s="19">
        <v>77.33</v>
      </c>
      <c r="BD20" s="5"/>
      <c r="BE20" s="27">
        <v>1.3291</v>
      </c>
      <c r="BF20" s="19">
        <v>76.72</v>
      </c>
      <c r="BG20" s="5"/>
      <c r="BH20" s="27">
        <v>1.3341</v>
      </c>
      <c r="BI20" s="19">
        <v>77.07</v>
      </c>
      <c r="BJ20" s="5"/>
      <c r="BK20" s="27">
        <v>1.3325</v>
      </c>
      <c r="BL20" s="19">
        <v>77.78</v>
      </c>
      <c r="BM20" s="5"/>
      <c r="BN20" s="27">
        <v>1.3217</v>
      </c>
      <c r="BO20" s="19">
        <v>78.68</v>
      </c>
      <c r="BP20" s="5"/>
      <c r="BQ20" s="27">
        <f t="shared" si="0"/>
        <v>1.3225136363636363</v>
      </c>
      <c r="BR20" s="19">
        <f t="shared" si="1"/>
        <v>76.59227272727273</v>
      </c>
      <c r="BS20" s="31"/>
      <c r="BT20" s="32"/>
      <c r="BW20" s="9"/>
      <c r="BX20" s="31"/>
      <c r="BY20" s="32"/>
    </row>
    <row r="21" spans="1:77" ht="15.75" customHeight="1">
      <c r="A21" s="16">
        <v>9</v>
      </c>
      <c r="B21" s="17" t="s">
        <v>22</v>
      </c>
      <c r="C21" s="27">
        <v>7.539</v>
      </c>
      <c r="D21" s="19">
        <v>13.42</v>
      </c>
      <c r="E21" s="5"/>
      <c r="F21" s="27">
        <v>7.5529</v>
      </c>
      <c r="G21" s="19">
        <v>13.38</v>
      </c>
      <c r="H21" s="5"/>
      <c r="I21" s="27">
        <v>7.4705</v>
      </c>
      <c r="J21" s="19">
        <v>13.41</v>
      </c>
      <c r="K21" s="5"/>
      <c r="L21" s="27">
        <v>7.4763</v>
      </c>
      <c r="M21" s="19">
        <v>13.39</v>
      </c>
      <c r="N21" s="5"/>
      <c r="O21" s="27">
        <v>7.409</v>
      </c>
      <c r="P21" s="19">
        <v>13.52</v>
      </c>
      <c r="Q21" s="5"/>
      <c r="R21" s="27">
        <v>7.4223</v>
      </c>
      <c r="S21" s="19">
        <v>13.51</v>
      </c>
      <c r="T21" s="5"/>
      <c r="U21" s="27">
        <v>7.4123</v>
      </c>
      <c r="V21" s="19">
        <v>13.54</v>
      </c>
      <c r="W21" s="5"/>
      <c r="X21" s="27">
        <v>7.396</v>
      </c>
      <c r="Y21" s="19">
        <v>13.61</v>
      </c>
      <c r="Z21" s="5"/>
      <c r="AA21" s="27">
        <v>7.4445</v>
      </c>
      <c r="AB21" s="19">
        <v>13.57</v>
      </c>
      <c r="AC21" s="5"/>
      <c r="AD21" s="27">
        <v>7.4434</v>
      </c>
      <c r="AE21" s="19">
        <v>13.61</v>
      </c>
      <c r="AF21" s="5"/>
      <c r="AG21" s="27">
        <v>7.4395</v>
      </c>
      <c r="AH21" s="19">
        <v>13.66</v>
      </c>
      <c r="AI21" s="5"/>
      <c r="AJ21" s="27">
        <v>7.4331</v>
      </c>
      <c r="AK21" s="19">
        <v>13.65</v>
      </c>
      <c r="AL21" s="5"/>
      <c r="AM21" s="27">
        <v>7.406</v>
      </c>
      <c r="AN21" s="19">
        <v>13.57</v>
      </c>
      <c r="AO21" s="5"/>
      <c r="AP21" s="27">
        <v>7.4172</v>
      </c>
      <c r="AQ21" s="19">
        <v>13.53</v>
      </c>
      <c r="AR21" s="5"/>
      <c r="AS21" s="27">
        <v>7.4567</v>
      </c>
      <c r="AT21" s="19">
        <v>13.54</v>
      </c>
      <c r="AU21" s="5"/>
      <c r="AV21" s="27">
        <v>7.4896</v>
      </c>
      <c r="AW21" s="19">
        <v>13.54</v>
      </c>
      <c r="AX21" s="5"/>
      <c r="AY21" s="27">
        <v>7.5395</v>
      </c>
      <c r="AZ21" s="19">
        <v>13.49</v>
      </c>
      <c r="BA21" s="5"/>
      <c r="BB21" s="27">
        <v>7.5708</v>
      </c>
      <c r="BC21" s="19">
        <v>13.45</v>
      </c>
      <c r="BD21" s="5"/>
      <c r="BE21" s="27">
        <v>7.5569</v>
      </c>
      <c r="BF21" s="19">
        <v>13.49</v>
      </c>
      <c r="BG21" s="5"/>
      <c r="BH21" s="27">
        <v>7.653</v>
      </c>
      <c r="BI21" s="19">
        <v>13.43</v>
      </c>
      <c r="BJ21" s="5"/>
      <c r="BK21" s="27">
        <v>7.6732</v>
      </c>
      <c r="BL21" s="19">
        <v>13.51</v>
      </c>
      <c r="BM21" s="5"/>
      <c r="BN21" s="27">
        <v>7.655</v>
      </c>
      <c r="BO21" s="19">
        <v>13.58</v>
      </c>
      <c r="BP21" s="5"/>
      <c r="BQ21" s="27">
        <f t="shared" si="0"/>
        <v>7.493486363636364</v>
      </c>
      <c r="BR21" s="19">
        <f t="shared" si="1"/>
        <v>13.518181818181818</v>
      </c>
      <c r="BS21" s="31"/>
      <c r="BT21" s="32"/>
      <c r="BW21" s="9"/>
      <c r="BX21" s="31"/>
      <c r="BY21" s="32"/>
    </row>
    <row r="22" spans="1:77" ht="15.75" customHeight="1">
      <c r="A22" s="16">
        <v>10</v>
      </c>
      <c r="B22" s="17" t="s">
        <v>23</v>
      </c>
      <c r="C22" s="27">
        <v>6.9284</v>
      </c>
      <c r="D22" s="19">
        <v>14.6</v>
      </c>
      <c r="E22" s="5"/>
      <c r="F22" s="27">
        <v>6.9986</v>
      </c>
      <c r="G22" s="19">
        <v>14.43</v>
      </c>
      <c r="H22" s="5"/>
      <c r="I22" s="27">
        <v>6.913</v>
      </c>
      <c r="J22" s="19">
        <v>14.49</v>
      </c>
      <c r="K22" s="5"/>
      <c r="L22" s="27">
        <v>6.8928</v>
      </c>
      <c r="M22" s="19">
        <v>14.52</v>
      </c>
      <c r="N22" s="5"/>
      <c r="O22" s="27">
        <v>6.807</v>
      </c>
      <c r="P22" s="19">
        <v>14.71</v>
      </c>
      <c r="Q22" s="5"/>
      <c r="R22" s="27">
        <v>6.8337</v>
      </c>
      <c r="S22" s="19">
        <v>14.67</v>
      </c>
      <c r="T22" s="5"/>
      <c r="U22" s="27">
        <v>6.8209</v>
      </c>
      <c r="V22" s="19">
        <v>14.71</v>
      </c>
      <c r="W22" s="5"/>
      <c r="X22" s="27">
        <v>6.8104</v>
      </c>
      <c r="Y22" s="19">
        <v>14.78</v>
      </c>
      <c r="Z22" s="5"/>
      <c r="AA22" s="27">
        <v>6.8303</v>
      </c>
      <c r="AB22" s="19">
        <v>14.79</v>
      </c>
      <c r="AC22" s="5"/>
      <c r="AD22" s="27">
        <v>6.8885</v>
      </c>
      <c r="AE22" s="19">
        <v>14.7</v>
      </c>
      <c r="AF22" s="5"/>
      <c r="AG22" s="27">
        <v>6.8946</v>
      </c>
      <c r="AH22" s="19">
        <v>14.73</v>
      </c>
      <c r="AI22" s="5"/>
      <c r="AJ22" s="27">
        <v>6.8364</v>
      </c>
      <c r="AK22" s="19">
        <v>14.85</v>
      </c>
      <c r="AL22" s="5"/>
      <c r="AM22" s="27">
        <v>6.8216</v>
      </c>
      <c r="AN22" s="19">
        <v>14.73</v>
      </c>
      <c r="AO22" s="5"/>
      <c r="AP22" s="27">
        <v>6.8364</v>
      </c>
      <c r="AQ22" s="19">
        <v>14.68</v>
      </c>
      <c r="AR22" s="5"/>
      <c r="AS22" s="27">
        <v>6.9006</v>
      </c>
      <c r="AT22" s="19">
        <v>14.63</v>
      </c>
      <c r="AU22" s="5"/>
      <c r="AV22" s="27">
        <v>6.9117</v>
      </c>
      <c r="AW22" s="19">
        <v>14.67</v>
      </c>
      <c r="AX22" s="5"/>
      <c r="AY22" s="27">
        <v>6.9578</v>
      </c>
      <c r="AZ22" s="19">
        <v>14.62</v>
      </c>
      <c r="BA22" s="5"/>
      <c r="BB22" s="27">
        <v>6.9963</v>
      </c>
      <c r="BC22" s="19">
        <v>14.55</v>
      </c>
      <c r="BD22" s="5"/>
      <c r="BE22" s="27">
        <v>6.9804</v>
      </c>
      <c r="BF22" s="19">
        <v>14.61</v>
      </c>
      <c r="BG22" s="5"/>
      <c r="BH22" s="27">
        <v>7.0367</v>
      </c>
      <c r="BI22" s="19">
        <v>14.61</v>
      </c>
      <c r="BJ22" s="5"/>
      <c r="BK22" s="27">
        <v>7.0237</v>
      </c>
      <c r="BL22" s="19">
        <v>14.76</v>
      </c>
      <c r="BM22" s="5"/>
      <c r="BN22" s="27">
        <v>6.9943</v>
      </c>
      <c r="BO22" s="19">
        <v>14.87</v>
      </c>
      <c r="BP22" s="5"/>
      <c r="BQ22" s="27">
        <f t="shared" si="0"/>
        <v>6.905186363636363</v>
      </c>
      <c r="BR22" s="19">
        <f t="shared" si="1"/>
        <v>14.668636363636363</v>
      </c>
      <c r="BS22" s="31"/>
      <c r="BT22" s="32"/>
      <c r="BW22" s="9"/>
      <c r="BX22" s="31"/>
      <c r="BY22" s="32"/>
    </row>
    <row r="23" spans="1:77" ht="15.75" customHeight="1">
      <c r="A23" s="16">
        <v>11</v>
      </c>
      <c r="B23" s="17" t="s">
        <v>24</v>
      </c>
      <c r="C23" s="27">
        <v>6.1145</v>
      </c>
      <c r="D23" s="19">
        <v>16.54</v>
      </c>
      <c r="E23" s="5"/>
      <c r="F23" s="27">
        <v>6.1176</v>
      </c>
      <c r="G23" s="19">
        <v>16.51</v>
      </c>
      <c r="H23" s="5"/>
      <c r="I23" s="27">
        <v>6.0485</v>
      </c>
      <c r="J23" s="19">
        <v>16.56</v>
      </c>
      <c r="K23" s="5"/>
      <c r="L23" s="27">
        <v>6.0492</v>
      </c>
      <c r="M23" s="19">
        <v>16.55</v>
      </c>
      <c r="N23" s="5"/>
      <c r="O23" s="27">
        <v>6.0064</v>
      </c>
      <c r="P23" s="19">
        <v>16.67</v>
      </c>
      <c r="Q23" s="5"/>
      <c r="R23" s="27">
        <v>6.0158</v>
      </c>
      <c r="S23" s="19">
        <v>16.66</v>
      </c>
      <c r="T23" s="5"/>
      <c r="U23" s="27">
        <v>5.9984</v>
      </c>
      <c r="V23" s="19">
        <v>16.73</v>
      </c>
      <c r="W23" s="5"/>
      <c r="X23" s="27">
        <v>5.9805</v>
      </c>
      <c r="Y23" s="19">
        <v>16.84</v>
      </c>
      <c r="Z23" s="5"/>
      <c r="AA23" s="27">
        <v>6.0083</v>
      </c>
      <c r="AB23" s="19">
        <v>16.81</v>
      </c>
      <c r="AC23" s="5"/>
      <c r="AD23" s="27">
        <v>6.0104</v>
      </c>
      <c r="AE23" s="19">
        <v>16.85</v>
      </c>
      <c r="AF23" s="5"/>
      <c r="AG23" s="27">
        <v>6.0194</v>
      </c>
      <c r="AH23" s="19">
        <v>16.88</v>
      </c>
      <c r="AI23" s="5"/>
      <c r="AJ23" s="27">
        <v>6.0122</v>
      </c>
      <c r="AK23" s="19">
        <v>16.88</v>
      </c>
      <c r="AL23" s="5"/>
      <c r="AM23" s="27">
        <v>5.9881</v>
      </c>
      <c r="AN23" s="19">
        <v>16.78</v>
      </c>
      <c r="AO23" s="5"/>
      <c r="AP23" s="27">
        <v>5.9937</v>
      </c>
      <c r="AQ23" s="19">
        <v>16.75</v>
      </c>
      <c r="AR23" s="5"/>
      <c r="AS23" s="27">
        <v>6.0426</v>
      </c>
      <c r="AT23" s="19">
        <v>16.71</v>
      </c>
      <c r="AU23" s="5"/>
      <c r="AV23" s="27">
        <v>6.0604</v>
      </c>
      <c r="AW23" s="19">
        <v>16.73</v>
      </c>
      <c r="AX23" s="5"/>
      <c r="AY23" s="27">
        <v>6.1042</v>
      </c>
      <c r="AZ23" s="19">
        <v>16.66</v>
      </c>
      <c r="BA23" s="5"/>
      <c r="BB23" s="27">
        <v>6.1165</v>
      </c>
      <c r="BC23" s="19">
        <v>16.64</v>
      </c>
      <c r="BD23" s="5"/>
      <c r="BE23" s="27">
        <v>6.1068</v>
      </c>
      <c r="BF23" s="19">
        <v>16.7</v>
      </c>
      <c r="BG23" s="5"/>
      <c r="BH23" s="27">
        <v>6.18</v>
      </c>
      <c r="BI23" s="19">
        <v>16.64</v>
      </c>
      <c r="BJ23" s="5"/>
      <c r="BK23" s="27">
        <v>6.1848</v>
      </c>
      <c r="BL23" s="19">
        <v>16.76</v>
      </c>
      <c r="BM23" s="5"/>
      <c r="BN23" s="27">
        <v>6.1681</v>
      </c>
      <c r="BO23" s="19">
        <v>16.86</v>
      </c>
      <c r="BP23" s="5"/>
      <c r="BQ23" s="27">
        <f t="shared" si="0"/>
        <v>6.060290909090909</v>
      </c>
      <c r="BR23" s="19">
        <f t="shared" si="1"/>
        <v>16.71409090909091</v>
      </c>
      <c r="BS23" s="31"/>
      <c r="BT23" s="32"/>
      <c r="BW23" s="9"/>
      <c r="BX23" s="31"/>
      <c r="BY23" s="32"/>
    </row>
    <row r="24" spans="1:77" ht="15.75" customHeight="1">
      <c r="A24" s="16">
        <v>12</v>
      </c>
      <c r="B24" s="17" t="s">
        <v>25</v>
      </c>
      <c r="C24" s="27">
        <f>1/1.46622</f>
        <v>0.6820258897027731</v>
      </c>
      <c r="D24" s="19">
        <v>148.3</v>
      </c>
      <c r="E24" s="5"/>
      <c r="F24" s="27">
        <f>1/1.46884</f>
        <v>0.680809346150704</v>
      </c>
      <c r="G24" s="19">
        <v>148.39</v>
      </c>
      <c r="H24" s="5"/>
      <c r="I24" s="27">
        <f>1/1.46613</f>
        <v>0.6820677566109418</v>
      </c>
      <c r="J24" s="19">
        <v>146.87</v>
      </c>
      <c r="K24" s="5"/>
      <c r="L24" s="27">
        <f>1/1.46613</f>
        <v>0.6820677566109418</v>
      </c>
      <c r="M24" s="19">
        <v>146.78</v>
      </c>
      <c r="N24" s="5"/>
      <c r="O24" s="27">
        <f>1/1.47291</f>
        <v>0.6789281083026119</v>
      </c>
      <c r="P24" s="19">
        <v>147.49</v>
      </c>
      <c r="Q24" s="5"/>
      <c r="R24" s="27">
        <f>1/1.47962</f>
        <v>0.6758492045254864</v>
      </c>
      <c r="S24" s="19">
        <v>148.34</v>
      </c>
      <c r="T24" s="5"/>
      <c r="U24" s="27">
        <f>1/1.47803</f>
        <v>0.6765762535266537</v>
      </c>
      <c r="V24" s="19">
        <v>148.3</v>
      </c>
      <c r="W24" s="5"/>
      <c r="X24" s="27">
        <f>1/1.48095</f>
        <v>0.6752422431547318</v>
      </c>
      <c r="Y24" s="19">
        <v>149.12</v>
      </c>
      <c r="Z24" s="5"/>
      <c r="AA24" s="27">
        <f>1/1.48365</f>
        <v>0.6740134128669161</v>
      </c>
      <c r="AB24" s="19">
        <v>149.89</v>
      </c>
      <c r="AC24" s="5"/>
      <c r="AD24" s="27">
        <f>1/1.48049</f>
        <v>0.6754520462819742</v>
      </c>
      <c r="AE24" s="19">
        <v>149.94</v>
      </c>
      <c r="AF24" s="5"/>
      <c r="AG24" s="27">
        <f>1/1.47915</f>
        <v>0.6760639556502045</v>
      </c>
      <c r="AH24" s="19">
        <v>150.26</v>
      </c>
      <c r="AI24" s="5"/>
      <c r="AJ24" s="27">
        <f>1/1.47778</f>
        <v>0.6766907117432905</v>
      </c>
      <c r="AK24" s="19">
        <v>149.99</v>
      </c>
      <c r="AL24" s="5"/>
      <c r="AM24" s="27">
        <f>1/1.47697</f>
        <v>0.6770618225150139</v>
      </c>
      <c r="AN24" s="19">
        <v>148.43</v>
      </c>
      <c r="AO24" s="5"/>
      <c r="AP24" s="27">
        <f>1/1.48303</f>
        <v>0.6742951929495694</v>
      </c>
      <c r="AQ24" s="19">
        <v>148.88</v>
      </c>
      <c r="AR24" s="5"/>
      <c r="AS24" s="27">
        <f>1/1.48196</f>
        <v>0.6747820453993361</v>
      </c>
      <c r="AT24" s="19">
        <v>149.63</v>
      </c>
      <c r="AU24" s="5"/>
      <c r="AV24" s="27">
        <f>1/1.47399</f>
        <v>0.6784306542106799</v>
      </c>
      <c r="AW24" s="19">
        <v>149.48</v>
      </c>
      <c r="AX24" s="5"/>
      <c r="AY24" s="27">
        <f>1/1.47209</f>
        <v>0.6793062924141867</v>
      </c>
      <c r="AZ24" s="19">
        <v>149.74</v>
      </c>
      <c r="BA24" s="5"/>
      <c r="BB24" s="27">
        <f>1/1.46669</f>
        <v>0.6818073348833087</v>
      </c>
      <c r="BC24" s="19">
        <v>149.32</v>
      </c>
      <c r="BD24" s="5"/>
      <c r="BE24" s="27">
        <f>1/1.46712</f>
        <v>0.6816075031353945</v>
      </c>
      <c r="BF24" s="19">
        <v>149.6</v>
      </c>
      <c r="BG24" s="5"/>
      <c r="BH24" s="27">
        <f>1/1.46823</f>
        <v>0.6810921994510397</v>
      </c>
      <c r="BI24" s="19">
        <v>150.96</v>
      </c>
      <c r="BJ24" s="5"/>
      <c r="BK24" s="27">
        <f>1/1.45648</f>
        <v>0.6865868395034604</v>
      </c>
      <c r="BL24" s="19">
        <v>150.96</v>
      </c>
      <c r="BM24" s="5"/>
      <c r="BN24" s="27">
        <f>1/1.45516</f>
        <v>0.6872096539212182</v>
      </c>
      <c r="BO24" s="19">
        <v>151.32</v>
      </c>
      <c r="BP24" s="5"/>
      <c r="BQ24" s="27">
        <f t="shared" si="0"/>
        <v>0.67899846470502</v>
      </c>
      <c r="BR24" s="19">
        <f t="shared" si="1"/>
        <v>149.18136363636364</v>
      </c>
      <c r="BS24" s="31"/>
      <c r="BT24" s="32"/>
      <c r="BW24" s="9"/>
      <c r="BX24" s="31"/>
      <c r="BY24" s="32"/>
    </row>
    <row r="25" spans="1:77" ht="15.75" customHeight="1" thickBot="1">
      <c r="A25" s="35">
        <v>13</v>
      </c>
      <c r="B25" s="36" t="s">
        <v>26</v>
      </c>
      <c r="C25" s="28">
        <v>1</v>
      </c>
      <c r="D25" s="22">
        <v>101.15</v>
      </c>
      <c r="E25" s="21"/>
      <c r="F25" s="28">
        <v>1</v>
      </c>
      <c r="G25" s="22">
        <v>101.02</v>
      </c>
      <c r="H25" s="21"/>
      <c r="I25" s="28">
        <v>1</v>
      </c>
      <c r="J25" s="22">
        <v>100.17</v>
      </c>
      <c r="K25" s="21"/>
      <c r="L25" s="28">
        <v>1</v>
      </c>
      <c r="M25" s="22">
        <v>100.11</v>
      </c>
      <c r="N25" s="21"/>
      <c r="O25" s="28">
        <v>1</v>
      </c>
      <c r="P25" s="22">
        <v>100.13</v>
      </c>
      <c r="Q25" s="21"/>
      <c r="R25" s="28">
        <v>1</v>
      </c>
      <c r="S25" s="22">
        <v>100.25</v>
      </c>
      <c r="T25" s="21"/>
      <c r="U25" s="28">
        <v>1</v>
      </c>
      <c r="V25" s="22">
        <v>100.33</v>
      </c>
      <c r="W25" s="21"/>
      <c r="X25" s="28">
        <v>1</v>
      </c>
      <c r="Y25" s="22">
        <v>100.69</v>
      </c>
      <c r="Z25" s="21"/>
      <c r="AA25" s="28">
        <v>1</v>
      </c>
      <c r="AB25" s="22">
        <v>101.03</v>
      </c>
      <c r="AC25" s="21"/>
      <c r="AD25" s="28">
        <v>1</v>
      </c>
      <c r="AE25" s="22">
        <v>101.28</v>
      </c>
      <c r="AF25" s="21"/>
      <c r="AG25" s="28">
        <v>1</v>
      </c>
      <c r="AH25" s="22">
        <v>101.59</v>
      </c>
      <c r="AI25" s="21"/>
      <c r="AJ25" s="28">
        <v>1</v>
      </c>
      <c r="AK25" s="22">
        <v>101.49</v>
      </c>
      <c r="AL25" s="21"/>
      <c r="AM25" s="28">
        <v>1</v>
      </c>
      <c r="AN25" s="22">
        <v>100.5</v>
      </c>
      <c r="AO25" s="21"/>
      <c r="AP25" s="28">
        <v>1</v>
      </c>
      <c r="AQ25" s="22">
        <v>100.39</v>
      </c>
      <c r="AR25" s="21"/>
      <c r="AS25" s="28">
        <v>1</v>
      </c>
      <c r="AT25" s="22">
        <v>100.97</v>
      </c>
      <c r="AU25" s="21"/>
      <c r="AV25" s="28">
        <v>1</v>
      </c>
      <c r="AW25" s="22">
        <v>101.41</v>
      </c>
      <c r="AX25" s="21"/>
      <c r="AY25" s="28">
        <v>1</v>
      </c>
      <c r="AZ25" s="22">
        <v>101.72</v>
      </c>
      <c r="BA25" s="21"/>
      <c r="BB25" s="28">
        <v>1</v>
      </c>
      <c r="BC25" s="22">
        <v>101.81</v>
      </c>
      <c r="BD25" s="21"/>
      <c r="BE25" s="28">
        <v>1</v>
      </c>
      <c r="BF25" s="22">
        <v>101.97</v>
      </c>
      <c r="BG25" s="21"/>
      <c r="BH25" s="28">
        <v>1</v>
      </c>
      <c r="BI25" s="22">
        <v>102.82</v>
      </c>
      <c r="BJ25" s="21"/>
      <c r="BK25" s="28">
        <v>1</v>
      </c>
      <c r="BL25" s="22">
        <v>103.65</v>
      </c>
      <c r="BM25" s="21"/>
      <c r="BN25" s="28">
        <v>1</v>
      </c>
      <c r="BO25" s="22">
        <v>103.99</v>
      </c>
      <c r="BP25" s="21"/>
      <c r="BQ25" s="28">
        <f t="shared" si="0"/>
        <v>1</v>
      </c>
      <c r="BR25" s="22">
        <f t="shared" si="1"/>
        <v>101.2940909090909</v>
      </c>
      <c r="BS25" s="31"/>
      <c r="BT25" s="32"/>
      <c r="BW25" s="9"/>
      <c r="BX25" s="31"/>
      <c r="BY25" s="32"/>
    </row>
    <row r="26" spans="1:77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9"/>
      <c r="BQ26" s="9"/>
      <c r="BR26" s="31"/>
      <c r="BS26" s="31"/>
      <c r="BT26" s="32"/>
      <c r="BW26" s="9"/>
      <c r="BX26" s="31"/>
      <c r="BY26" s="32"/>
    </row>
    <row r="27" spans="1:77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W27" s="40"/>
      <c r="BX27" s="40"/>
      <c r="BY27" s="40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Width="5" fitToHeight="1" horizontalDpi="600" verticalDpi="600" orientation="landscape" paperSize="9" scale="65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29" max="24" man="1"/>
    <brk id="38" max="24" man="1"/>
    <brk id="47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Q3" sqref="BQ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</cols>
  <sheetData>
    <row r="1" spans="1:56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4" ht="15.75" customHeight="1">
      <c r="A4" s="6" t="s">
        <v>2</v>
      </c>
      <c r="B4" s="5"/>
      <c r="C4" s="4" t="s">
        <v>181</v>
      </c>
      <c r="D4" s="4"/>
      <c r="E4" s="10"/>
      <c r="F4" s="4" t="s">
        <v>182</v>
      </c>
      <c r="G4" s="4"/>
      <c r="H4" s="10"/>
      <c r="I4" s="4" t="s">
        <v>183</v>
      </c>
      <c r="J4" s="4"/>
      <c r="K4" s="10"/>
      <c r="L4" s="4" t="s">
        <v>184</v>
      </c>
      <c r="M4" s="4"/>
      <c r="N4" s="10"/>
      <c r="O4" s="4" t="s">
        <v>185</v>
      </c>
      <c r="P4" s="4"/>
      <c r="Q4" s="10"/>
      <c r="R4" s="4" t="s">
        <v>186</v>
      </c>
      <c r="S4" s="4"/>
      <c r="T4" s="10"/>
      <c r="U4" s="4" t="s">
        <v>187</v>
      </c>
      <c r="V4" s="4"/>
      <c r="W4" s="10"/>
      <c r="X4" s="4" t="s">
        <v>188</v>
      </c>
      <c r="Y4" s="4"/>
      <c r="Z4" s="10"/>
      <c r="AA4" s="4" t="s">
        <v>189</v>
      </c>
      <c r="AB4" s="4"/>
      <c r="AC4" s="10"/>
      <c r="AD4" s="4" t="s">
        <v>190</v>
      </c>
      <c r="AE4" s="4"/>
      <c r="AF4" s="10"/>
      <c r="AG4" s="4" t="s">
        <v>191</v>
      </c>
      <c r="AH4" s="4"/>
      <c r="AI4" s="10"/>
      <c r="AJ4" s="4" t="s">
        <v>192</v>
      </c>
      <c r="AK4" s="4"/>
      <c r="AL4" s="10"/>
      <c r="AM4" s="4" t="s">
        <v>193</v>
      </c>
      <c r="AN4" s="4"/>
      <c r="AO4" s="10"/>
      <c r="AP4" s="4" t="s">
        <v>194</v>
      </c>
      <c r="AQ4" s="4"/>
      <c r="AR4" s="10"/>
      <c r="AS4" s="4" t="s">
        <v>195</v>
      </c>
      <c r="AT4" s="4"/>
      <c r="AU4" s="10"/>
      <c r="AV4" s="4" t="s">
        <v>196</v>
      </c>
      <c r="AW4" s="4"/>
      <c r="AX4" s="10"/>
      <c r="AY4" s="4" t="s">
        <v>197</v>
      </c>
      <c r="AZ4" s="4"/>
      <c r="BA4" s="26"/>
      <c r="BB4" s="4" t="s">
        <v>198</v>
      </c>
      <c r="BC4" s="4"/>
      <c r="BD4" s="26"/>
      <c r="BE4" s="4" t="s">
        <v>199</v>
      </c>
      <c r="BF4" s="4"/>
      <c r="BG4" s="26"/>
      <c r="BH4" s="4" t="s">
        <v>200</v>
      </c>
      <c r="BI4" s="4"/>
      <c r="BJ4" s="4"/>
      <c r="BK4" s="4" t="s">
        <v>201</v>
      </c>
      <c r="BL4" s="4"/>
      <c r="BM4" s="4"/>
      <c r="BN4" s="4" t="s">
        <v>202</v>
      </c>
      <c r="BO4" s="4"/>
      <c r="BP4" s="4" t="s">
        <v>3</v>
      </c>
      <c r="BQ4" s="4"/>
      <c r="BT4" s="38"/>
      <c r="BU4" s="37"/>
      <c r="BV4" s="37"/>
    </row>
    <row r="5" spans="1:74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T5" s="38"/>
      <c r="BU5" s="38"/>
      <c r="BV5" s="38"/>
    </row>
    <row r="6" spans="1:74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T6" s="9"/>
      <c r="BU6" s="9"/>
      <c r="BV6" s="9"/>
    </row>
    <row r="7" spans="1:74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  <c r="BT7" s="39"/>
      <c r="BU7" s="39"/>
      <c r="BV7" s="39"/>
    </row>
    <row r="8" spans="1:74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  <c r="BT8" s="39"/>
      <c r="BU8" s="39"/>
      <c r="BV8" s="39"/>
    </row>
    <row r="9" spans="1:74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  <c r="BT9" s="39"/>
      <c r="BU9" s="39"/>
      <c r="BV9" s="39"/>
    </row>
    <row r="10" spans="1:74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  <c r="BT10" s="39"/>
      <c r="BU10" s="39"/>
      <c r="BV10" s="39"/>
    </row>
    <row r="11" spans="1:80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9"/>
      <c r="BU11" s="9"/>
      <c r="BV11" s="9"/>
      <c r="BW11" s="40"/>
      <c r="BX11" s="40"/>
      <c r="BY11" s="40"/>
      <c r="BZ11" s="40"/>
      <c r="CA11" s="40"/>
      <c r="CB11" s="40"/>
    </row>
    <row r="12" spans="1:80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9"/>
      <c r="BU12" s="9"/>
      <c r="BV12" s="9"/>
      <c r="BW12" s="40"/>
      <c r="BX12" s="40"/>
      <c r="BY12" s="40"/>
      <c r="BZ12" s="40"/>
      <c r="CA12" s="40"/>
      <c r="CB12" s="40"/>
    </row>
    <row r="13" spans="1:74" ht="15.75" customHeight="1">
      <c r="A13" s="16">
        <v>1</v>
      </c>
      <c r="B13" s="17" t="s">
        <v>14</v>
      </c>
      <c r="C13" s="27">
        <v>110.74</v>
      </c>
      <c r="D13" s="19">
        <v>92.47</v>
      </c>
      <c r="E13" s="5"/>
      <c r="F13" s="27">
        <v>111.02</v>
      </c>
      <c r="G13" s="19">
        <v>92.47</v>
      </c>
      <c r="H13" s="5"/>
      <c r="I13" s="27">
        <v>111.38</v>
      </c>
      <c r="J13" s="19">
        <v>92.41</v>
      </c>
      <c r="K13" s="5"/>
      <c r="L13" s="27">
        <v>111.08</v>
      </c>
      <c r="M13" s="19">
        <v>92.87</v>
      </c>
      <c r="N13" s="5"/>
      <c r="O13" s="27">
        <v>111.52</v>
      </c>
      <c r="P13" s="19">
        <v>92.58</v>
      </c>
      <c r="Q13" s="5"/>
      <c r="R13" s="27">
        <v>110.55</v>
      </c>
      <c r="S13" s="19">
        <v>92.3</v>
      </c>
      <c r="T13" s="5"/>
      <c r="U13" s="27">
        <v>110.81</v>
      </c>
      <c r="V13" s="19">
        <v>92.03</v>
      </c>
      <c r="W13" s="5"/>
      <c r="X13" s="27">
        <v>111.13</v>
      </c>
      <c r="Y13" s="19">
        <v>91.88</v>
      </c>
      <c r="Z13" s="5"/>
      <c r="AA13" s="27">
        <v>110.55</v>
      </c>
      <c r="AB13" s="19">
        <v>92.32</v>
      </c>
      <c r="AC13" s="5"/>
      <c r="AD13" s="27">
        <v>111.66</v>
      </c>
      <c r="AE13" s="19">
        <v>91.68</v>
      </c>
      <c r="AF13" s="5"/>
      <c r="AG13" s="27">
        <v>110.84</v>
      </c>
      <c r="AH13" s="19">
        <v>91.77</v>
      </c>
      <c r="AI13" s="5"/>
      <c r="AJ13" s="27">
        <v>110.41</v>
      </c>
      <c r="AK13" s="19">
        <v>92.2</v>
      </c>
      <c r="AL13" s="5"/>
      <c r="AM13" s="27">
        <v>109.92</v>
      </c>
      <c r="AN13" s="19">
        <v>92.57</v>
      </c>
      <c r="AO13" s="5"/>
      <c r="AP13" s="27">
        <v>109.46</v>
      </c>
      <c r="AQ13" s="19">
        <v>92.92</v>
      </c>
      <c r="AR13" s="5"/>
      <c r="AS13" s="27">
        <v>109.25</v>
      </c>
      <c r="AT13" s="19">
        <v>93.01</v>
      </c>
      <c r="AU13" s="5"/>
      <c r="AV13" s="27">
        <v>109.56</v>
      </c>
      <c r="AW13" s="19">
        <v>93.14</v>
      </c>
      <c r="AX13" s="5"/>
      <c r="AY13" s="27">
        <v>109.76</v>
      </c>
      <c r="AZ13" s="19">
        <v>93.85</v>
      </c>
      <c r="BA13" s="5"/>
      <c r="BB13" s="27">
        <v>110.16</v>
      </c>
      <c r="BC13" s="19">
        <v>93.84</v>
      </c>
      <c r="BD13" s="5"/>
      <c r="BE13" s="27">
        <v>110.23</v>
      </c>
      <c r="BF13" s="19">
        <v>93.99</v>
      </c>
      <c r="BG13" s="5"/>
      <c r="BH13" s="27">
        <v>109.58</v>
      </c>
      <c r="BI13" s="19">
        <v>94.55</v>
      </c>
      <c r="BJ13" s="27"/>
      <c r="BK13" s="27">
        <v>110.03</v>
      </c>
      <c r="BL13" s="19">
        <v>94.61</v>
      </c>
      <c r="BM13" s="27"/>
      <c r="BN13" s="27">
        <v>109.83</v>
      </c>
      <c r="BO13" s="19">
        <v>94.54</v>
      </c>
      <c r="BP13" s="27">
        <f>(+C13+F13+I13+L13+O13+R13+U13+X13+AA13+AD13+AG13+AJ13+AM13+AP13+AS13+AV13+AY13+BB13+BE13+BH13+BK13+BN13)/22</f>
        <v>110.43045454545454</v>
      </c>
      <c r="BQ13" s="19">
        <f>(+D13+G13+J13+M13+P13+S13+V13+Y13+AB13+AE13+AH13+AK13+AN13+AQ13+AT13+AW13+AZ13+BC13+BF13+BI13+BL13+BO13)/22</f>
        <v>92.90909090909089</v>
      </c>
      <c r="BT13" s="9"/>
      <c r="BU13" s="31"/>
      <c r="BV13" s="32"/>
    </row>
    <row r="14" spans="1:74" ht="15.75" customHeight="1">
      <c r="A14" s="16">
        <v>2</v>
      </c>
      <c r="B14" s="17" t="s">
        <v>15</v>
      </c>
      <c r="C14" s="27">
        <f>1/1.8313</f>
        <v>0.5460601758313767</v>
      </c>
      <c r="D14" s="19">
        <v>187.53</v>
      </c>
      <c r="E14" s="5"/>
      <c r="F14" s="27">
        <f>1/1.8199</f>
        <v>0.5494807407000385</v>
      </c>
      <c r="G14" s="19">
        <v>186.82</v>
      </c>
      <c r="H14" s="5"/>
      <c r="I14" s="27">
        <f>1/1.82</f>
        <v>0.5494505494505494</v>
      </c>
      <c r="J14" s="19">
        <v>187.32</v>
      </c>
      <c r="K14" s="5"/>
      <c r="L14" s="27">
        <f>1/1.8238</f>
        <v>0.548305735277991</v>
      </c>
      <c r="M14" s="19">
        <v>188.14</v>
      </c>
      <c r="N14" s="5"/>
      <c r="O14" s="27">
        <f>1/1.8256</f>
        <v>0.5477651183172656</v>
      </c>
      <c r="P14" s="19">
        <v>188.49</v>
      </c>
      <c r="Q14" s="5"/>
      <c r="R14" s="27">
        <f>1/1.8425</f>
        <v>0.5427408412483039</v>
      </c>
      <c r="S14" s="19">
        <v>188.01</v>
      </c>
      <c r="T14" s="5"/>
      <c r="U14" s="27">
        <f>1/1.8361</f>
        <v>0.544632645280758</v>
      </c>
      <c r="V14" s="19">
        <v>187.23</v>
      </c>
      <c r="W14" s="5"/>
      <c r="X14" s="27">
        <f>1/1.8268</f>
        <v>0.5474052988832931</v>
      </c>
      <c r="Y14" s="19">
        <v>186.52</v>
      </c>
      <c r="Z14" s="5"/>
      <c r="AA14" s="27">
        <f>1/1.8322</f>
        <v>0.5457919441109049</v>
      </c>
      <c r="AB14" s="19">
        <v>187</v>
      </c>
      <c r="AC14" s="5"/>
      <c r="AD14" s="27">
        <f>1/1.8173</f>
        <v>0.5502668794365267</v>
      </c>
      <c r="AE14" s="19">
        <v>186.04</v>
      </c>
      <c r="AF14" s="5"/>
      <c r="AG14" s="27">
        <f>1/1.8427</f>
        <v>0.5426819341184131</v>
      </c>
      <c r="AH14" s="19">
        <v>187.43</v>
      </c>
      <c r="AI14" s="5"/>
      <c r="AJ14" s="27">
        <f>1/1.8371</f>
        <v>0.5443361820260193</v>
      </c>
      <c r="AK14" s="19">
        <v>187.02</v>
      </c>
      <c r="AL14" s="5"/>
      <c r="AM14" s="27">
        <f>1/1.8277</f>
        <v>0.5471357443781802</v>
      </c>
      <c r="AN14" s="19">
        <v>185.97</v>
      </c>
      <c r="AO14" s="5"/>
      <c r="AP14" s="27">
        <f>1/1.8272</f>
        <v>0.5472854640980735</v>
      </c>
      <c r="AQ14" s="19">
        <v>185.85</v>
      </c>
      <c r="AR14" s="5"/>
      <c r="AS14" s="27">
        <f>1/1.8295</f>
        <v>0.5465974309920744</v>
      </c>
      <c r="AT14" s="19">
        <v>185.91</v>
      </c>
      <c r="AU14" s="5"/>
      <c r="AV14" s="27">
        <f>1/1.8149</f>
        <v>0.550994545154003</v>
      </c>
      <c r="AW14" s="19">
        <v>185.2</v>
      </c>
      <c r="AX14" s="5"/>
      <c r="AY14" s="27">
        <f>1/1.808</f>
        <v>0.5530973451327433</v>
      </c>
      <c r="AZ14" s="19">
        <v>186.24</v>
      </c>
      <c r="BA14" s="5"/>
      <c r="BB14" s="27">
        <f>1/1.7976</f>
        <v>0.5562972852692478</v>
      </c>
      <c r="BC14" s="19">
        <v>185.83</v>
      </c>
      <c r="BD14" s="5"/>
      <c r="BE14" s="27">
        <f>1/1.7955</f>
        <v>0.556947925368978</v>
      </c>
      <c r="BF14" s="19">
        <v>186.02</v>
      </c>
      <c r="BG14" s="5"/>
      <c r="BH14" s="27">
        <f>1/1.8003</f>
        <v>0.5554629783924901</v>
      </c>
      <c r="BI14" s="19">
        <v>186.52</v>
      </c>
      <c r="BJ14" s="27"/>
      <c r="BK14" s="27">
        <f>1/1.7888</f>
        <v>0.5590339892665475</v>
      </c>
      <c r="BL14" s="19">
        <v>186.22</v>
      </c>
      <c r="BM14" s="27"/>
      <c r="BN14" s="27">
        <f>1/1.7951</f>
        <v>0.5570720294134032</v>
      </c>
      <c r="BO14" s="19">
        <v>186.39</v>
      </c>
      <c r="BP14" s="27">
        <f aca="true" t="shared" si="0" ref="BP14:BP25">(+C14+F14+I14+L14+O14+R14+U14+X14+AA14+AD14+AG14+AJ14+AM14+AP14+AS14+AV14+AY14+BB14+BE14+BH14+BK14+BN14)/22</f>
        <v>0.5494928537339628</v>
      </c>
      <c r="BQ14" s="19">
        <f aca="true" t="shared" si="1" ref="BQ14:BQ25">(+D14+G14+J14+M14+P14+S14+V14+Y14+AB14+AE14+AH14+AK14+AN14+AQ14+AT14+AW14+AZ14+BC14+BF14+BI14+BL14+BO14)/22</f>
        <v>186.7136363636363</v>
      </c>
      <c r="BT14" s="9"/>
      <c r="BU14" s="31"/>
      <c r="BV14" s="32"/>
    </row>
    <row r="15" spans="1:74" ht="15.75" customHeight="1">
      <c r="A15" s="16">
        <v>3</v>
      </c>
      <c r="B15" s="17" t="s">
        <v>16</v>
      </c>
      <c r="C15" s="27">
        <v>1.2709</v>
      </c>
      <c r="D15" s="19">
        <v>80.57</v>
      </c>
      <c r="E15" s="5"/>
      <c r="F15" s="27">
        <v>1.2795</v>
      </c>
      <c r="G15" s="19">
        <v>80.23</v>
      </c>
      <c r="H15" s="5"/>
      <c r="I15" s="27">
        <v>1.2811</v>
      </c>
      <c r="J15" s="19">
        <v>80.34</v>
      </c>
      <c r="K15" s="5"/>
      <c r="L15" s="27">
        <v>1.2754</v>
      </c>
      <c r="M15" s="19">
        <v>80.88</v>
      </c>
      <c r="N15" s="5"/>
      <c r="O15" s="27">
        <v>1.2754</v>
      </c>
      <c r="P15" s="19">
        <v>80.95</v>
      </c>
      <c r="Q15" s="5"/>
      <c r="R15" s="27">
        <v>1.2544</v>
      </c>
      <c r="S15" s="19">
        <v>81.35</v>
      </c>
      <c r="T15" s="5"/>
      <c r="U15" s="27">
        <v>1.2529</v>
      </c>
      <c r="V15" s="19">
        <v>81.39</v>
      </c>
      <c r="W15" s="5"/>
      <c r="X15" s="27">
        <v>1.2611</v>
      </c>
      <c r="Y15" s="19">
        <v>80.96</v>
      </c>
      <c r="Z15" s="5"/>
      <c r="AA15" s="27">
        <v>1.2547</v>
      </c>
      <c r="AB15" s="19">
        <v>81.34</v>
      </c>
      <c r="AC15" s="5"/>
      <c r="AD15" s="27">
        <v>1.2581</v>
      </c>
      <c r="AE15" s="19">
        <v>81.37</v>
      </c>
      <c r="AF15" s="5"/>
      <c r="AG15" s="27">
        <v>1.2415</v>
      </c>
      <c r="AH15" s="19">
        <v>81.93</v>
      </c>
      <c r="AI15" s="5"/>
      <c r="AJ15" s="27">
        <v>1.2425</v>
      </c>
      <c r="AK15" s="19">
        <v>81.93</v>
      </c>
      <c r="AL15" s="5"/>
      <c r="AM15" s="27">
        <v>1.2443</v>
      </c>
      <c r="AN15" s="19">
        <v>81.78</v>
      </c>
      <c r="AO15" s="5"/>
      <c r="AP15" s="27">
        <v>1.2411</v>
      </c>
      <c r="AQ15" s="19">
        <v>81.95</v>
      </c>
      <c r="AR15" s="5"/>
      <c r="AS15" s="27">
        <v>1.2439</v>
      </c>
      <c r="AT15" s="19">
        <v>81.69</v>
      </c>
      <c r="AU15" s="5"/>
      <c r="AV15" s="27">
        <v>1.2559</v>
      </c>
      <c r="AW15" s="19">
        <v>81.25</v>
      </c>
      <c r="AX15" s="5"/>
      <c r="AY15" s="27">
        <v>1.267</v>
      </c>
      <c r="AZ15" s="19">
        <v>81.3</v>
      </c>
      <c r="BA15" s="5"/>
      <c r="BB15" s="27">
        <v>1.2724</v>
      </c>
      <c r="BC15" s="19">
        <v>81.24</v>
      </c>
      <c r="BD15" s="5"/>
      <c r="BE15" s="27">
        <v>1.2757</v>
      </c>
      <c r="BF15" s="19">
        <v>81.21</v>
      </c>
      <c r="BG15" s="5"/>
      <c r="BH15" s="27">
        <v>1.2735</v>
      </c>
      <c r="BI15" s="19">
        <v>81.36</v>
      </c>
      <c r="BJ15" s="27"/>
      <c r="BK15" s="27">
        <v>1.279</v>
      </c>
      <c r="BL15" s="19">
        <v>81.39</v>
      </c>
      <c r="BM15" s="27"/>
      <c r="BN15" s="27">
        <v>1.2761</v>
      </c>
      <c r="BO15" s="19">
        <v>81.37</v>
      </c>
      <c r="BP15" s="27">
        <f t="shared" si="0"/>
        <v>1.2625636363636363</v>
      </c>
      <c r="BQ15" s="19">
        <f t="shared" si="1"/>
        <v>81.26272727272728</v>
      </c>
      <c r="BT15" s="9"/>
      <c r="BU15" s="31"/>
      <c r="BV15" s="32"/>
    </row>
    <row r="16" spans="1:74" ht="15.75" customHeight="1">
      <c r="A16" s="16">
        <v>4</v>
      </c>
      <c r="B16" s="17" t="s">
        <v>17</v>
      </c>
      <c r="C16" s="27">
        <f>1/1.2074</f>
        <v>0.8282259400364419</v>
      </c>
      <c r="D16" s="19">
        <v>123.64</v>
      </c>
      <c r="E16" s="5"/>
      <c r="F16" s="27">
        <f>1/1.2015</f>
        <v>0.8322929671244278</v>
      </c>
      <c r="G16" s="19">
        <v>123.34</v>
      </c>
      <c r="H16" s="5"/>
      <c r="I16" s="27">
        <f>1/1.2008</f>
        <v>0.832778147901399</v>
      </c>
      <c r="J16" s="19">
        <v>123.59</v>
      </c>
      <c r="K16" s="5"/>
      <c r="L16" s="27">
        <f>1/1.2057</f>
        <v>0.829393713195654</v>
      </c>
      <c r="M16" s="19">
        <v>124.38</v>
      </c>
      <c r="N16" s="5"/>
      <c r="O16" s="27">
        <f>1/1.2059</f>
        <v>0.8292561572269674</v>
      </c>
      <c r="P16" s="19">
        <v>124.51</v>
      </c>
      <c r="Q16" s="5"/>
      <c r="R16" s="27">
        <f>1/1.2264</f>
        <v>0.8153946510110894</v>
      </c>
      <c r="S16" s="19">
        <v>125.14</v>
      </c>
      <c r="T16" s="5"/>
      <c r="U16" s="27">
        <f>1/1.2278</f>
        <v>0.8144648965629582</v>
      </c>
      <c r="V16" s="19">
        <v>125.2</v>
      </c>
      <c r="W16" s="5"/>
      <c r="X16" s="27">
        <f>1/1.2224</f>
        <v>0.8180628272251309</v>
      </c>
      <c r="Y16" s="19">
        <v>124.81</v>
      </c>
      <c r="Z16" s="5"/>
      <c r="AA16" s="27">
        <f>1/1.2264</f>
        <v>0.8153946510110894</v>
      </c>
      <c r="AB16" s="19">
        <v>125.17</v>
      </c>
      <c r="AC16" s="5"/>
      <c r="AD16" s="27">
        <f>1/1.2203</f>
        <v>0.8194706219782021</v>
      </c>
      <c r="AE16" s="19">
        <v>124.93</v>
      </c>
      <c r="AF16" s="5"/>
      <c r="AG16" s="27">
        <f>1/1.2343</f>
        <v>0.8101758081503687</v>
      </c>
      <c r="AH16" s="19">
        <v>125.54</v>
      </c>
      <c r="AI16" s="5"/>
      <c r="AJ16" s="27">
        <f>1/1.2342</f>
        <v>0.8102414519526819</v>
      </c>
      <c r="AK16" s="19">
        <v>125.64</v>
      </c>
      <c r="AL16" s="5"/>
      <c r="AM16" s="27">
        <f>1/1.2331</f>
        <v>0.8109642364771713</v>
      </c>
      <c r="AN16" s="19">
        <v>125.47</v>
      </c>
      <c r="AO16" s="5"/>
      <c r="AP16" s="27">
        <f>1/1.2368</f>
        <v>0.8085381630012938</v>
      </c>
      <c r="AQ16" s="19">
        <v>125.8</v>
      </c>
      <c r="AR16" s="5"/>
      <c r="AS16" s="27">
        <f>1/1.2353</f>
        <v>0.8095199546668825</v>
      </c>
      <c r="AT16" s="19">
        <v>125.53</v>
      </c>
      <c r="AU16" s="5"/>
      <c r="AV16" s="27">
        <f>1/1.226</f>
        <v>0.8156606851549756</v>
      </c>
      <c r="AW16" s="19">
        <v>125.1</v>
      </c>
      <c r="AX16" s="5"/>
      <c r="AY16" s="27">
        <f>1/1.2163</f>
        <v>0.8221655841486476</v>
      </c>
      <c r="AZ16" s="19">
        <v>125.29</v>
      </c>
      <c r="BA16" s="5"/>
      <c r="BB16" s="27">
        <v>1.2097</v>
      </c>
      <c r="BC16" s="19">
        <v>125.05</v>
      </c>
      <c r="BD16" s="5"/>
      <c r="BE16" s="27">
        <v>1.2068</v>
      </c>
      <c r="BF16" s="19">
        <v>125.03</v>
      </c>
      <c r="BG16" s="5"/>
      <c r="BH16" s="27">
        <f>1/1.2097</f>
        <v>0.8266512358435976</v>
      </c>
      <c r="BI16" s="19">
        <v>125.33</v>
      </c>
      <c r="BJ16" s="27"/>
      <c r="BK16" s="27">
        <f>1/1.2044</f>
        <v>0.8302889405513119</v>
      </c>
      <c r="BL16" s="19">
        <v>125.38</v>
      </c>
      <c r="BM16" s="27"/>
      <c r="BN16" s="27">
        <f>1/1.2082</f>
        <v>0.8276775368316505</v>
      </c>
      <c r="BO16" s="19">
        <v>125.45</v>
      </c>
      <c r="BP16" s="27">
        <f t="shared" si="0"/>
        <v>0.8555962804569064</v>
      </c>
      <c r="BQ16" s="19">
        <f t="shared" si="1"/>
        <v>124.96909090909094</v>
      </c>
      <c r="BT16" s="9"/>
      <c r="BU16" s="31"/>
      <c r="BV16" s="32"/>
    </row>
    <row r="17" spans="1:74" ht="15.75" customHeight="1">
      <c r="A17" s="16">
        <v>5</v>
      </c>
      <c r="B17" s="17" t="s">
        <v>18</v>
      </c>
      <c r="C17" s="27">
        <v>393.75</v>
      </c>
      <c r="D17" s="19">
        <v>40320</v>
      </c>
      <c r="E17" s="5"/>
      <c r="F17" s="27">
        <v>390.5</v>
      </c>
      <c r="G17" s="19">
        <v>40087.43</v>
      </c>
      <c r="H17" s="5"/>
      <c r="I17" s="27">
        <v>392.75</v>
      </c>
      <c r="J17" s="19">
        <v>40422.48</v>
      </c>
      <c r="K17" s="5"/>
      <c r="L17" s="27">
        <v>391.25</v>
      </c>
      <c r="M17" s="19">
        <v>40360.7</v>
      </c>
      <c r="N17" s="5"/>
      <c r="O17" s="27">
        <v>392</v>
      </c>
      <c r="P17" s="19">
        <v>40473.35</v>
      </c>
      <c r="Q17" s="5"/>
      <c r="R17" s="27">
        <v>398.7</v>
      </c>
      <c r="S17" s="19">
        <v>40683.68</v>
      </c>
      <c r="T17" s="5"/>
      <c r="U17" s="27">
        <v>399.25</v>
      </c>
      <c r="V17" s="19">
        <v>40713.19</v>
      </c>
      <c r="W17" s="5"/>
      <c r="X17" s="27">
        <v>395.7</v>
      </c>
      <c r="Y17" s="19">
        <v>40401.63</v>
      </c>
      <c r="Z17" s="5"/>
      <c r="AA17" s="27">
        <v>396.2</v>
      </c>
      <c r="AB17" s="19">
        <v>40436.83</v>
      </c>
      <c r="AC17" s="5"/>
      <c r="AD17" s="27">
        <v>393</v>
      </c>
      <c r="AE17" s="19">
        <v>40233.05</v>
      </c>
      <c r="AF17" s="5"/>
      <c r="AG17" s="27">
        <v>399.25</v>
      </c>
      <c r="AH17" s="19">
        <v>40609.05</v>
      </c>
      <c r="AI17" s="5"/>
      <c r="AJ17" s="27">
        <v>401.6</v>
      </c>
      <c r="AK17" s="19">
        <v>40882.55</v>
      </c>
      <c r="AL17" s="5"/>
      <c r="AM17" s="27">
        <v>403.25</v>
      </c>
      <c r="AN17" s="19">
        <v>41032.03</v>
      </c>
      <c r="AO17" s="5"/>
      <c r="AP17" s="27">
        <v>406.25</v>
      </c>
      <c r="AQ17" s="19">
        <v>41320.36</v>
      </c>
      <c r="AR17" s="5"/>
      <c r="AS17" s="27">
        <v>406</v>
      </c>
      <c r="AT17" s="19">
        <v>41256.03</v>
      </c>
      <c r="AU17" s="5"/>
      <c r="AV17" s="27">
        <v>410</v>
      </c>
      <c r="AW17" s="19">
        <v>41837.08</v>
      </c>
      <c r="AX17" s="5"/>
      <c r="AY17" s="27">
        <v>406.75</v>
      </c>
      <c r="AZ17" s="19">
        <v>41898.64</v>
      </c>
      <c r="BA17" s="5"/>
      <c r="BB17" s="27">
        <v>404.75</v>
      </c>
      <c r="BC17" s="19">
        <v>41840.69</v>
      </c>
      <c r="BD17" s="5"/>
      <c r="BE17" s="27">
        <v>405.75</v>
      </c>
      <c r="BF17" s="19">
        <v>42037.05</v>
      </c>
      <c r="BG17" s="5"/>
      <c r="BH17" s="27">
        <v>407</v>
      </c>
      <c r="BI17" s="19">
        <v>42167.91</v>
      </c>
      <c r="BJ17" s="27"/>
      <c r="BK17" s="27">
        <v>404.4</v>
      </c>
      <c r="BL17" s="19">
        <v>42098.38</v>
      </c>
      <c r="BM17" s="27"/>
      <c r="BN17" s="27">
        <v>407.75</v>
      </c>
      <c r="BO17" s="19">
        <v>42338.04</v>
      </c>
      <c r="BP17" s="27">
        <f t="shared" si="0"/>
        <v>400.26590909090913</v>
      </c>
      <c r="BQ17" s="19">
        <f t="shared" si="1"/>
        <v>41065.915909090916</v>
      </c>
      <c r="BT17" s="9"/>
      <c r="BU17" s="31"/>
      <c r="BV17" s="32"/>
    </row>
    <row r="18" spans="1:74" ht="15.75" customHeight="1">
      <c r="A18" s="16">
        <v>6</v>
      </c>
      <c r="B18" s="20" t="s">
        <v>19</v>
      </c>
      <c r="C18" s="27">
        <v>6.66</v>
      </c>
      <c r="D18" s="19">
        <v>681.98</v>
      </c>
      <c r="E18" s="5"/>
      <c r="F18" s="27">
        <v>6.53</v>
      </c>
      <c r="G18" s="19">
        <v>670.35</v>
      </c>
      <c r="H18" s="5"/>
      <c r="I18" s="27">
        <v>6.62</v>
      </c>
      <c r="J18" s="19">
        <v>681.34</v>
      </c>
      <c r="K18" s="5"/>
      <c r="L18" s="27">
        <v>6.65</v>
      </c>
      <c r="M18" s="19">
        <v>686</v>
      </c>
      <c r="N18" s="5"/>
      <c r="O18" s="27">
        <v>6.68</v>
      </c>
      <c r="P18" s="19">
        <v>689.7</v>
      </c>
      <c r="Q18" s="5"/>
      <c r="R18" s="27">
        <v>6.69</v>
      </c>
      <c r="S18" s="19">
        <v>682.65</v>
      </c>
      <c r="T18" s="5"/>
      <c r="U18" s="27">
        <v>6.67</v>
      </c>
      <c r="V18" s="19">
        <v>680.17</v>
      </c>
      <c r="W18" s="5"/>
      <c r="X18" s="27">
        <v>6.59</v>
      </c>
      <c r="Y18" s="19">
        <v>672.85</v>
      </c>
      <c r="Z18" s="5"/>
      <c r="AA18" s="27">
        <v>6.54</v>
      </c>
      <c r="AB18" s="19">
        <v>667.48</v>
      </c>
      <c r="AC18" s="5"/>
      <c r="AD18" s="27">
        <v>6.46</v>
      </c>
      <c r="AE18" s="19">
        <v>661.34</v>
      </c>
      <c r="AF18" s="5"/>
      <c r="AG18" s="27">
        <v>6.69</v>
      </c>
      <c r="AH18" s="19">
        <v>680.46</v>
      </c>
      <c r="AI18" s="5"/>
      <c r="AJ18" s="27">
        <v>6.71</v>
      </c>
      <c r="AK18" s="19">
        <v>683.07</v>
      </c>
      <c r="AL18" s="5"/>
      <c r="AM18" s="27">
        <v>6.66</v>
      </c>
      <c r="AN18" s="19">
        <v>677.68</v>
      </c>
      <c r="AO18" s="5"/>
      <c r="AP18" s="27">
        <v>6.85</v>
      </c>
      <c r="AQ18" s="19">
        <v>696.72</v>
      </c>
      <c r="AR18" s="5"/>
      <c r="AS18" s="27">
        <v>6.81</v>
      </c>
      <c r="AT18" s="19">
        <v>692</v>
      </c>
      <c r="AU18" s="5"/>
      <c r="AV18" s="27">
        <v>6.77</v>
      </c>
      <c r="AW18" s="19">
        <v>690.82</v>
      </c>
      <c r="AX18" s="5"/>
      <c r="AY18" s="27">
        <v>6.66</v>
      </c>
      <c r="AZ18" s="19">
        <v>686.04</v>
      </c>
      <c r="BA18" s="5"/>
      <c r="BB18" s="27">
        <v>6.56</v>
      </c>
      <c r="BC18" s="19">
        <v>678.13</v>
      </c>
      <c r="BD18" s="5"/>
      <c r="BE18" s="27">
        <v>6.57</v>
      </c>
      <c r="BF18" s="19">
        <v>680.67</v>
      </c>
      <c r="BG18" s="5"/>
      <c r="BH18" s="27">
        <v>6.67</v>
      </c>
      <c r="BI18" s="19">
        <v>691.06</v>
      </c>
      <c r="BJ18" s="27"/>
      <c r="BK18" s="27">
        <v>6.6</v>
      </c>
      <c r="BL18" s="19">
        <v>687.07</v>
      </c>
      <c r="BM18" s="27"/>
      <c r="BN18" s="27">
        <v>6.68</v>
      </c>
      <c r="BO18" s="19">
        <v>693.61</v>
      </c>
      <c r="BP18" s="27">
        <f t="shared" si="0"/>
        <v>6.6509090909090895</v>
      </c>
      <c r="BQ18" s="19">
        <f t="shared" si="1"/>
        <v>682.326818181818</v>
      </c>
      <c r="BT18" s="9"/>
      <c r="BU18" s="31"/>
      <c r="BV18" s="32"/>
    </row>
    <row r="19" spans="1:74" ht="15.75" customHeight="1">
      <c r="A19" s="16">
        <v>7</v>
      </c>
      <c r="B19" s="17" t="s">
        <v>20</v>
      </c>
      <c r="C19" s="27">
        <f>1/0.7052</f>
        <v>1.4180374361883152</v>
      </c>
      <c r="D19" s="19">
        <v>72.21</v>
      </c>
      <c r="E19" s="5"/>
      <c r="F19" s="27">
        <f>1/0.6995</f>
        <v>1.4295925661186561</v>
      </c>
      <c r="G19" s="19">
        <v>71.81</v>
      </c>
      <c r="H19" s="5"/>
      <c r="I19" s="27">
        <f>1/0.7021</f>
        <v>1.424298532972511</v>
      </c>
      <c r="J19" s="19">
        <v>72.26</v>
      </c>
      <c r="K19" s="5"/>
      <c r="L19" s="27">
        <f>1/0.7074</f>
        <v>1.413627367825841</v>
      </c>
      <c r="M19" s="19">
        <v>72.97</v>
      </c>
      <c r="N19" s="5"/>
      <c r="O19" s="27">
        <f>1/0.703</f>
        <v>1.4224751066856332</v>
      </c>
      <c r="P19" s="19">
        <v>72.58</v>
      </c>
      <c r="Q19" s="5"/>
      <c r="R19" s="27">
        <f>1/0.7168</f>
        <v>1.3950892857142858</v>
      </c>
      <c r="S19" s="19">
        <v>73.14</v>
      </c>
      <c r="T19" s="5"/>
      <c r="U19" s="27">
        <v>0.7148</v>
      </c>
      <c r="V19" s="19">
        <v>72.89</v>
      </c>
      <c r="W19" s="5"/>
      <c r="X19" s="27">
        <v>0.7121</v>
      </c>
      <c r="Y19" s="19">
        <v>72.71</v>
      </c>
      <c r="Z19" s="5"/>
      <c r="AA19" s="27">
        <v>0.7161</v>
      </c>
      <c r="AB19" s="19">
        <v>73.09</v>
      </c>
      <c r="AC19" s="5"/>
      <c r="AD19" s="27">
        <f>1/0.7083</f>
        <v>1.4118311449950585</v>
      </c>
      <c r="AE19" s="19">
        <v>72.51</v>
      </c>
      <c r="AF19" s="5"/>
      <c r="AG19" s="27">
        <f>1/0.7174</f>
        <v>1.3939224979091163</v>
      </c>
      <c r="AH19" s="19">
        <v>72.97</v>
      </c>
      <c r="AI19" s="5"/>
      <c r="AJ19" s="27">
        <f>1/0.7181</f>
        <v>1.392563709789723</v>
      </c>
      <c r="AK19" s="19">
        <v>73.1</v>
      </c>
      <c r="AL19" s="5"/>
      <c r="AM19" s="27">
        <f>1/0.7154</f>
        <v>1.3978194017332959</v>
      </c>
      <c r="AN19" s="19">
        <v>72.79</v>
      </c>
      <c r="AO19" s="5"/>
      <c r="AP19" s="27">
        <f>1/0.7205</f>
        <v>1.3879250520471893</v>
      </c>
      <c r="AQ19" s="19">
        <v>73.28</v>
      </c>
      <c r="AR19" s="5"/>
      <c r="AS19" s="27">
        <f>1/0.7228</f>
        <v>1.3835085777531821</v>
      </c>
      <c r="AT19" s="19">
        <v>73.45</v>
      </c>
      <c r="AU19" s="5"/>
      <c r="AV19" s="27">
        <f>1/0.7199</f>
        <v>1.3890818169190167</v>
      </c>
      <c r="AW19" s="19">
        <v>73.46</v>
      </c>
      <c r="AX19" s="5"/>
      <c r="AY19" s="27">
        <f>1/0.7101</f>
        <v>1.4082523588227012</v>
      </c>
      <c r="AZ19" s="19">
        <v>73.15</v>
      </c>
      <c r="BA19" s="18"/>
      <c r="BB19" s="27">
        <f>1/0.7063</f>
        <v>1.4158289678606824</v>
      </c>
      <c r="BC19" s="19">
        <v>73.01</v>
      </c>
      <c r="BD19" s="18"/>
      <c r="BE19" s="27">
        <f>1/0.7053</f>
        <v>1.4178363816815538</v>
      </c>
      <c r="BF19" s="19">
        <v>73.07</v>
      </c>
      <c r="BG19" s="18"/>
      <c r="BH19" s="27">
        <f>1/0.7067</f>
        <v>1.4150275930380642</v>
      </c>
      <c r="BI19" s="19">
        <v>73.22</v>
      </c>
      <c r="BJ19" s="27"/>
      <c r="BK19" s="27">
        <f>1/0.6985</f>
        <v>1.4316392269148175</v>
      </c>
      <c r="BL19" s="19">
        <v>72.71</v>
      </c>
      <c r="BM19" s="27"/>
      <c r="BN19" s="27">
        <f>1/0.6982</f>
        <v>1.4322543683758235</v>
      </c>
      <c r="BO19" s="19">
        <v>72.5</v>
      </c>
      <c r="BP19" s="27">
        <f t="shared" si="0"/>
        <v>1.3147096087884305</v>
      </c>
      <c r="BQ19" s="19">
        <f t="shared" si="1"/>
        <v>72.85818181818182</v>
      </c>
      <c r="BT19" s="24"/>
      <c r="BU19" s="31"/>
      <c r="BV19" s="32"/>
    </row>
    <row r="20" spans="1:74" ht="15.75" customHeight="1">
      <c r="A20" s="16">
        <v>8</v>
      </c>
      <c r="B20" s="17" t="s">
        <v>21</v>
      </c>
      <c r="C20" s="27">
        <v>1.3257</v>
      </c>
      <c r="D20" s="19">
        <v>77.24</v>
      </c>
      <c r="E20" s="5"/>
      <c r="F20" s="27">
        <v>1.3302</v>
      </c>
      <c r="G20" s="19">
        <v>77.17</v>
      </c>
      <c r="H20" s="5"/>
      <c r="I20" s="27">
        <v>1.3203</v>
      </c>
      <c r="J20" s="19">
        <v>77.95</v>
      </c>
      <c r="K20" s="5"/>
      <c r="L20" s="27">
        <v>1.3171</v>
      </c>
      <c r="M20" s="19">
        <v>78.32</v>
      </c>
      <c r="N20" s="5"/>
      <c r="O20" s="27">
        <v>1.3186</v>
      </c>
      <c r="P20" s="19">
        <v>78.3</v>
      </c>
      <c r="Q20" s="5"/>
      <c r="R20" s="27">
        <v>1.3122</v>
      </c>
      <c r="S20" s="19">
        <v>77.76</v>
      </c>
      <c r="T20" s="5"/>
      <c r="U20" s="27">
        <v>1.3181</v>
      </c>
      <c r="V20" s="19">
        <v>77.36</v>
      </c>
      <c r="W20" s="5"/>
      <c r="X20" s="27">
        <v>1.3238</v>
      </c>
      <c r="Y20" s="19">
        <v>77.13</v>
      </c>
      <c r="Z20" s="5"/>
      <c r="AA20" s="27">
        <v>1.3228</v>
      </c>
      <c r="AB20" s="19">
        <v>77.16</v>
      </c>
      <c r="AC20" s="5"/>
      <c r="AD20" s="27">
        <v>1.3316</v>
      </c>
      <c r="AE20" s="19">
        <v>76.88</v>
      </c>
      <c r="AF20" s="5"/>
      <c r="AG20" s="27">
        <v>1.3114</v>
      </c>
      <c r="AH20" s="19">
        <v>77.56</v>
      </c>
      <c r="AI20" s="5"/>
      <c r="AJ20" s="27">
        <v>1.3043</v>
      </c>
      <c r="AK20" s="19">
        <v>78.05</v>
      </c>
      <c r="AL20" s="5"/>
      <c r="AM20" s="27">
        <v>1.3054</v>
      </c>
      <c r="AN20" s="19">
        <v>77.95</v>
      </c>
      <c r="AO20" s="5"/>
      <c r="AP20" s="27">
        <v>1.302</v>
      </c>
      <c r="AQ20" s="19">
        <v>78.12</v>
      </c>
      <c r="AR20" s="5"/>
      <c r="AS20" s="27">
        <v>1.2975</v>
      </c>
      <c r="AT20" s="19">
        <v>78.32</v>
      </c>
      <c r="AU20" s="5"/>
      <c r="AV20" s="27">
        <v>1.3009</v>
      </c>
      <c r="AW20" s="19">
        <v>78.44</v>
      </c>
      <c r="AX20" s="5"/>
      <c r="AY20" s="27">
        <v>1.3044</v>
      </c>
      <c r="AZ20" s="19">
        <v>78.97</v>
      </c>
      <c r="BA20" s="5"/>
      <c r="BB20" s="27">
        <v>1.3051</v>
      </c>
      <c r="BC20" s="19">
        <v>79.21</v>
      </c>
      <c r="BD20" s="5"/>
      <c r="BE20" s="27">
        <v>1.3082</v>
      </c>
      <c r="BF20" s="19">
        <v>79.2</v>
      </c>
      <c r="BG20" s="5"/>
      <c r="BH20" s="27">
        <v>1.3073</v>
      </c>
      <c r="BI20" s="19">
        <v>79.25</v>
      </c>
      <c r="BJ20" s="27"/>
      <c r="BK20" s="27">
        <v>1.3162</v>
      </c>
      <c r="BL20" s="19">
        <v>79.09</v>
      </c>
      <c r="BM20" s="27"/>
      <c r="BN20" s="27">
        <v>1.3163</v>
      </c>
      <c r="BO20" s="19">
        <v>78.88</v>
      </c>
      <c r="BP20" s="27">
        <f t="shared" si="0"/>
        <v>1.313609090909091</v>
      </c>
      <c r="BQ20" s="19">
        <f t="shared" si="1"/>
        <v>78.105</v>
      </c>
      <c r="BT20" s="9"/>
      <c r="BU20" s="31"/>
      <c r="BV20" s="32"/>
    </row>
    <row r="21" spans="1:74" ht="15.75" customHeight="1">
      <c r="A21" s="16">
        <v>9</v>
      </c>
      <c r="B21" s="17" t="s">
        <v>22</v>
      </c>
      <c r="C21" s="27">
        <v>7.6332</v>
      </c>
      <c r="D21" s="19">
        <v>13.42</v>
      </c>
      <c r="E21" s="5"/>
      <c r="F21" s="27">
        <v>7.655</v>
      </c>
      <c r="G21" s="19">
        <v>13.41</v>
      </c>
      <c r="H21" s="5"/>
      <c r="I21" s="27">
        <v>7.6543</v>
      </c>
      <c r="J21" s="19">
        <v>13.45</v>
      </c>
      <c r="K21" s="5"/>
      <c r="L21" s="27">
        <v>7.619</v>
      </c>
      <c r="M21" s="19">
        <v>13.54</v>
      </c>
      <c r="N21" s="5"/>
      <c r="O21" s="27">
        <v>7.6187</v>
      </c>
      <c r="P21" s="19">
        <v>13.55</v>
      </c>
      <c r="Q21" s="5"/>
      <c r="R21" s="27">
        <v>7.4952</v>
      </c>
      <c r="S21" s="19">
        <v>13.61</v>
      </c>
      <c r="T21" s="5"/>
      <c r="U21" s="27">
        <v>7.474</v>
      </c>
      <c r="V21" s="19">
        <v>13.64</v>
      </c>
      <c r="W21" s="5"/>
      <c r="X21" s="27">
        <v>7.5218</v>
      </c>
      <c r="Y21" s="19">
        <v>13.57</v>
      </c>
      <c r="Z21" s="5"/>
      <c r="AA21" s="27">
        <v>7.5009</v>
      </c>
      <c r="AB21" s="19">
        <v>13.61</v>
      </c>
      <c r="AC21" s="5"/>
      <c r="AD21" s="27">
        <v>7.55</v>
      </c>
      <c r="AE21" s="19">
        <v>13.56</v>
      </c>
      <c r="AF21" s="5"/>
      <c r="AG21" s="27">
        <v>7.4785</v>
      </c>
      <c r="AH21" s="19">
        <v>13.6</v>
      </c>
      <c r="AI21" s="5"/>
      <c r="AJ21" s="27">
        <v>7.4723</v>
      </c>
      <c r="AK21" s="19">
        <v>13.62</v>
      </c>
      <c r="AL21" s="5"/>
      <c r="AM21" s="27">
        <v>7.47</v>
      </c>
      <c r="AN21" s="19">
        <v>13.62</v>
      </c>
      <c r="AO21" s="5"/>
      <c r="AP21" s="27">
        <v>7.454</v>
      </c>
      <c r="AQ21" s="19">
        <v>13.65</v>
      </c>
      <c r="AR21" s="5"/>
      <c r="AS21" s="27">
        <v>7.4511</v>
      </c>
      <c r="AT21" s="19">
        <v>13.64</v>
      </c>
      <c r="AU21" s="5"/>
      <c r="AV21" s="27">
        <v>7.4615</v>
      </c>
      <c r="AW21" s="19">
        <v>13.68</v>
      </c>
      <c r="AX21" s="5"/>
      <c r="AY21" s="27">
        <v>7.534</v>
      </c>
      <c r="AZ21" s="19">
        <v>13.67</v>
      </c>
      <c r="BA21" s="5"/>
      <c r="BB21" s="27">
        <v>7.5675</v>
      </c>
      <c r="BC21" s="19">
        <v>13.66</v>
      </c>
      <c r="BD21" s="5"/>
      <c r="BE21" s="27">
        <v>7.576</v>
      </c>
      <c r="BF21" s="19">
        <v>13.68</v>
      </c>
      <c r="BG21" s="5"/>
      <c r="BH21" s="27">
        <v>7.5427</v>
      </c>
      <c r="BI21" s="19">
        <v>13.74</v>
      </c>
      <c r="BJ21" s="27"/>
      <c r="BK21" s="27">
        <v>7.5775</v>
      </c>
      <c r="BL21" s="19">
        <v>13.74</v>
      </c>
      <c r="BM21" s="27"/>
      <c r="BN21" s="27">
        <v>7.5539</v>
      </c>
      <c r="BO21" s="19">
        <v>13.75</v>
      </c>
      <c r="BP21" s="27">
        <f t="shared" si="0"/>
        <v>7.539140909090907</v>
      </c>
      <c r="BQ21" s="19">
        <f t="shared" si="1"/>
        <v>13.609545454545456</v>
      </c>
      <c r="BT21" s="9"/>
      <c r="BU21" s="31"/>
      <c r="BV21" s="32"/>
    </row>
    <row r="22" spans="1:74" ht="15.75" customHeight="1">
      <c r="A22" s="16">
        <v>10</v>
      </c>
      <c r="B22" s="17" t="s">
        <v>23</v>
      </c>
      <c r="C22" s="27">
        <v>6.9715</v>
      </c>
      <c r="D22" s="19">
        <v>14.69</v>
      </c>
      <c r="E22" s="5"/>
      <c r="F22" s="27">
        <v>7.0135</v>
      </c>
      <c r="G22" s="19">
        <v>14.64</v>
      </c>
      <c r="H22" s="5"/>
      <c r="I22" s="27">
        <v>7.0011</v>
      </c>
      <c r="J22" s="19">
        <v>14.7</v>
      </c>
      <c r="K22" s="5"/>
      <c r="L22" s="27">
        <v>6.9497</v>
      </c>
      <c r="M22" s="19">
        <v>14.84</v>
      </c>
      <c r="N22" s="5"/>
      <c r="O22" s="27">
        <v>6.9145</v>
      </c>
      <c r="P22" s="19">
        <v>14.93</v>
      </c>
      <c r="Q22" s="5"/>
      <c r="R22" s="27">
        <v>6.792</v>
      </c>
      <c r="S22" s="19">
        <v>15.02</v>
      </c>
      <c r="T22" s="5"/>
      <c r="U22" s="27">
        <v>6.7642</v>
      </c>
      <c r="V22" s="19">
        <v>15.08</v>
      </c>
      <c r="W22" s="5"/>
      <c r="X22" s="27">
        <v>6.8166</v>
      </c>
      <c r="Y22" s="19">
        <v>14.98</v>
      </c>
      <c r="Z22" s="5"/>
      <c r="AA22" s="27">
        <v>6.7803</v>
      </c>
      <c r="AB22" s="19">
        <v>15.05</v>
      </c>
      <c r="AC22" s="5"/>
      <c r="AD22" s="27">
        <v>6.7905</v>
      </c>
      <c r="AE22" s="19">
        <v>15.08</v>
      </c>
      <c r="AF22" s="5"/>
      <c r="AG22" s="27">
        <v>6.7067</v>
      </c>
      <c r="AH22" s="19">
        <v>15.17</v>
      </c>
      <c r="AI22" s="5"/>
      <c r="AJ22" s="27">
        <v>6.7065</v>
      </c>
      <c r="AK22" s="19">
        <v>15.18</v>
      </c>
      <c r="AL22" s="5"/>
      <c r="AM22" s="27">
        <v>6.7316</v>
      </c>
      <c r="AN22" s="19">
        <v>15.12</v>
      </c>
      <c r="AO22" s="5"/>
      <c r="AP22" s="27">
        <v>6.7101</v>
      </c>
      <c r="AQ22" s="19">
        <v>15.16</v>
      </c>
      <c r="AR22" s="5"/>
      <c r="AS22" s="27">
        <v>6.6909</v>
      </c>
      <c r="AT22" s="19">
        <v>15.19</v>
      </c>
      <c r="AU22" s="5"/>
      <c r="AV22" s="27">
        <v>6.7414</v>
      </c>
      <c r="AW22" s="19">
        <v>15.14</v>
      </c>
      <c r="AX22" s="5"/>
      <c r="AY22" s="27">
        <v>6.799</v>
      </c>
      <c r="AZ22" s="19">
        <v>15.15</v>
      </c>
      <c r="BA22" s="5"/>
      <c r="BB22" s="27">
        <v>6.8715</v>
      </c>
      <c r="BC22" s="19">
        <v>15.04</v>
      </c>
      <c r="BD22" s="5"/>
      <c r="BE22" s="27">
        <v>6.9078</v>
      </c>
      <c r="BF22" s="19">
        <v>15</v>
      </c>
      <c r="BG22" s="5"/>
      <c r="BH22" s="27">
        <v>6.9092</v>
      </c>
      <c r="BI22" s="19">
        <v>15</v>
      </c>
      <c r="BJ22" s="27"/>
      <c r="BK22" s="27">
        <v>6.9341</v>
      </c>
      <c r="BL22" s="19">
        <v>15.01</v>
      </c>
      <c r="BM22" s="27"/>
      <c r="BN22" s="27">
        <v>6.9566</v>
      </c>
      <c r="BO22" s="19">
        <v>14.93</v>
      </c>
      <c r="BP22" s="27">
        <f t="shared" si="0"/>
        <v>6.839059090909092</v>
      </c>
      <c r="BQ22" s="19">
        <f t="shared" si="1"/>
        <v>15.004545454545456</v>
      </c>
      <c r="BT22" s="9"/>
      <c r="BU22" s="31"/>
      <c r="BV22" s="32"/>
    </row>
    <row r="23" spans="1:74" ht="15.75" customHeight="1">
      <c r="A23" s="16">
        <v>11</v>
      </c>
      <c r="B23" s="17" t="s">
        <v>24</v>
      </c>
      <c r="C23" s="27">
        <v>6.1574</v>
      </c>
      <c r="D23" s="19">
        <v>16.63</v>
      </c>
      <c r="E23" s="5"/>
      <c r="F23" s="27">
        <v>6.1861</v>
      </c>
      <c r="G23" s="19">
        <v>16.59</v>
      </c>
      <c r="H23" s="5"/>
      <c r="I23" s="27">
        <v>6.1891</v>
      </c>
      <c r="J23" s="19">
        <v>16.63</v>
      </c>
      <c r="K23" s="5"/>
      <c r="L23" s="27">
        <v>6.1641</v>
      </c>
      <c r="M23" s="19">
        <v>16.74</v>
      </c>
      <c r="N23" s="5"/>
      <c r="O23" s="27">
        <v>6.1642</v>
      </c>
      <c r="P23" s="19">
        <v>16.75</v>
      </c>
      <c r="Q23" s="5"/>
      <c r="R23" s="27">
        <v>6.0599</v>
      </c>
      <c r="S23" s="19">
        <v>16.84</v>
      </c>
      <c r="T23" s="5"/>
      <c r="U23" s="27">
        <v>6.0542</v>
      </c>
      <c r="V23" s="19">
        <v>16.84</v>
      </c>
      <c r="W23" s="5"/>
      <c r="X23" s="27">
        <v>6.0827</v>
      </c>
      <c r="Y23" s="19">
        <v>16.79</v>
      </c>
      <c r="Z23" s="5"/>
      <c r="AA23" s="27">
        <v>6.0625</v>
      </c>
      <c r="AB23" s="19">
        <v>16.83</v>
      </c>
      <c r="AC23" s="5"/>
      <c r="AD23" s="27">
        <v>6.0942</v>
      </c>
      <c r="AE23" s="19">
        <v>16.8</v>
      </c>
      <c r="AF23" s="5"/>
      <c r="AG23" s="27">
        <v>6.0243</v>
      </c>
      <c r="AH23" s="19">
        <v>16.88</v>
      </c>
      <c r="AI23" s="5"/>
      <c r="AJ23" s="27">
        <v>6.0222</v>
      </c>
      <c r="AK23" s="19">
        <v>16.9</v>
      </c>
      <c r="AL23" s="5"/>
      <c r="AM23" s="27">
        <v>6.0284</v>
      </c>
      <c r="AN23" s="19">
        <v>16.88</v>
      </c>
      <c r="AO23" s="5"/>
      <c r="AP23" s="27">
        <v>6.0108</v>
      </c>
      <c r="AQ23" s="19">
        <v>16.92</v>
      </c>
      <c r="AR23" s="5"/>
      <c r="AS23" s="27">
        <v>6.0196</v>
      </c>
      <c r="AT23" s="19">
        <v>16.88</v>
      </c>
      <c r="AU23" s="5"/>
      <c r="AV23" s="27">
        <v>6.065</v>
      </c>
      <c r="AW23" s="19">
        <v>16.82</v>
      </c>
      <c r="AX23" s="5"/>
      <c r="AY23" s="27">
        <v>6.1133</v>
      </c>
      <c r="AZ23" s="19">
        <v>16.85</v>
      </c>
      <c r="BA23" s="5"/>
      <c r="BB23" s="27">
        <v>6.1461</v>
      </c>
      <c r="BC23" s="19">
        <v>16.82</v>
      </c>
      <c r="BD23" s="5"/>
      <c r="BE23" s="27">
        <v>6.1599</v>
      </c>
      <c r="BF23" s="19">
        <v>16.82</v>
      </c>
      <c r="BG23" s="5"/>
      <c r="BH23" s="27">
        <v>6.1456</v>
      </c>
      <c r="BI23" s="19">
        <v>16.86</v>
      </c>
      <c r="BJ23" s="27"/>
      <c r="BK23" s="27">
        <v>6.1733</v>
      </c>
      <c r="BL23" s="19">
        <v>16.86</v>
      </c>
      <c r="BM23" s="27"/>
      <c r="BN23" s="27">
        <v>6.1541</v>
      </c>
      <c r="BO23" s="19">
        <v>16.87</v>
      </c>
      <c r="BP23" s="27">
        <f t="shared" si="0"/>
        <v>6.1035</v>
      </c>
      <c r="BQ23" s="19">
        <f t="shared" si="1"/>
        <v>16.80909090909091</v>
      </c>
      <c r="BT23" s="9"/>
      <c r="BU23" s="31"/>
      <c r="BV23" s="32"/>
    </row>
    <row r="24" spans="1:74" ht="15.75" customHeight="1">
      <c r="A24" s="16">
        <v>12</v>
      </c>
      <c r="B24" s="17" t="s">
        <v>25</v>
      </c>
      <c r="C24" s="27">
        <f>1/1.45776</f>
        <v>0.6859839754143343</v>
      </c>
      <c r="D24" s="19">
        <v>149.27</v>
      </c>
      <c r="E24" s="5"/>
      <c r="F24" s="27">
        <f>1/1.46088</f>
        <v>0.6845189201029517</v>
      </c>
      <c r="G24" s="19">
        <v>149.97</v>
      </c>
      <c r="H24" s="5"/>
      <c r="I24" s="27">
        <f>1/1.45696</f>
        <v>0.6863606413353832</v>
      </c>
      <c r="J24" s="19">
        <v>149.95</v>
      </c>
      <c r="K24" s="5"/>
      <c r="L24" s="27">
        <f>1/1.456</f>
        <v>0.6868131868131868</v>
      </c>
      <c r="M24" s="19">
        <v>150.2</v>
      </c>
      <c r="N24" s="5"/>
      <c r="O24" s="27">
        <f>1/1.45895</f>
        <v>0.685424449090099</v>
      </c>
      <c r="P24" s="19">
        <v>150.63</v>
      </c>
      <c r="Q24" s="5"/>
      <c r="R24" s="27">
        <f>1/1.45777</f>
        <v>0.6859792697064695</v>
      </c>
      <c r="S24" s="19">
        <v>148.75</v>
      </c>
      <c r="T24" s="5"/>
      <c r="U24" s="27">
        <f>1/1.47007</f>
        <v>0.6802397164760862</v>
      </c>
      <c r="V24" s="19">
        <v>149.91</v>
      </c>
      <c r="W24" s="5"/>
      <c r="X24" s="27">
        <f>1/1.47052</f>
        <v>0.6800315534640807</v>
      </c>
      <c r="Y24" s="19">
        <v>150.14</v>
      </c>
      <c r="Z24" s="5"/>
      <c r="AA24" s="27">
        <f>1/1.46682</f>
        <v>0.681746908277771</v>
      </c>
      <c r="AB24" s="19">
        <v>149.71</v>
      </c>
      <c r="AC24" s="5"/>
      <c r="AD24" s="27">
        <f>1/1.46921</f>
        <v>0.6806378938341013</v>
      </c>
      <c r="AE24" s="19">
        <v>150.41</v>
      </c>
      <c r="AF24" s="5"/>
      <c r="AG24" s="27">
        <f>1/1.46372</f>
        <v>0.6831907741917853</v>
      </c>
      <c r="AH24" s="19">
        <v>148.88</v>
      </c>
      <c r="AI24" s="5"/>
      <c r="AJ24" s="27">
        <f>1/1.47332</f>
        <v>0.6787391741101729</v>
      </c>
      <c r="AK24" s="19">
        <v>149.98</v>
      </c>
      <c r="AL24" s="5"/>
      <c r="AM24" s="27">
        <f>1/1.47317</f>
        <v>0.6788082841763</v>
      </c>
      <c r="AN24" s="19">
        <v>149.9</v>
      </c>
      <c r="AO24" s="5"/>
      <c r="AP24" s="27">
        <f>1/1.47271</f>
        <v>0.6790203094974571</v>
      </c>
      <c r="AQ24" s="19">
        <v>149.79</v>
      </c>
      <c r="AR24" s="5"/>
      <c r="AS24" s="27">
        <f>1/1.47516</f>
        <v>0.677892567585889</v>
      </c>
      <c r="AT24" s="19">
        <v>149.9</v>
      </c>
      <c r="AU24" s="5"/>
      <c r="AV24" s="27">
        <f>1/1.47349</f>
        <v>0.678660866378462</v>
      </c>
      <c r="AW24" s="19">
        <v>150.36</v>
      </c>
      <c r="AX24" s="5"/>
      <c r="AY24" s="27">
        <f>1/1.46956</f>
        <v>0.6804757886714391</v>
      </c>
      <c r="AZ24" s="19">
        <v>151.38</v>
      </c>
      <c r="BA24" s="5"/>
      <c r="BB24" s="27">
        <f>1/1.46268</f>
        <v>0.6836765389558892</v>
      </c>
      <c r="BC24" s="19">
        <v>151.2</v>
      </c>
      <c r="BD24" s="5"/>
      <c r="BE24" s="27">
        <f>1/1.45922</f>
        <v>0.6852976247584326</v>
      </c>
      <c r="BF24" s="19">
        <v>151.18</v>
      </c>
      <c r="BG24" s="5"/>
      <c r="BH24" s="27">
        <f>1/1.45872</f>
        <v>0.6855325216628276</v>
      </c>
      <c r="BI24" s="19">
        <v>151.13</v>
      </c>
      <c r="BJ24" s="27"/>
      <c r="BK24" s="27">
        <f>1/1.46164</f>
        <v>0.6841629949919269</v>
      </c>
      <c r="BL24" s="19">
        <v>152.16</v>
      </c>
      <c r="BM24" s="27"/>
      <c r="BN24" s="27">
        <f>1/1.45794</f>
        <v>0.6858992825493504</v>
      </c>
      <c r="BO24" s="19">
        <v>151.38</v>
      </c>
      <c r="BP24" s="27">
        <f t="shared" si="0"/>
        <v>0.6826860564565633</v>
      </c>
      <c r="BQ24" s="19">
        <f t="shared" si="1"/>
        <v>150.2809090909091</v>
      </c>
      <c r="BT24" s="9"/>
      <c r="BU24" s="31"/>
      <c r="BV24" s="32"/>
    </row>
    <row r="25" spans="1:74" ht="15.75" customHeight="1" thickBot="1">
      <c r="A25" s="35">
        <v>13</v>
      </c>
      <c r="B25" s="36" t="s">
        <v>26</v>
      </c>
      <c r="C25" s="28">
        <v>1</v>
      </c>
      <c r="D25" s="22">
        <v>102.4</v>
      </c>
      <c r="E25" s="21"/>
      <c r="F25" s="28">
        <v>1</v>
      </c>
      <c r="G25" s="22">
        <v>102.66</v>
      </c>
      <c r="H25" s="21"/>
      <c r="I25" s="28">
        <v>1</v>
      </c>
      <c r="J25" s="22">
        <v>102.92</v>
      </c>
      <c r="K25" s="21"/>
      <c r="L25" s="28">
        <v>1</v>
      </c>
      <c r="M25" s="22">
        <v>103.16</v>
      </c>
      <c r="N25" s="21"/>
      <c r="O25" s="28">
        <v>1</v>
      </c>
      <c r="P25" s="22">
        <v>103.25</v>
      </c>
      <c r="Q25" s="21"/>
      <c r="R25" s="28">
        <v>1</v>
      </c>
      <c r="S25" s="22">
        <v>102.04</v>
      </c>
      <c r="T25" s="21"/>
      <c r="U25" s="28">
        <v>1</v>
      </c>
      <c r="V25" s="22">
        <v>101.97</v>
      </c>
      <c r="W25" s="21"/>
      <c r="X25" s="28">
        <v>1</v>
      </c>
      <c r="Y25" s="22">
        <v>102.1</v>
      </c>
      <c r="Z25" s="21"/>
      <c r="AA25" s="28">
        <v>1</v>
      </c>
      <c r="AB25" s="22">
        <v>102.06</v>
      </c>
      <c r="AC25" s="21"/>
      <c r="AD25" s="28">
        <v>1</v>
      </c>
      <c r="AE25" s="22">
        <v>102.37</v>
      </c>
      <c r="AF25" s="21"/>
      <c r="AG25" s="28">
        <v>1</v>
      </c>
      <c r="AH25" s="22">
        <v>101.71</v>
      </c>
      <c r="AI25" s="21"/>
      <c r="AJ25" s="28">
        <v>1</v>
      </c>
      <c r="AK25" s="22">
        <v>101.8</v>
      </c>
      <c r="AL25" s="21"/>
      <c r="AM25" s="28">
        <v>1</v>
      </c>
      <c r="AN25" s="22">
        <v>101.75</v>
      </c>
      <c r="AO25" s="21"/>
      <c r="AP25" s="28">
        <v>1</v>
      </c>
      <c r="AQ25" s="22">
        <v>101.71</v>
      </c>
      <c r="AR25" s="21"/>
      <c r="AS25" s="28">
        <v>1</v>
      </c>
      <c r="AT25" s="22">
        <v>101.62</v>
      </c>
      <c r="AU25" s="21"/>
      <c r="AV25" s="28">
        <v>1</v>
      </c>
      <c r="AW25" s="22">
        <v>102.04</v>
      </c>
      <c r="AX25" s="21"/>
      <c r="AY25" s="28">
        <v>1</v>
      </c>
      <c r="AZ25" s="22">
        <v>103.01</v>
      </c>
      <c r="BA25" s="21"/>
      <c r="BB25" s="28">
        <v>1</v>
      </c>
      <c r="BC25" s="22">
        <v>103.37</v>
      </c>
      <c r="BD25" s="21"/>
      <c r="BE25" s="28">
        <v>1</v>
      </c>
      <c r="BF25" s="22">
        <v>103.6</v>
      </c>
      <c r="BG25" s="21"/>
      <c r="BH25" s="28">
        <v>1</v>
      </c>
      <c r="BI25" s="22">
        <v>103.61</v>
      </c>
      <c r="BJ25" s="28"/>
      <c r="BK25" s="28">
        <v>1</v>
      </c>
      <c r="BL25" s="22">
        <v>104.1</v>
      </c>
      <c r="BM25" s="28"/>
      <c r="BN25" s="28">
        <v>1</v>
      </c>
      <c r="BO25" s="22">
        <v>103.83</v>
      </c>
      <c r="BP25" s="28">
        <f t="shared" si="0"/>
        <v>1</v>
      </c>
      <c r="BQ25" s="22">
        <f t="shared" si="1"/>
        <v>102.59454545454545</v>
      </c>
      <c r="BT25" s="9"/>
      <c r="BU25" s="31"/>
      <c r="BV25" s="32"/>
    </row>
    <row r="26" spans="1:74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2"/>
      <c r="BT26" s="9"/>
      <c r="BU26" s="31"/>
      <c r="BV26" s="32"/>
    </row>
    <row r="27" spans="1:74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T27" s="40"/>
      <c r="BU27" s="40"/>
      <c r="BV27" s="40"/>
    </row>
    <row r="28" spans="1:56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204</v>
      </c>
      <c r="D4" s="4"/>
      <c r="E4" s="10"/>
      <c r="F4" s="4" t="s">
        <v>205</v>
      </c>
      <c r="G4" s="4"/>
      <c r="H4" s="10"/>
      <c r="I4" s="4" t="s">
        <v>206</v>
      </c>
      <c r="J4" s="4"/>
      <c r="K4" s="10"/>
      <c r="L4" s="4" t="s">
        <v>207</v>
      </c>
      <c r="M4" s="4"/>
      <c r="N4" s="10"/>
      <c r="O4" s="4" t="s">
        <v>208</v>
      </c>
      <c r="P4" s="4"/>
      <c r="Q4" s="10"/>
      <c r="R4" s="4" t="s">
        <v>209</v>
      </c>
      <c r="S4" s="4"/>
      <c r="T4" s="10"/>
      <c r="U4" s="4" t="s">
        <v>210</v>
      </c>
      <c r="V4" s="4"/>
      <c r="W4" s="10"/>
      <c r="X4" s="4" t="s">
        <v>211</v>
      </c>
      <c r="Y4" s="4"/>
      <c r="Z4" s="10"/>
      <c r="AA4" s="4" t="s">
        <v>212</v>
      </c>
      <c r="AB4" s="4"/>
      <c r="AC4" s="10"/>
      <c r="AD4" s="4" t="s">
        <v>213</v>
      </c>
      <c r="AE4" s="4"/>
      <c r="AF4" s="10"/>
      <c r="AG4" s="4" t="s">
        <v>214</v>
      </c>
      <c r="AH4" s="4"/>
      <c r="AI4" s="10"/>
      <c r="AJ4" s="4" t="s">
        <v>215</v>
      </c>
      <c r="AK4" s="4"/>
      <c r="AL4" s="10"/>
      <c r="AM4" s="4" t="s">
        <v>216</v>
      </c>
      <c r="AN4" s="4"/>
      <c r="AO4" s="10"/>
      <c r="AP4" s="4" t="s">
        <v>217</v>
      </c>
      <c r="AQ4" s="4"/>
      <c r="AR4" s="10"/>
      <c r="AS4" s="4" t="s">
        <v>218</v>
      </c>
      <c r="AT4" s="4"/>
      <c r="AU4" s="10"/>
      <c r="AV4" s="4" t="s">
        <v>219</v>
      </c>
      <c r="AW4" s="4"/>
      <c r="AX4" s="26"/>
      <c r="AY4" s="4" t="s">
        <v>220</v>
      </c>
      <c r="AZ4" s="4"/>
      <c r="BA4" s="26"/>
      <c r="BB4" s="4" t="s">
        <v>221</v>
      </c>
      <c r="BC4" s="4"/>
      <c r="BD4" s="26"/>
      <c r="BE4" s="4" t="s">
        <v>222</v>
      </c>
      <c r="BF4" s="4"/>
      <c r="BG4" s="4"/>
      <c r="BH4" s="4" t="s">
        <v>223</v>
      </c>
      <c r="BI4" s="4"/>
      <c r="BJ4" s="4"/>
      <c r="BK4" s="4" t="s">
        <v>224</v>
      </c>
      <c r="BL4" s="4"/>
      <c r="BM4" s="4"/>
      <c r="BN4" s="4" t="s">
        <v>225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109.38</v>
      </c>
      <c r="D13" s="19">
        <v>94.33</v>
      </c>
      <c r="E13" s="5"/>
      <c r="F13" s="27">
        <v>109.33</v>
      </c>
      <c r="G13" s="19">
        <v>94.11</v>
      </c>
      <c r="H13" s="5"/>
      <c r="I13" s="27">
        <v>109.42</v>
      </c>
      <c r="J13" s="19">
        <v>94.01</v>
      </c>
      <c r="K13" s="5"/>
      <c r="L13" s="27">
        <v>110.12</v>
      </c>
      <c r="M13" s="19">
        <v>93.73</v>
      </c>
      <c r="N13" s="5"/>
      <c r="O13" s="27">
        <v>109.59</v>
      </c>
      <c r="P13" s="19">
        <v>94.12</v>
      </c>
      <c r="Q13" s="5"/>
      <c r="R13" s="27">
        <v>109.6</v>
      </c>
      <c r="S13" s="19">
        <v>94.22</v>
      </c>
      <c r="T13" s="5"/>
      <c r="U13" s="27">
        <v>109.8</v>
      </c>
      <c r="V13" s="19">
        <v>93.66</v>
      </c>
      <c r="W13" s="5"/>
      <c r="X13" s="27">
        <v>110.09</v>
      </c>
      <c r="Y13" s="19">
        <v>93.32</v>
      </c>
      <c r="Z13" s="5"/>
      <c r="AA13" s="27">
        <v>109.74</v>
      </c>
      <c r="AB13" s="19">
        <v>93.44</v>
      </c>
      <c r="AC13" s="5"/>
      <c r="AD13" s="27">
        <v>109.89</v>
      </c>
      <c r="AE13" s="19">
        <v>93.06</v>
      </c>
      <c r="AF13" s="5"/>
      <c r="AG13" s="27">
        <v>109.51</v>
      </c>
      <c r="AH13" s="19">
        <v>93.39</v>
      </c>
      <c r="AI13" s="5"/>
      <c r="AJ13" s="27">
        <v>109.71</v>
      </c>
      <c r="AK13" s="19">
        <v>93.63</v>
      </c>
      <c r="AL13" s="5"/>
      <c r="AM13" s="27">
        <v>109.94</v>
      </c>
      <c r="AN13" s="19">
        <v>93.28</v>
      </c>
      <c r="AO13" s="5"/>
      <c r="AP13" s="27">
        <v>109.82</v>
      </c>
      <c r="AQ13" s="19">
        <v>93.46</v>
      </c>
      <c r="AR13" s="5"/>
      <c r="AS13" s="27">
        <v>109.87</v>
      </c>
      <c r="AT13" s="19">
        <v>93.25</v>
      </c>
      <c r="AU13" s="5"/>
      <c r="AV13" s="27">
        <v>110.08</v>
      </c>
      <c r="AW13" s="19">
        <v>92.57</v>
      </c>
      <c r="AX13" s="5"/>
      <c r="AY13" s="27">
        <v>110.84</v>
      </c>
      <c r="AZ13" s="19">
        <v>91.91</v>
      </c>
      <c r="BA13" s="5"/>
      <c r="BB13" s="27">
        <v>110.51</v>
      </c>
      <c r="BC13" s="19">
        <v>92.03</v>
      </c>
      <c r="BD13" s="5"/>
      <c r="BE13" s="27">
        <v>110.83</v>
      </c>
      <c r="BF13" s="19">
        <v>91.82</v>
      </c>
      <c r="BG13" s="27"/>
      <c r="BH13" s="27">
        <v>111.47</v>
      </c>
      <c r="BI13" s="19">
        <v>91.18</v>
      </c>
      <c r="BJ13" s="27"/>
      <c r="BK13" s="27">
        <v>111.1</v>
      </c>
      <c r="BL13" s="19">
        <v>91.32</v>
      </c>
      <c r="BM13" s="19"/>
      <c r="BN13" s="27">
        <v>110.79</v>
      </c>
      <c r="BO13" s="19">
        <v>91.36</v>
      </c>
      <c r="BP13" s="19"/>
      <c r="BQ13" s="27">
        <f aca="true" t="shared" si="0" ref="BQ13:BR25">(+C13+F13+I13+L13+O13+R13+U13+X13+AA13+AD13+AG13+AJ13+AM13+AP13+AS13+AV13+AY13+BB13+BE13+BH13+BK13+BN13)/22</f>
        <v>110.06499999999997</v>
      </c>
      <c r="BR13" s="19">
        <f t="shared" si="0"/>
        <v>93.05454545454545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1/1.7956</f>
        <v>0.5569169079973267</v>
      </c>
      <c r="D14" s="19">
        <v>185.26</v>
      </c>
      <c r="E14" s="5"/>
      <c r="F14" s="27">
        <f>1/1.793</f>
        <v>0.5577244841048522</v>
      </c>
      <c r="G14" s="19">
        <v>184.49</v>
      </c>
      <c r="H14" s="5"/>
      <c r="I14" s="27">
        <f>1/1.7904</f>
        <v>0.5585344057193923</v>
      </c>
      <c r="J14" s="19">
        <v>184.16</v>
      </c>
      <c r="K14" s="5"/>
      <c r="L14" s="27">
        <f>1/1.7786</f>
        <v>0.5622399640166423</v>
      </c>
      <c r="M14" s="19">
        <v>183.58</v>
      </c>
      <c r="N14" s="5"/>
      <c r="O14" s="27">
        <f>1/1.7811</f>
        <v>0.5614507888383583</v>
      </c>
      <c r="P14" s="19">
        <v>183.7</v>
      </c>
      <c r="Q14" s="5"/>
      <c r="R14" s="27">
        <f>1/1.7747</f>
        <v>0.5634755169887868</v>
      </c>
      <c r="S14" s="19">
        <v>183.26</v>
      </c>
      <c r="T14" s="5"/>
      <c r="U14" s="27">
        <f>1/1.7832</f>
        <v>0.5607895917451773</v>
      </c>
      <c r="V14" s="19">
        <v>183.38</v>
      </c>
      <c r="W14" s="5"/>
      <c r="X14" s="27">
        <f>1/1.789</f>
        <v>0.5589714924538849</v>
      </c>
      <c r="Y14" s="19">
        <v>183.8</v>
      </c>
      <c r="Z14" s="5"/>
      <c r="AA14" s="27">
        <f>1/1.7977</f>
        <v>0.556266340323747</v>
      </c>
      <c r="AB14" s="19">
        <v>184.34</v>
      </c>
      <c r="AC14" s="5"/>
      <c r="AD14" s="27">
        <f>1/1.7955</f>
        <v>0.556947925368978</v>
      </c>
      <c r="AE14" s="19">
        <v>183.62</v>
      </c>
      <c r="AF14" s="5"/>
      <c r="AG14" s="27">
        <f>1/1.79</f>
        <v>0.5586592178770949</v>
      </c>
      <c r="AH14" s="19">
        <v>183.06</v>
      </c>
      <c r="AI14" s="5"/>
      <c r="AJ14" s="27">
        <f>1/1.7841</f>
        <v>0.5605066980550417</v>
      </c>
      <c r="AK14" s="19">
        <v>183.27</v>
      </c>
      <c r="AL14" s="5"/>
      <c r="AM14" s="27">
        <f>1/1.7944</f>
        <v>0.5572893446277307</v>
      </c>
      <c r="AN14" s="19">
        <v>184.01</v>
      </c>
      <c r="AO14" s="5"/>
      <c r="AP14" s="27">
        <f>1/1.7865</f>
        <v>0.559753708368318</v>
      </c>
      <c r="AQ14" s="19">
        <v>183.37</v>
      </c>
      <c r="AR14" s="5"/>
      <c r="AS14" s="27">
        <f>1/1.7893</f>
        <v>0.5588777734309507</v>
      </c>
      <c r="AT14" s="19">
        <v>183.31</v>
      </c>
      <c r="AU14" s="5"/>
      <c r="AV14" s="27">
        <f>1/1.7938</f>
        <v>0.5574757498048835</v>
      </c>
      <c r="AW14" s="19">
        <v>182.78</v>
      </c>
      <c r="AX14" s="5"/>
      <c r="AY14" s="27">
        <f>1/1.7983</f>
        <v>0.5560807429238726</v>
      </c>
      <c r="AZ14" s="19">
        <v>183.2</v>
      </c>
      <c r="BA14" s="5"/>
      <c r="BB14" s="27">
        <f>1/1.801</f>
        <v>0.5552470849528041</v>
      </c>
      <c r="BC14" s="19">
        <v>183.18</v>
      </c>
      <c r="BD14" s="5"/>
      <c r="BE14" s="27">
        <f>1/1.8052</f>
        <v>0.5539552404165744</v>
      </c>
      <c r="BF14" s="19">
        <v>183.7</v>
      </c>
      <c r="BG14" s="27"/>
      <c r="BH14" s="27">
        <f>1/1.8136</f>
        <v>0.5513895015438905</v>
      </c>
      <c r="BI14" s="19">
        <v>184.33</v>
      </c>
      <c r="BJ14" s="27"/>
      <c r="BK14" s="27">
        <f>1/1.8091</f>
        <v>0.552761041401802</v>
      </c>
      <c r="BL14" s="19">
        <v>183.54</v>
      </c>
      <c r="BM14" s="19"/>
      <c r="BN14" s="27">
        <f>1/1.7979</f>
        <v>0.5562044607597753</v>
      </c>
      <c r="BO14" s="19">
        <v>181.99</v>
      </c>
      <c r="BP14" s="19"/>
      <c r="BQ14" s="27">
        <f t="shared" si="0"/>
        <v>0.5577962718963583</v>
      </c>
      <c r="BR14" s="19">
        <f t="shared" si="0"/>
        <v>183.60590909090905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1.2651</v>
      </c>
      <c r="D15" s="19">
        <v>81.55</v>
      </c>
      <c r="E15" s="5"/>
      <c r="F15" s="27">
        <v>1.2609</v>
      </c>
      <c r="G15" s="19">
        <v>81.6</v>
      </c>
      <c r="H15" s="5"/>
      <c r="I15" s="27">
        <v>1.2606</v>
      </c>
      <c r="J15" s="19">
        <v>81.6</v>
      </c>
      <c r="K15" s="5"/>
      <c r="L15" s="27">
        <v>1.2713</v>
      </c>
      <c r="M15" s="19">
        <v>81.19</v>
      </c>
      <c r="N15" s="5"/>
      <c r="O15" s="27">
        <v>1.2664</v>
      </c>
      <c r="P15" s="19">
        <v>81.44</v>
      </c>
      <c r="Q15" s="5"/>
      <c r="R15" s="27">
        <v>1.2739</v>
      </c>
      <c r="S15" s="19">
        <v>81.06</v>
      </c>
      <c r="T15" s="5"/>
      <c r="U15" s="27">
        <v>1.2644</v>
      </c>
      <c r="V15" s="19">
        <v>81.33</v>
      </c>
      <c r="W15" s="5"/>
      <c r="X15" s="27">
        <v>1.2617</v>
      </c>
      <c r="Y15" s="19">
        <v>81.43</v>
      </c>
      <c r="Z15" s="5"/>
      <c r="AA15" s="27">
        <v>1.2583</v>
      </c>
      <c r="AB15" s="19">
        <v>81.49</v>
      </c>
      <c r="AC15" s="5"/>
      <c r="AD15" s="27">
        <v>1.2609</v>
      </c>
      <c r="AE15" s="19">
        <v>81.11</v>
      </c>
      <c r="AF15" s="5"/>
      <c r="AG15" s="27">
        <v>1.2578</v>
      </c>
      <c r="AH15" s="19">
        <v>81.31</v>
      </c>
      <c r="AI15" s="5"/>
      <c r="AJ15" s="27">
        <v>1.2698</v>
      </c>
      <c r="AK15" s="19">
        <v>80.9</v>
      </c>
      <c r="AL15" s="5"/>
      <c r="AM15" s="27">
        <v>1.2672</v>
      </c>
      <c r="AN15" s="19">
        <v>80.92</v>
      </c>
      <c r="AO15" s="5"/>
      <c r="AP15" s="27">
        <v>1.2717</v>
      </c>
      <c r="AQ15" s="19">
        <v>80.71</v>
      </c>
      <c r="AR15" s="5"/>
      <c r="AS15" s="27">
        <v>1.2657</v>
      </c>
      <c r="AT15" s="19">
        <v>80.94</v>
      </c>
      <c r="AU15" s="5"/>
      <c r="AV15" s="27">
        <v>1.2567</v>
      </c>
      <c r="AW15" s="19">
        <v>81.08</v>
      </c>
      <c r="AX15" s="5"/>
      <c r="AY15" s="27">
        <v>1.2559</v>
      </c>
      <c r="AZ15" s="19">
        <v>81.12</v>
      </c>
      <c r="BA15" s="5"/>
      <c r="BB15" s="27">
        <v>1.2576</v>
      </c>
      <c r="BC15" s="19">
        <v>80.87</v>
      </c>
      <c r="BD15" s="5"/>
      <c r="BE15" s="27">
        <v>1.2623</v>
      </c>
      <c r="BF15" s="19">
        <v>80.61</v>
      </c>
      <c r="BG15" s="27"/>
      <c r="BH15" s="27">
        <v>1.2606</v>
      </c>
      <c r="BI15" s="19">
        <v>80.63</v>
      </c>
      <c r="BJ15" s="27"/>
      <c r="BK15" s="27">
        <v>1.259</v>
      </c>
      <c r="BL15" s="19">
        <v>80.58</v>
      </c>
      <c r="BM15" s="19"/>
      <c r="BN15" s="27">
        <v>1.2593</v>
      </c>
      <c r="BO15" s="19">
        <v>80.38</v>
      </c>
      <c r="BP15" s="19"/>
      <c r="BQ15" s="27">
        <f t="shared" si="0"/>
        <v>1.2630499999999998</v>
      </c>
      <c r="BR15" s="19">
        <f t="shared" si="0"/>
        <v>81.0840909090909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1/1.2164</f>
        <v>0.8220979940808945</v>
      </c>
      <c r="D16" s="19">
        <v>125.5</v>
      </c>
      <c r="E16" s="5"/>
      <c r="F16" s="27">
        <f>1/1.2171</f>
        <v>0.8216251745953496</v>
      </c>
      <c r="G16" s="19">
        <v>125.23</v>
      </c>
      <c r="H16" s="5"/>
      <c r="I16" s="27">
        <f>1/1.2164</f>
        <v>0.8220979940808945</v>
      </c>
      <c r="J16" s="19">
        <v>125.12</v>
      </c>
      <c r="K16" s="5"/>
      <c r="L16" s="27">
        <f>1/1.2061</f>
        <v>0.8291186468783683</v>
      </c>
      <c r="M16" s="19">
        <v>124.49</v>
      </c>
      <c r="N16" s="5"/>
      <c r="O16" s="27">
        <f>1/1.2105</f>
        <v>0.8261049153242462</v>
      </c>
      <c r="P16" s="19">
        <v>124.85</v>
      </c>
      <c r="Q16" s="5"/>
      <c r="R16" s="27">
        <f>1/1.2062</f>
        <v>0.8290499088045101</v>
      </c>
      <c r="S16" s="19">
        <v>124.56</v>
      </c>
      <c r="T16" s="5"/>
      <c r="U16" s="27">
        <f>1/1.2174</f>
        <v>0.8214227041235419</v>
      </c>
      <c r="V16" s="19">
        <v>125.19</v>
      </c>
      <c r="W16" s="5"/>
      <c r="X16" s="27">
        <f>1/1.221</f>
        <v>0.8190008190008189</v>
      </c>
      <c r="Y16" s="19">
        <v>125.45</v>
      </c>
      <c r="Z16" s="5"/>
      <c r="AA16" s="27">
        <f>1/1.2247</f>
        <v>0.8165264962848046</v>
      </c>
      <c r="AB16" s="19">
        <v>125.58</v>
      </c>
      <c r="AC16" s="5"/>
      <c r="AD16" s="27">
        <f>1/1.2242</f>
        <v>0.8168599901976802</v>
      </c>
      <c r="AE16" s="19">
        <v>125.19</v>
      </c>
      <c r="AF16" s="5"/>
      <c r="AG16" s="27">
        <f>1/1.225</f>
        <v>0.8163265306122448</v>
      </c>
      <c r="AH16" s="19">
        <v>125.28</v>
      </c>
      <c r="AI16" s="5"/>
      <c r="AJ16" s="27">
        <f>1/1.2144</f>
        <v>0.8234519104084322</v>
      </c>
      <c r="AK16" s="19">
        <v>124.75</v>
      </c>
      <c r="AL16" s="5"/>
      <c r="AM16" s="27">
        <f>1/1.2201</f>
        <v>0.8196049504139006</v>
      </c>
      <c r="AN16" s="19">
        <v>125.12</v>
      </c>
      <c r="AO16" s="5"/>
      <c r="AP16" s="27">
        <f>1/1.2152</f>
        <v>0.8229098090849243</v>
      </c>
      <c r="AQ16" s="19">
        <v>124.73</v>
      </c>
      <c r="AR16" s="5"/>
      <c r="AS16" s="27">
        <f>1/1.2216</f>
        <v>0.8185985592665357</v>
      </c>
      <c r="AT16" s="19">
        <v>125.15</v>
      </c>
      <c r="AU16" s="5"/>
      <c r="AV16" s="27">
        <f>1/1.2295</f>
        <v>0.8133387555917039</v>
      </c>
      <c r="AW16" s="19">
        <v>125.28</v>
      </c>
      <c r="AX16" s="5"/>
      <c r="AY16" s="27">
        <f>1/1.2306</f>
        <v>0.8126117341134407</v>
      </c>
      <c r="AZ16" s="19">
        <v>125.37</v>
      </c>
      <c r="BA16" s="5"/>
      <c r="BB16" s="27">
        <f>1/1.2299</f>
        <v>0.8130742336775347</v>
      </c>
      <c r="BC16" s="19">
        <v>125.09</v>
      </c>
      <c r="BD16" s="5"/>
      <c r="BE16" s="27">
        <f>1/1.2271</f>
        <v>0.8149295085975062</v>
      </c>
      <c r="BF16" s="19">
        <v>124.87</v>
      </c>
      <c r="BG16" s="27"/>
      <c r="BH16" s="27">
        <f>1/1.231</f>
        <v>0.8123476848090982</v>
      </c>
      <c r="BI16" s="19">
        <v>125.12</v>
      </c>
      <c r="BJ16" s="27"/>
      <c r="BK16" s="27">
        <f>1/1.2322</f>
        <v>0.8115565654926149</v>
      </c>
      <c r="BL16" s="19">
        <v>125.01</v>
      </c>
      <c r="BM16" s="19"/>
      <c r="BN16" s="27">
        <f>1/1.2329</f>
        <v>0.8110957904128477</v>
      </c>
      <c r="BO16" s="19">
        <v>124.8</v>
      </c>
      <c r="BP16" s="19"/>
      <c r="BQ16" s="27">
        <f t="shared" si="0"/>
        <v>0.8188068489023587</v>
      </c>
      <c r="BR16" s="19">
        <f t="shared" si="0"/>
        <v>125.07863636363639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408</v>
      </c>
      <c r="D17" s="19">
        <v>42095.4</v>
      </c>
      <c r="E17" s="5"/>
      <c r="F17" s="27">
        <v>407.5</v>
      </c>
      <c r="G17" s="19">
        <v>41929.03</v>
      </c>
      <c r="H17" s="5"/>
      <c r="I17" s="27">
        <v>405.5</v>
      </c>
      <c r="J17" s="19">
        <v>41710.07</v>
      </c>
      <c r="K17" s="5"/>
      <c r="L17" s="27">
        <v>401.3</v>
      </c>
      <c r="M17" s="19">
        <v>41420.85</v>
      </c>
      <c r="N17" s="5"/>
      <c r="O17" s="27">
        <v>401.6</v>
      </c>
      <c r="P17" s="19">
        <v>41421.36</v>
      </c>
      <c r="Q17" s="5"/>
      <c r="R17" s="27">
        <v>397.8</v>
      </c>
      <c r="S17" s="19">
        <v>41077.82</v>
      </c>
      <c r="T17" s="5"/>
      <c r="U17" s="27">
        <v>398.7</v>
      </c>
      <c r="V17" s="19">
        <v>41000.65</v>
      </c>
      <c r="W17" s="5"/>
      <c r="X17" s="27">
        <v>400.25</v>
      </c>
      <c r="Y17" s="19">
        <v>41121.69</v>
      </c>
      <c r="Z17" s="5"/>
      <c r="AA17" s="27">
        <v>400.5</v>
      </c>
      <c r="AB17" s="19">
        <v>41067.6</v>
      </c>
      <c r="AC17" s="5"/>
      <c r="AD17" s="27">
        <v>403.4</v>
      </c>
      <c r="AE17" s="19">
        <v>41254.04</v>
      </c>
      <c r="AF17" s="5"/>
      <c r="AG17" s="27">
        <v>404.75</v>
      </c>
      <c r="AH17" s="19">
        <v>41392.43</v>
      </c>
      <c r="AI17" s="5"/>
      <c r="AJ17" s="27">
        <v>404.1</v>
      </c>
      <c r="AK17" s="19">
        <v>41511.17</v>
      </c>
      <c r="AL17" s="5"/>
      <c r="AM17" s="27">
        <v>404.25</v>
      </c>
      <c r="AN17" s="19">
        <v>41454.83</v>
      </c>
      <c r="AO17" s="5"/>
      <c r="AP17" s="27">
        <v>403.9</v>
      </c>
      <c r="AQ17" s="19">
        <v>41456.63</v>
      </c>
      <c r="AR17" s="5"/>
      <c r="AS17" s="27">
        <v>405</v>
      </c>
      <c r="AT17" s="19">
        <v>41492.25</v>
      </c>
      <c r="AU17" s="5"/>
      <c r="AV17" s="27">
        <v>407.3</v>
      </c>
      <c r="AW17" s="19">
        <v>41502.85</v>
      </c>
      <c r="AX17" s="5"/>
      <c r="AY17" s="27">
        <v>407.55</v>
      </c>
      <c r="AZ17" s="19">
        <v>41519.16</v>
      </c>
      <c r="BA17" s="5"/>
      <c r="BB17" s="27">
        <v>409.4</v>
      </c>
      <c r="BC17" s="19">
        <v>41639.05</v>
      </c>
      <c r="BD17" s="5"/>
      <c r="BE17" s="27">
        <v>408.7</v>
      </c>
      <c r="BF17" s="19">
        <v>41588.97</v>
      </c>
      <c r="BG17" s="27"/>
      <c r="BH17" s="27">
        <v>410.25</v>
      </c>
      <c r="BI17" s="19">
        <v>41697.13</v>
      </c>
      <c r="BJ17" s="27"/>
      <c r="BK17" s="27">
        <v>411.9</v>
      </c>
      <c r="BL17" s="19">
        <v>41788.63</v>
      </c>
      <c r="BM17" s="19"/>
      <c r="BN17" s="27">
        <v>412</v>
      </c>
      <c r="BO17" s="19">
        <v>41703.67</v>
      </c>
      <c r="BP17" s="19"/>
      <c r="BQ17" s="27">
        <f t="shared" si="0"/>
        <v>405.16590909090905</v>
      </c>
      <c r="BR17" s="19">
        <f t="shared" si="0"/>
        <v>41492.96727272728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6.7</v>
      </c>
      <c r="D18" s="19">
        <v>691.27</v>
      </c>
      <c r="E18" s="5"/>
      <c r="F18" s="27">
        <v>6.77</v>
      </c>
      <c r="G18" s="19">
        <v>696.59</v>
      </c>
      <c r="H18" s="5"/>
      <c r="I18" s="27">
        <v>6.73</v>
      </c>
      <c r="J18" s="19">
        <v>692.25</v>
      </c>
      <c r="K18" s="5"/>
      <c r="L18" s="27">
        <v>6.5</v>
      </c>
      <c r="M18" s="19">
        <v>670.91</v>
      </c>
      <c r="N18" s="5"/>
      <c r="O18" s="27">
        <v>6.54</v>
      </c>
      <c r="P18" s="19">
        <v>674.54</v>
      </c>
      <c r="Q18" s="5"/>
      <c r="R18" s="27">
        <v>6.15</v>
      </c>
      <c r="S18" s="19">
        <v>635.06</v>
      </c>
      <c r="T18" s="5"/>
      <c r="U18" s="27">
        <v>6.13</v>
      </c>
      <c r="V18" s="19">
        <v>630.38</v>
      </c>
      <c r="W18" s="5"/>
      <c r="X18" s="27">
        <v>6.11</v>
      </c>
      <c r="Y18" s="19">
        <v>627.74</v>
      </c>
      <c r="Z18" s="5"/>
      <c r="AA18" s="27">
        <v>6.12</v>
      </c>
      <c r="AB18" s="19">
        <v>627.55</v>
      </c>
      <c r="AC18" s="5"/>
      <c r="AD18" s="27">
        <v>6.18</v>
      </c>
      <c r="AE18" s="19">
        <v>632</v>
      </c>
      <c r="AF18" s="5"/>
      <c r="AG18" s="27">
        <v>6.2</v>
      </c>
      <c r="AH18" s="19">
        <v>634.05</v>
      </c>
      <c r="AI18" s="5"/>
      <c r="AJ18" s="27">
        <v>6.26</v>
      </c>
      <c r="AK18" s="19">
        <v>643.06</v>
      </c>
      <c r="AL18" s="5"/>
      <c r="AM18" s="27">
        <v>6.26</v>
      </c>
      <c r="AN18" s="19">
        <v>641.95</v>
      </c>
      <c r="AO18" s="5"/>
      <c r="AP18" s="27">
        <v>6.2</v>
      </c>
      <c r="AQ18" s="19">
        <v>636.37</v>
      </c>
      <c r="AR18" s="5"/>
      <c r="AS18" s="27">
        <v>6.27</v>
      </c>
      <c r="AT18" s="19">
        <v>642.36</v>
      </c>
      <c r="AU18" s="5"/>
      <c r="AV18" s="27">
        <v>6.31</v>
      </c>
      <c r="AW18" s="19">
        <v>642.97</v>
      </c>
      <c r="AX18" s="5"/>
      <c r="AY18" s="27">
        <v>6.36</v>
      </c>
      <c r="AZ18" s="19">
        <v>647.93</v>
      </c>
      <c r="BA18" s="5"/>
      <c r="BB18" s="27">
        <v>6.4</v>
      </c>
      <c r="BC18" s="19">
        <v>650.93</v>
      </c>
      <c r="BD18" s="5"/>
      <c r="BE18" s="27">
        <v>6.38</v>
      </c>
      <c r="BF18" s="19">
        <v>649.22</v>
      </c>
      <c r="BG18" s="27"/>
      <c r="BH18" s="27">
        <v>6.58</v>
      </c>
      <c r="BI18" s="19">
        <v>668.78</v>
      </c>
      <c r="BJ18" s="27"/>
      <c r="BK18" s="27">
        <v>6.56</v>
      </c>
      <c r="BL18" s="19">
        <v>665.53</v>
      </c>
      <c r="BM18" s="19"/>
      <c r="BN18" s="27">
        <v>6.67</v>
      </c>
      <c r="BO18" s="19">
        <v>675.15</v>
      </c>
      <c r="BP18" s="19"/>
      <c r="BQ18" s="27">
        <f t="shared" si="0"/>
        <v>6.380909090909091</v>
      </c>
      <c r="BR18" s="19">
        <f t="shared" si="0"/>
        <v>653.4813636363638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1/0.7029</f>
        <v>1.4226774790155072</v>
      </c>
      <c r="D19" s="19">
        <v>72.52</v>
      </c>
      <c r="E19" s="5"/>
      <c r="F19" s="27">
        <f>1/0.6994</f>
        <v>1.429796968830426</v>
      </c>
      <c r="G19" s="19">
        <v>71.96</v>
      </c>
      <c r="H19" s="5"/>
      <c r="I19" s="27">
        <f>1/0.6959</f>
        <v>1.4369880729989941</v>
      </c>
      <c r="J19" s="19">
        <v>71.58</v>
      </c>
      <c r="K19" s="5"/>
      <c r="L19" s="27">
        <f>1/0.6922</f>
        <v>1.444669170759896</v>
      </c>
      <c r="M19" s="19">
        <v>71.45</v>
      </c>
      <c r="N19" s="5"/>
      <c r="O19" s="27">
        <f>1/0.6938</f>
        <v>1.4413375612568464</v>
      </c>
      <c r="P19" s="19">
        <v>71.56</v>
      </c>
      <c r="Q19" s="5"/>
      <c r="R19" s="27">
        <f>1/0.6914</f>
        <v>1.4463407578825571</v>
      </c>
      <c r="S19" s="19">
        <v>71.4</v>
      </c>
      <c r="T19" s="5"/>
      <c r="U19" s="27">
        <f>1/0.6928</f>
        <v>1.443418013856813</v>
      </c>
      <c r="V19" s="19">
        <v>71.24</v>
      </c>
      <c r="W19" s="5"/>
      <c r="X19" s="27">
        <f>1/0.6905</f>
        <v>1.448225923244026</v>
      </c>
      <c r="Y19" s="19">
        <v>70.94</v>
      </c>
      <c r="Z19" s="5"/>
      <c r="AA19" s="27">
        <f>1/0.6972</f>
        <v>1.4343086632243258</v>
      </c>
      <c r="AB19" s="19">
        <v>71.49</v>
      </c>
      <c r="AC19" s="5"/>
      <c r="AD19" s="27">
        <f>1/0.6996</f>
        <v>1.429388221841052</v>
      </c>
      <c r="AE19" s="19">
        <v>71.55</v>
      </c>
      <c r="AF19" s="5"/>
      <c r="AG19" s="27">
        <f>1/0.7002</f>
        <v>1.4281633818908883</v>
      </c>
      <c r="AH19" s="19">
        <v>71.61</v>
      </c>
      <c r="AI19" s="5"/>
      <c r="AJ19" s="27">
        <f>1/0.695</f>
        <v>1.4388489208633095</v>
      </c>
      <c r="AK19" s="19">
        <v>71.39</v>
      </c>
      <c r="AL19" s="5"/>
      <c r="AM19" s="27">
        <f>1/0.6992</f>
        <v>1.4302059496567505</v>
      </c>
      <c r="AN19" s="19">
        <v>71.7</v>
      </c>
      <c r="AO19" s="5"/>
      <c r="AP19" s="27">
        <f>1/0.6991</f>
        <v>1.4304105278214847</v>
      </c>
      <c r="AQ19" s="19">
        <v>71.76</v>
      </c>
      <c r="AR19" s="5"/>
      <c r="AS19" s="27">
        <f>1/0.7004</f>
        <v>1.427755568246716</v>
      </c>
      <c r="AT19" s="19">
        <v>71.76</v>
      </c>
      <c r="AU19" s="5"/>
      <c r="AV19" s="27">
        <f>1/0.705</f>
        <v>1.4184397163120568</v>
      </c>
      <c r="AW19" s="19">
        <v>71.84</v>
      </c>
      <c r="AX19" s="18"/>
      <c r="AY19" s="27">
        <f>1/0.7128</f>
        <v>1.4029180695847363</v>
      </c>
      <c r="AZ19" s="19">
        <v>72.62</v>
      </c>
      <c r="BA19" s="18"/>
      <c r="BB19" s="27">
        <f>1/0.7142</f>
        <v>1.4001680201624196</v>
      </c>
      <c r="BC19" s="19">
        <v>72.64</v>
      </c>
      <c r="BD19" s="18"/>
      <c r="BE19" s="27">
        <f>1/0.7139</f>
        <v>1.4007564084605688</v>
      </c>
      <c r="BF19" s="19">
        <v>72.65</v>
      </c>
      <c r="BG19" s="27"/>
      <c r="BH19" s="27">
        <f>1/0.7143</f>
        <v>1.3999720005599887</v>
      </c>
      <c r="BI19" s="19">
        <v>72.6</v>
      </c>
      <c r="BJ19" s="27"/>
      <c r="BK19" s="27">
        <f>1/0.7169</f>
        <v>1.3948946854512485</v>
      </c>
      <c r="BL19" s="19">
        <v>72.73</v>
      </c>
      <c r="BM19" s="19"/>
      <c r="BN19" s="27">
        <f>1/0.7156</f>
        <v>1.397428731134712</v>
      </c>
      <c r="BO19" s="19">
        <v>72.43</v>
      </c>
      <c r="BP19" s="19"/>
      <c r="BQ19" s="27">
        <f t="shared" si="0"/>
        <v>1.4248687642297877</v>
      </c>
      <c r="BR19" s="19">
        <f t="shared" si="0"/>
        <v>71.88272727272728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1.314</v>
      </c>
      <c r="D20" s="19">
        <v>78.52</v>
      </c>
      <c r="E20" s="5"/>
      <c r="F20" s="27">
        <v>1.3074</v>
      </c>
      <c r="G20" s="19">
        <v>78.7</v>
      </c>
      <c r="H20" s="5"/>
      <c r="I20" s="27">
        <v>1.2989</v>
      </c>
      <c r="J20" s="19">
        <v>79.19</v>
      </c>
      <c r="K20" s="5"/>
      <c r="L20" s="27">
        <v>1.2986</v>
      </c>
      <c r="M20" s="19">
        <v>79.48</v>
      </c>
      <c r="N20" s="5"/>
      <c r="O20" s="27">
        <v>1.2985</v>
      </c>
      <c r="P20" s="19">
        <v>79.43</v>
      </c>
      <c r="Q20" s="5"/>
      <c r="R20" s="27">
        <v>1.2921</v>
      </c>
      <c r="S20" s="19">
        <v>79.92</v>
      </c>
      <c r="T20" s="5"/>
      <c r="U20" s="27">
        <v>1.2871</v>
      </c>
      <c r="V20" s="19">
        <v>79.9</v>
      </c>
      <c r="W20" s="5"/>
      <c r="X20" s="27">
        <v>1.2895</v>
      </c>
      <c r="Y20" s="19">
        <v>79.67</v>
      </c>
      <c r="Z20" s="5"/>
      <c r="AA20" s="27">
        <v>1.2913</v>
      </c>
      <c r="AB20" s="19">
        <v>79.41</v>
      </c>
      <c r="AC20" s="5"/>
      <c r="AD20" s="27">
        <v>1.299</v>
      </c>
      <c r="AE20" s="19">
        <v>78.73</v>
      </c>
      <c r="AF20" s="5"/>
      <c r="AG20" s="27">
        <v>1.2969</v>
      </c>
      <c r="AH20" s="19">
        <v>78.85</v>
      </c>
      <c r="AI20" s="5"/>
      <c r="AJ20" s="27">
        <v>1.2967</v>
      </c>
      <c r="AK20" s="19">
        <v>79.22</v>
      </c>
      <c r="AL20" s="5"/>
      <c r="AM20" s="27">
        <v>1.2905</v>
      </c>
      <c r="AN20" s="19">
        <v>79.46</v>
      </c>
      <c r="AO20" s="5"/>
      <c r="AP20" s="27">
        <v>1.2978</v>
      </c>
      <c r="AQ20" s="19">
        <v>79.09</v>
      </c>
      <c r="AR20" s="5"/>
      <c r="AS20" s="27">
        <v>1.2933</v>
      </c>
      <c r="AT20" s="19">
        <v>79.22</v>
      </c>
      <c r="AU20" s="5"/>
      <c r="AV20" s="27">
        <v>1.2856</v>
      </c>
      <c r="AW20" s="19">
        <v>79.26</v>
      </c>
      <c r="AX20" s="5"/>
      <c r="AY20" s="27">
        <v>1.2821</v>
      </c>
      <c r="AZ20" s="19">
        <v>79.46</v>
      </c>
      <c r="BA20" s="5"/>
      <c r="BB20" s="27">
        <v>1.2789</v>
      </c>
      <c r="BC20" s="19">
        <v>79.53</v>
      </c>
      <c r="BD20" s="5"/>
      <c r="BE20" s="27">
        <v>1.2758</v>
      </c>
      <c r="BF20" s="19">
        <v>79.76</v>
      </c>
      <c r="BG20" s="27"/>
      <c r="BH20" s="27">
        <v>1.2732</v>
      </c>
      <c r="BI20" s="19">
        <v>79.83</v>
      </c>
      <c r="BJ20" s="27"/>
      <c r="BK20" s="27">
        <v>1.271</v>
      </c>
      <c r="BL20" s="19">
        <v>79.82</v>
      </c>
      <c r="BM20" s="19"/>
      <c r="BN20" s="27">
        <v>1.2711</v>
      </c>
      <c r="BO20" s="19">
        <v>79.63</v>
      </c>
      <c r="BP20" s="19"/>
      <c r="BQ20" s="27">
        <f t="shared" si="0"/>
        <v>1.290422727272727</v>
      </c>
      <c r="BR20" s="19">
        <f t="shared" si="0"/>
        <v>79.36727272727272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7.5087</v>
      </c>
      <c r="D21" s="19">
        <v>13.74</v>
      </c>
      <c r="E21" s="5"/>
      <c r="F21" s="27">
        <v>7.4956</v>
      </c>
      <c r="G21" s="19">
        <v>13.73</v>
      </c>
      <c r="H21" s="5"/>
      <c r="I21" s="27">
        <v>7.504</v>
      </c>
      <c r="J21" s="19">
        <v>13.71</v>
      </c>
      <c r="K21" s="5"/>
      <c r="L21" s="27">
        <v>7.564</v>
      </c>
      <c r="M21" s="19">
        <v>13.65</v>
      </c>
      <c r="N21" s="5"/>
      <c r="O21" s="27">
        <v>7.5406</v>
      </c>
      <c r="P21" s="19">
        <v>13.68</v>
      </c>
      <c r="Q21" s="5"/>
      <c r="R21" s="27">
        <v>7.5382</v>
      </c>
      <c r="S21" s="19">
        <v>13.7</v>
      </c>
      <c r="T21" s="5"/>
      <c r="U21" s="27">
        <v>7.4847</v>
      </c>
      <c r="V21" s="19">
        <v>13.74</v>
      </c>
      <c r="W21" s="5"/>
      <c r="X21" s="27">
        <v>7.448</v>
      </c>
      <c r="Y21" s="19">
        <v>13.79</v>
      </c>
      <c r="Z21" s="5"/>
      <c r="AA21" s="27">
        <v>7.4198</v>
      </c>
      <c r="AB21" s="19">
        <v>13.82</v>
      </c>
      <c r="AC21" s="5"/>
      <c r="AD21" s="27">
        <v>7.43</v>
      </c>
      <c r="AE21" s="19">
        <v>13.76</v>
      </c>
      <c r="AF21" s="5"/>
      <c r="AG21" s="27">
        <v>7.4382</v>
      </c>
      <c r="AH21" s="19">
        <v>13.75</v>
      </c>
      <c r="AI21" s="5"/>
      <c r="AJ21" s="27">
        <v>7.5122</v>
      </c>
      <c r="AK21" s="19">
        <v>13.67</v>
      </c>
      <c r="AL21" s="5"/>
      <c r="AM21" s="27">
        <v>7.4661</v>
      </c>
      <c r="AN21" s="19">
        <v>13.74</v>
      </c>
      <c r="AO21" s="5"/>
      <c r="AP21" s="27">
        <v>7.4731</v>
      </c>
      <c r="AQ21" s="19">
        <v>13.73</v>
      </c>
      <c r="AR21" s="5"/>
      <c r="AS21" s="27">
        <v>7.412</v>
      </c>
      <c r="AT21" s="19">
        <v>13.82</v>
      </c>
      <c r="AU21" s="5"/>
      <c r="AV21" s="27">
        <v>7.3613</v>
      </c>
      <c r="AW21" s="19">
        <v>13.84</v>
      </c>
      <c r="AX21" s="5"/>
      <c r="AY21" s="27">
        <v>7.352</v>
      </c>
      <c r="AZ21" s="19">
        <v>13.86</v>
      </c>
      <c r="BA21" s="5"/>
      <c r="BB21" s="27">
        <v>7.3524</v>
      </c>
      <c r="BC21" s="19">
        <v>13.83</v>
      </c>
      <c r="BD21" s="5"/>
      <c r="BE21" s="27">
        <v>7.3749</v>
      </c>
      <c r="BF21" s="19">
        <v>13.8</v>
      </c>
      <c r="BG21" s="27"/>
      <c r="BH21" s="27">
        <v>7.3513</v>
      </c>
      <c r="BI21" s="19">
        <v>13.83</v>
      </c>
      <c r="BJ21" s="27"/>
      <c r="BK21" s="27">
        <v>7.3454</v>
      </c>
      <c r="BL21" s="19">
        <v>13.81</v>
      </c>
      <c r="BM21" s="19"/>
      <c r="BN21" s="27">
        <v>7.3425</v>
      </c>
      <c r="BO21" s="19">
        <v>13.79</v>
      </c>
      <c r="BP21" s="19"/>
      <c r="BQ21" s="27">
        <f t="shared" si="0"/>
        <v>7.441590909090911</v>
      </c>
      <c r="BR21" s="19">
        <f t="shared" si="0"/>
        <v>13.763181818181817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6.8784</v>
      </c>
      <c r="D22" s="19">
        <v>15</v>
      </c>
      <c r="E22" s="5"/>
      <c r="F22" s="27">
        <v>6.8503</v>
      </c>
      <c r="G22" s="19">
        <v>15.02</v>
      </c>
      <c r="H22" s="5"/>
      <c r="I22" s="27">
        <v>6.831</v>
      </c>
      <c r="J22" s="19">
        <v>15.06</v>
      </c>
      <c r="K22" s="5"/>
      <c r="L22" s="27">
        <v>6.9002</v>
      </c>
      <c r="M22" s="19">
        <v>14.96</v>
      </c>
      <c r="N22" s="5"/>
      <c r="O22" s="27">
        <v>6.883</v>
      </c>
      <c r="P22" s="19">
        <v>14.98</v>
      </c>
      <c r="Q22" s="5"/>
      <c r="R22" s="27">
        <v>6.9113</v>
      </c>
      <c r="S22" s="19">
        <v>14.94</v>
      </c>
      <c r="T22" s="5"/>
      <c r="U22" s="27">
        <v>6.8288</v>
      </c>
      <c r="V22" s="19">
        <v>15.06</v>
      </c>
      <c r="W22" s="5"/>
      <c r="X22" s="27">
        <v>6.8302</v>
      </c>
      <c r="Y22" s="19">
        <v>15.04</v>
      </c>
      <c r="Z22" s="5"/>
      <c r="AA22" s="27">
        <v>6.8118</v>
      </c>
      <c r="AB22" s="19">
        <v>15.05</v>
      </c>
      <c r="AC22" s="5"/>
      <c r="AD22" s="27">
        <v>6.8248</v>
      </c>
      <c r="AE22" s="19">
        <v>14.98</v>
      </c>
      <c r="AF22" s="5"/>
      <c r="AG22" s="27">
        <v>6.8535</v>
      </c>
      <c r="AH22" s="19">
        <v>14.92</v>
      </c>
      <c r="AI22" s="5"/>
      <c r="AJ22" s="27">
        <v>6.928</v>
      </c>
      <c r="AK22" s="19">
        <v>14.83</v>
      </c>
      <c r="AL22" s="5"/>
      <c r="AM22" s="27">
        <v>6.912</v>
      </c>
      <c r="AN22" s="19">
        <v>14.84</v>
      </c>
      <c r="AO22" s="5"/>
      <c r="AP22" s="27">
        <v>6.9246</v>
      </c>
      <c r="AQ22" s="19">
        <v>14.82</v>
      </c>
      <c r="AR22" s="5"/>
      <c r="AS22" s="27">
        <v>6.868</v>
      </c>
      <c r="AT22" s="19">
        <v>14.92</v>
      </c>
      <c r="AU22" s="5"/>
      <c r="AV22" s="27">
        <v>6.8453</v>
      </c>
      <c r="AW22" s="19">
        <v>14.89</v>
      </c>
      <c r="AX22" s="5"/>
      <c r="AY22" s="27">
        <v>6.7753</v>
      </c>
      <c r="AZ22" s="19">
        <v>15.04</v>
      </c>
      <c r="BA22" s="5"/>
      <c r="BB22" s="27">
        <v>6.7825</v>
      </c>
      <c r="BC22" s="19">
        <v>15</v>
      </c>
      <c r="BD22" s="5"/>
      <c r="BE22" s="27">
        <v>6.8133</v>
      </c>
      <c r="BF22" s="19">
        <v>14.94</v>
      </c>
      <c r="BG22" s="27"/>
      <c r="BH22" s="27">
        <v>6.782</v>
      </c>
      <c r="BI22" s="19">
        <v>14.99</v>
      </c>
      <c r="BJ22" s="27"/>
      <c r="BK22" s="27">
        <v>6.7676</v>
      </c>
      <c r="BL22" s="19">
        <v>14.99</v>
      </c>
      <c r="BM22" s="19"/>
      <c r="BN22" s="27">
        <v>6.7758</v>
      </c>
      <c r="BO22" s="19">
        <v>14.94</v>
      </c>
      <c r="BP22" s="19"/>
      <c r="BQ22" s="27">
        <f t="shared" si="0"/>
        <v>6.844440909090909</v>
      </c>
      <c r="BR22" s="19">
        <f t="shared" si="0"/>
        <v>14.964090909090912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6.1135</v>
      </c>
      <c r="D23" s="19">
        <v>16.88</v>
      </c>
      <c r="E23" s="5"/>
      <c r="F23" s="27">
        <v>6.1095</v>
      </c>
      <c r="G23" s="19">
        <v>16.84</v>
      </c>
      <c r="H23" s="5"/>
      <c r="I23" s="27">
        <v>6.111</v>
      </c>
      <c r="J23" s="19">
        <v>16.83</v>
      </c>
      <c r="K23" s="5"/>
      <c r="L23" s="27">
        <v>6.165</v>
      </c>
      <c r="M23" s="19">
        <v>16.74</v>
      </c>
      <c r="N23" s="5"/>
      <c r="O23" s="27">
        <v>6.1425</v>
      </c>
      <c r="P23" s="19">
        <v>16.79</v>
      </c>
      <c r="Q23" s="5"/>
      <c r="R23" s="27">
        <v>6.1615</v>
      </c>
      <c r="S23" s="19">
        <v>16.76</v>
      </c>
      <c r="T23" s="5"/>
      <c r="U23" s="27">
        <v>6.1064</v>
      </c>
      <c r="V23" s="19">
        <v>16.84</v>
      </c>
      <c r="W23" s="5"/>
      <c r="X23" s="27">
        <v>6.0886</v>
      </c>
      <c r="Y23" s="19">
        <v>16.87</v>
      </c>
      <c r="Z23" s="5"/>
      <c r="AA23" s="27">
        <v>6.0712</v>
      </c>
      <c r="AB23" s="19">
        <v>16.89</v>
      </c>
      <c r="AC23" s="5"/>
      <c r="AD23" s="27">
        <v>6.072</v>
      </c>
      <c r="AE23" s="19">
        <v>16.84</v>
      </c>
      <c r="AF23" s="5"/>
      <c r="AG23" s="27">
        <v>6.0705</v>
      </c>
      <c r="AH23" s="19">
        <v>16.85</v>
      </c>
      <c r="AI23" s="5"/>
      <c r="AJ23" s="27">
        <v>6.1238</v>
      </c>
      <c r="AK23" s="19">
        <v>16.77</v>
      </c>
      <c r="AL23" s="5"/>
      <c r="AM23" s="27">
        <v>6.0955</v>
      </c>
      <c r="AN23" s="19">
        <v>16.82</v>
      </c>
      <c r="AO23" s="5"/>
      <c r="AP23" s="27">
        <v>6.1184</v>
      </c>
      <c r="AQ23" s="19">
        <v>16.78</v>
      </c>
      <c r="AR23" s="5"/>
      <c r="AS23" s="27">
        <v>6.0875</v>
      </c>
      <c r="AT23" s="19">
        <v>16.83</v>
      </c>
      <c r="AU23" s="5"/>
      <c r="AV23" s="27">
        <v>6.0464</v>
      </c>
      <c r="AW23" s="19">
        <v>16.85</v>
      </c>
      <c r="AX23" s="5"/>
      <c r="AY23" s="27">
        <v>6.0418</v>
      </c>
      <c r="AZ23" s="19">
        <v>16.86</v>
      </c>
      <c r="BA23" s="5"/>
      <c r="BB23" s="27">
        <v>6.0474</v>
      </c>
      <c r="BC23" s="19">
        <v>16.82</v>
      </c>
      <c r="BD23" s="5"/>
      <c r="BE23" s="27">
        <v>6.0613</v>
      </c>
      <c r="BF23" s="19">
        <v>16.79</v>
      </c>
      <c r="BG23" s="27"/>
      <c r="BH23" s="27">
        <v>6.0417</v>
      </c>
      <c r="BI23" s="19">
        <v>16.82</v>
      </c>
      <c r="BJ23" s="27"/>
      <c r="BK23" s="27">
        <v>6.0362</v>
      </c>
      <c r="BL23" s="19">
        <v>16.81</v>
      </c>
      <c r="BM23" s="19"/>
      <c r="BN23" s="27">
        <v>6.0348</v>
      </c>
      <c r="BO23" s="19">
        <v>16.77</v>
      </c>
      <c r="BP23" s="19"/>
      <c r="BQ23" s="27">
        <f t="shared" si="0"/>
        <v>6.088477272727272</v>
      </c>
      <c r="BR23" s="19">
        <f t="shared" si="0"/>
        <v>16.820454545454545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1/1.46073</f>
        <v>0.6845892122431935</v>
      </c>
      <c r="D24" s="19">
        <v>150.71</v>
      </c>
      <c r="E24" s="5"/>
      <c r="F24" s="27">
        <f>1/1.4653</f>
        <v>0.6824541049614413</v>
      </c>
      <c r="G24" s="19">
        <v>150.77</v>
      </c>
      <c r="H24" s="5"/>
      <c r="I24" s="27">
        <f>1/1.46388</f>
        <v>0.683116102412766</v>
      </c>
      <c r="J24" s="19">
        <v>150.58</v>
      </c>
      <c r="K24" s="5"/>
      <c r="L24" s="27">
        <f>1/1.46399</f>
        <v>0.6830647750326164</v>
      </c>
      <c r="M24" s="19">
        <v>151.11</v>
      </c>
      <c r="N24" s="5"/>
      <c r="O24" s="27">
        <f>1/1.46399</f>
        <v>0.6830647750326164</v>
      </c>
      <c r="P24" s="19">
        <v>151</v>
      </c>
      <c r="Q24" s="5"/>
      <c r="R24" s="27">
        <f>1/1.4585</f>
        <v>0.6856359273225917</v>
      </c>
      <c r="S24" s="19">
        <v>150.61</v>
      </c>
      <c r="T24" s="5"/>
      <c r="U24" s="27">
        <f>1/1.4567</f>
        <v>0.686483146838745</v>
      </c>
      <c r="V24" s="19">
        <v>149.8</v>
      </c>
      <c r="W24" s="5"/>
      <c r="X24" s="27">
        <f>1/1.46282</f>
        <v>0.6836111073132716</v>
      </c>
      <c r="Y24" s="19">
        <v>150.29</v>
      </c>
      <c r="Z24" s="5"/>
      <c r="AA24" s="27">
        <f>1/1.46365</f>
        <v>0.6832234482287433</v>
      </c>
      <c r="AB24" s="19">
        <v>150.08</v>
      </c>
      <c r="AC24" s="5"/>
      <c r="AD24" s="27">
        <f>1/1.46696</f>
        <v>0.6816818454490919</v>
      </c>
      <c r="AE24" s="19">
        <v>150.02</v>
      </c>
      <c r="AF24" s="5"/>
      <c r="AG24" s="27">
        <f>1/1.46598</f>
        <v>0.6821375462148187</v>
      </c>
      <c r="AH24" s="19">
        <v>149.92</v>
      </c>
      <c r="AI24" s="5"/>
      <c r="AJ24" s="27">
        <f>1/1.46568</f>
        <v>0.6822771682768407</v>
      </c>
      <c r="AK24" s="19">
        <v>150.56</v>
      </c>
      <c r="AL24" s="5"/>
      <c r="AM24" s="27">
        <f>1/1.46213</f>
        <v>0.6839337131445221</v>
      </c>
      <c r="AN24" s="19">
        <v>149.94</v>
      </c>
      <c r="AO24" s="5"/>
      <c r="AP24" s="27">
        <f>1/1.46487</f>
        <v>0.6826544334992184</v>
      </c>
      <c r="AQ24" s="19">
        <v>150.36</v>
      </c>
      <c r="AR24" s="5"/>
      <c r="AS24" s="27">
        <f>1/1.46053</f>
        <v>0.6846829575565034</v>
      </c>
      <c r="AT24" s="19">
        <v>149.63</v>
      </c>
      <c r="AU24" s="5"/>
      <c r="AV24" s="27">
        <f>1/1.46722</f>
        <v>0.6815610474230177</v>
      </c>
      <c r="AW24" s="19">
        <v>149.51</v>
      </c>
      <c r="AX24" s="5"/>
      <c r="AY24" s="27">
        <f>1/1.46545</f>
        <v>0.6823842505714969</v>
      </c>
      <c r="AZ24" s="19">
        <v>149.29</v>
      </c>
      <c r="BA24" s="5"/>
      <c r="BB24" s="27">
        <f>1/1.46883</f>
        <v>0.6808139811959179</v>
      </c>
      <c r="BC24" s="19">
        <v>149.39</v>
      </c>
      <c r="BD24" s="5"/>
      <c r="BE24" s="27">
        <f>1/1.46816</f>
        <v>0.681124673060157</v>
      </c>
      <c r="BF24" s="19">
        <v>149.4</v>
      </c>
      <c r="BG24" s="27"/>
      <c r="BH24" s="27">
        <f>1/1.46597</f>
        <v>0.6821421993628792</v>
      </c>
      <c r="BI24" s="19">
        <v>149</v>
      </c>
      <c r="BJ24" s="27"/>
      <c r="BK24" s="27">
        <f>1/1.46779</f>
        <v>0.6812963707342331</v>
      </c>
      <c r="BL24" s="19">
        <v>148.91</v>
      </c>
      <c r="BM24" s="19"/>
      <c r="BN24" s="27">
        <f>1/1.46849</f>
        <v>0.6809716102935668</v>
      </c>
      <c r="BO24" s="19">
        <v>148.64</v>
      </c>
      <c r="BP24" s="19"/>
      <c r="BQ24" s="27">
        <f t="shared" si="0"/>
        <v>0.6828592907349204</v>
      </c>
      <c r="BR24" s="19">
        <f t="shared" si="0"/>
        <v>149.9781818181818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103.18</v>
      </c>
      <c r="E25" s="21"/>
      <c r="F25" s="28">
        <v>1</v>
      </c>
      <c r="G25" s="22">
        <v>102.89</v>
      </c>
      <c r="H25" s="21"/>
      <c r="I25" s="28">
        <v>1</v>
      </c>
      <c r="J25" s="22">
        <v>102.86</v>
      </c>
      <c r="K25" s="21"/>
      <c r="L25" s="28">
        <v>1</v>
      </c>
      <c r="M25" s="22">
        <v>103.22</v>
      </c>
      <c r="N25" s="21"/>
      <c r="O25" s="28">
        <v>1</v>
      </c>
      <c r="P25" s="22">
        <v>103.14</v>
      </c>
      <c r="Q25" s="21"/>
      <c r="R25" s="28">
        <v>1</v>
      </c>
      <c r="S25" s="22">
        <v>103.26</v>
      </c>
      <c r="T25" s="21"/>
      <c r="U25" s="28">
        <v>1</v>
      </c>
      <c r="V25" s="22">
        <v>102.84</v>
      </c>
      <c r="W25" s="21"/>
      <c r="X25" s="28">
        <v>1</v>
      </c>
      <c r="Y25" s="22">
        <v>102.74</v>
      </c>
      <c r="Z25" s="21"/>
      <c r="AA25" s="28">
        <v>1</v>
      </c>
      <c r="AB25" s="22">
        <v>102.54</v>
      </c>
      <c r="AC25" s="21"/>
      <c r="AD25" s="28">
        <v>1</v>
      </c>
      <c r="AE25" s="22">
        <v>102.27</v>
      </c>
      <c r="AF25" s="21"/>
      <c r="AG25" s="28">
        <v>1</v>
      </c>
      <c r="AH25" s="22">
        <v>102.27</v>
      </c>
      <c r="AI25" s="21"/>
      <c r="AJ25" s="28">
        <v>1</v>
      </c>
      <c r="AK25" s="22">
        <v>102.73</v>
      </c>
      <c r="AL25" s="21"/>
      <c r="AM25" s="28">
        <v>1</v>
      </c>
      <c r="AN25" s="22">
        <v>102.55</v>
      </c>
      <c r="AO25" s="21"/>
      <c r="AP25" s="28">
        <v>1</v>
      </c>
      <c r="AQ25" s="22">
        <v>102.64</v>
      </c>
      <c r="AR25" s="21"/>
      <c r="AS25" s="28">
        <v>1</v>
      </c>
      <c r="AT25" s="22">
        <v>102.45</v>
      </c>
      <c r="AU25" s="21"/>
      <c r="AV25" s="28">
        <v>1</v>
      </c>
      <c r="AW25" s="22">
        <v>101.9</v>
      </c>
      <c r="AX25" s="21"/>
      <c r="AY25" s="28">
        <v>1</v>
      </c>
      <c r="AZ25" s="22">
        <v>101.88</v>
      </c>
      <c r="BA25" s="21"/>
      <c r="BB25" s="28">
        <v>1</v>
      </c>
      <c r="BC25" s="22">
        <v>101.71</v>
      </c>
      <c r="BD25" s="21"/>
      <c r="BE25" s="28">
        <v>1</v>
      </c>
      <c r="BF25" s="22">
        <v>101.76</v>
      </c>
      <c r="BG25" s="28"/>
      <c r="BH25" s="28">
        <v>1</v>
      </c>
      <c r="BI25" s="22">
        <v>101.64</v>
      </c>
      <c r="BJ25" s="28"/>
      <c r="BK25" s="28">
        <v>1</v>
      </c>
      <c r="BL25" s="22">
        <v>101.45</v>
      </c>
      <c r="BM25" s="22"/>
      <c r="BN25" s="28">
        <v>1</v>
      </c>
      <c r="BO25" s="22">
        <v>101.22</v>
      </c>
      <c r="BP25" s="22"/>
      <c r="BQ25" s="28">
        <f t="shared" si="0"/>
        <v>1</v>
      </c>
      <c r="BR25" s="22">
        <f t="shared" si="0"/>
        <v>102.41545454545454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2004-11-26T13:18:58Z</cp:lastPrinted>
  <dcterms:created xsi:type="dcterms:W3CDTF">2002-01-04T09:02:27Z</dcterms:created>
  <dcterms:modified xsi:type="dcterms:W3CDTF">2018-03-05T12:27:50Z</dcterms:modified>
  <cp:category/>
  <cp:version/>
  <cp:contentType/>
  <cp:contentStatus/>
</cp:coreProperties>
</file>