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tabRatio="675" activeTab="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>
    <definedName name="_xlnm.Print_Area" localSheetId="11">'Dhjetor'!$A$1:$BC$25</definedName>
    <definedName name="_xlnm.Print_Area" localSheetId="7">'Gusht'!$A$1:$BU$25</definedName>
    <definedName name="_xlnm.Print_Area" localSheetId="0">'Janar'!$A$1:$BG$25</definedName>
    <definedName name="_xlnm.Print_Area" localSheetId="6">'Korrik'!$A$1:$BO$25</definedName>
    <definedName name="_xlnm.Print_Area" localSheetId="4">'Maj'!$A$1:$BO$25</definedName>
    <definedName name="_xlnm.Print_Area" localSheetId="2">'Mars'!$A$1:$BM$25</definedName>
    <definedName name="_xlnm.Print_Area" localSheetId="10">'Nentor'!$A$1:$BI$25</definedName>
    <definedName name="_xlnm.Print_Area" localSheetId="3">'Prill'!$A$1:$BO$25</definedName>
    <definedName name="_xlnm.Print_Area" localSheetId="5">'Qershor'!$A$1:$BQ$25</definedName>
    <definedName name="_xlnm.Print_Area" localSheetId="1">'Shkurt'!$A$1:$BL$25</definedName>
    <definedName name="_xlnm.Print_Area" localSheetId="8">'Shtator'!$A$1:$BR$25</definedName>
    <definedName name="_xlnm.Print_Area" localSheetId="9">'Tetor'!$A$1:$BM$25</definedName>
    <definedName name="_xlnm.Print_Titles" localSheetId="6">'Korrik'!$A:$B</definedName>
  </definedNames>
  <calcPr fullCalcOnLoad="1"/>
</workbook>
</file>

<file path=xl/sharedStrings.xml><?xml version="1.0" encoding="utf-8"?>
<sst xmlns="http://schemas.openxmlformats.org/spreadsheetml/2006/main" count="2374" uniqueCount="287">
  <si>
    <t xml:space="preserve">         Kurset e Kembimit</t>
  </si>
  <si>
    <t/>
  </si>
  <si>
    <t xml:space="preserve">   </t>
  </si>
  <si>
    <t xml:space="preserve">         KURSI  MESATAR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</si>
  <si>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</si>
  <si>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</si>
  <si>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</si>
  <si>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</si>
  <si>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</si>
  <si>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</si>
  <si>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</si>
  <si>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</si>
  <si>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</si>
  <si>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</si>
  <si>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</si>
  <si>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</si>
  <si>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</si>
  <si>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</si>
  <si>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</si>
  <si>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</si>
  <si>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</si>
  <si>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</si>
  <si>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</si>
  <si>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</si>
  <si>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</si>
  <si>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</si>
  <si>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</si>
  <si>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Janar' 05</t>
  </si>
  <si>
    <t xml:space="preserve">    DT. 05.01.2005</t>
  </si>
  <si>
    <t xml:space="preserve">    DT. 06.01.2005</t>
  </si>
  <si>
    <t xml:space="preserve">    DT. 07.01.2005</t>
  </si>
  <si>
    <t xml:space="preserve">    DT. 10.01.2005</t>
  </si>
  <si>
    <t xml:space="preserve">    DT. 11.01.2005</t>
  </si>
  <si>
    <t xml:space="preserve">    DT. 12.01.2005</t>
  </si>
  <si>
    <t xml:space="preserve">    DT. 13.01.2005</t>
  </si>
  <si>
    <t xml:space="preserve">    DT. 14.01.2005</t>
  </si>
  <si>
    <t xml:space="preserve">    DT. 17.01.2005</t>
  </si>
  <si>
    <t xml:space="preserve">    DT. 18.01.2005</t>
  </si>
  <si>
    <t xml:space="preserve">    DT. 19.01.2005</t>
  </si>
  <si>
    <t xml:space="preserve">    DT. 21.01.2005</t>
  </si>
  <si>
    <t xml:space="preserve">    DT. 24.01.2005</t>
  </si>
  <si>
    <t xml:space="preserve">    DT. 25.01.2005</t>
  </si>
  <si>
    <t xml:space="preserve">    DT. 26.01.2005</t>
  </si>
  <si>
    <t xml:space="preserve">    DT. 27.01.2005</t>
  </si>
  <si>
    <t xml:space="preserve">    DT. 28.01.2005</t>
  </si>
  <si>
    <t xml:space="preserve">    DT. 31.01.2005</t>
  </si>
  <si>
    <t>Shkurt' 05</t>
  </si>
  <si>
    <t xml:space="preserve">    DT. 01.02.2005</t>
  </si>
  <si>
    <t xml:space="preserve">    DT. 02.02.2005</t>
  </si>
  <si>
    <t xml:space="preserve">    DT. 03.02.2005</t>
  </si>
  <si>
    <t xml:space="preserve">    DT. 04.02.2005</t>
  </si>
  <si>
    <t xml:space="preserve">    DT. 07.02.2005</t>
  </si>
  <si>
    <t xml:space="preserve">    DT. 08.02.2005</t>
  </si>
  <si>
    <t xml:space="preserve">    DT. 09.02.2005</t>
  </si>
  <si>
    <t xml:space="preserve">    DT. 10.02.2005</t>
  </si>
  <si>
    <t xml:space="preserve">    DT. 11.02.2005</t>
  </si>
  <si>
    <t xml:space="preserve">    DT. 14.02.2005</t>
  </si>
  <si>
    <t xml:space="preserve">    DT. 15.02.2005</t>
  </si>
  <si>
    <t xml:space="preserve">    DT. 16.02.2005</t>
  </si>
  <si>
    <t xml:space="preserve">    DT. 17.02.2005</t>
  </si>
  <si>
    <t xml:space="preserve">    DT. 18.02.2005</t>
  </si>
  <si>
    <t xml:space="preserve">    DT. 21.02.2005</t>
  </si>
  <si>
    <t xml:space="preserve">    DT. 22.02.2005</t>
  </si>
  <si>
    <t xml:space="preserve">    DT. 23.02.2005</t>
  </si>
  <si>
    <t xml:space="preserve">    DT. 24.02.2005</t>
  </si>
  <si>
    <t xml:space="preserve">    DT. 25.02.2005</t>
  </si>
  <si>
    <t xml:space="preserve">    DT. 28.02.2005</t>
  </si>
  <si>
    <t>Mars' 05</t>
  </si>
  <si>
    <t xml:space="preserve">    DT. 01.03.2005</t>
  </si>
  <si>
    <t xml:space="preserve">    DT. 02.03.2005</t>
  </si>
  <si>
    <t xml:space="preserve">    DT. 03.03.2005</t>
  </si>
  <si>
    <t xml:space="preserve">    DT. 04.03.2005</t>
  </si>
  <si>
    <t xml:space="preserve">    DT. 07.03.2005</t>
  </si>
  <si>
    <t xml:space="preserve">    DT. 08.03.2005</t>
  </si>
  <si>
    <t xml:space="preserve">    DT. 09.03.2005</t>
  </si>
  <si>
    <t xml:space="preserve">    DT. 10.03.2005</t>
  </si>
  <si>
    <t xml:space="preserve">    DT. 11.03.2005</t>
  </si>
  <si>
    <t xml:space="preserve">    DT. 15.03.2005</t>
  </si>
  <si>
    <t xml:space="preserve">    DT. 16.03.2005</t>
  </si>
  <si>
    <t xml:space="preserve">    DT. 17.03.2005</t>
  </si>
  <si>
    <t xml:space="preserve">    DT. 18.03.2005</t>
  </si>
  <si>
    <t xml:space="preserve">    DT. 21.03.2005</t>
  </si>
  <si>
    <t xml:space="preserve">    DT. 23.03.2005</t>
  </si>
  <si>
    <t xml:space="preserve">    DT. 24.03.2005</t>
  </si>
  <si>
    <t xml:space="preserve">    DT. 25.03.2005</t>
  </si>
  <si>
    <t xml:space="preserve">    DT. 29.03.2005</t>
  </si>
  <si>
    <t xml:space="preserve">    DT. 30.03.2005</t>
  </si>
  <si>
    <t xml:space="preserve">    DT. 31.03.2005</t>
  </si>
  <si>
    <t>Prill' 05</t>
  </si>
  <si>
    <t xml:space="preserve">    DT. 01.04.2005</t>
  </si>
  <si>
    <t xml:space="preserve">    DT. 04.04.2005</t>
  </si>
  <si>
    <t xml:space="preserve">    DT. 05.04.2005</t>
  </si>
  <si>
    <t xml:space="preserve">    DT. 06.04.2005</t>
  </si>
  <si>
    <t xml:space="preserve">    DT. 07.04.2005</t>
  </si>
  <si>
    <t xml:space="preserve">    DT. 08.04.2005</t>
  </si>
  <si>
    <t xml:space="preserve">    DT. 11.04.2005</t>
  </si>
  <si>
    <t xml:space="preserve">    DT. 12.04.2005</t>
  </si>
  <si>
    <t xml:space="preserve">    DT. 13.04.2005</t>
  </si>
  <si>
    <t xml:space="preserve">    DT. 14.04.2005</t>
  </si>
  <si>
    <t xml:space="preserve">    DT. 15.04.2005</t>
  </si>
  <si>
    <t xml:space="preserve">    DT. 18.04.2005</t>
  </si>
  <si>
    <t xml:space="preserve">    DT. 19.04.2005</t>
  </si>
  <si>
    <t xml:space="preserve">    DT. 20.04.2005</t>
  </si>
  <si>
    <t xml:space="preserve">    DT. 21.04.2005</t>
  </si>
  <si>
    <t xml:space="preserve">    DT. 22.04.2005</t>
  </si>
  <si>
    <t xml:space="preserve">    DT. 25.04.2005</t>
  </si>
  <si>
    <t xml:space="preserve">    DT. 26.04.2005</t>
  </si>
  <si>
    <t xml:space="preserve">    DT. 27.04.2005</t>
  </si>
  <si>
    <t xml:space="preserve">    DT. 28.04.2005</t>
  </si>
  <si>
    <t xml:space="preserve">    DT. 29.04.2005</t>
  </si>
  <si>
    <t xml:space="preserve">    DT. 03.05.2005</t>
  </si>
  <si>
    <t xml:space="preserve">    DT. 04.05.2005</t>
  </si>
  <si>
    <t xml:space="preserve">    DT. 05.05.2005</t>
  </si>
  <si>
    <t xml:space="preserve">    DT. 06.05.2005</t>
  </si>
  <si>
    <t xml:space="preserve">    DT. 09.05.2005</t>
  </si>
  <si>
    <t xml:space="preserve">    DT. 10.05.2005</t>
  </si>
  <si>
    <t xml:space="preserve">    DT. 11.05.2005</t>
  </si>
  <si>
    <t xml:space="preserve">    DT. 12.05.2005</t>
  </si>
  <si>
    <t xml:space="preserve">    DT. 13.05.2005</t>
  </si>
  <si>
    <t xml:space="preserve">    DT. 16.05.2005</t>
  </si>
  <si>
    <t xml:space="preserve">    DT. 17.05.2005</t>
  </si>
  <si>
    <t xml:space="preserve">    DT. 18.05.2005</t>
  </si>
  <si>
    <t xml:space="preserve">    DT. 19.05.2005</t>
  </si>
  <si>
    <t xml:space="preserve">    DT. 20.05.2005</t>
  </si>
  <si>
    <t xml:space="preserve">    DT. 23.05.2005</t>
  </si>
  <si>
    <t xml:space="preserve">    DT. 24.05.2005</t>
  </si>
  <si>
    <t xml:space="preserve">    DT. 25.05.2005</t>
  </si>
  <si>
    <t xml:space="preserve">    DT. 26.05.2005</t>
  </si>
  <si>
    <t xml:space="preserve">    DT. 27.05.2005</t>
  </si>
  <si>
    <t xml:space="preserve">    DT. 30.05.2005</t>
  </si>
  <si>
    <t xml:space="preserve">    DT. 31.05.2005</t>
  </si>
  <si>
    <t>Maj' 05</t>
  </si>
  <si>
    <t>Qershor' 05</t>
  </si>
  <si>
    <t xml:space="preserve">    DT. 01.06.2005</t>
  </si>
  <si>
    <t xml:space="preserve">    DT. 02.06.2005</t>
  </si>
  <si>
    <t xml:space="preserve">    DT. 03.06.2005</t>
  </si>
  <si>
    <t xml:space="preserve">    DT. 06.06.2005</t>
  </si>
  <si>
    <t xml:space="preserve">    DT. 07.06.2005</t>
  </si>
  <si>
    <t xml:space="preserve">    DT. 08.06.2005</t>
  </si>
  <si>
    <t xml:space="preserve">    DT. 09.06.2005</t>
  </si>
  <si>
    <t xml:space="preserve">    DT. 10.06.2005</t>
  </si>
  <si>
    <t xml:space="preserve">    DT. 13.06.2005</t>
  </si>
  <si>
    <t xml:space="preserve">    DT. 14.06.2005</t>
  </si>
  <si>
    <t xml:space="preserve">    DT. 15.06.2005</t>
  </si>
  <si>
    <t xml:space="preserve">    DT. 16.06.2005</t>
  </si>
  <si>
    <t xml:space="preserve">    DT. 17.06.2005</t>
  </si>
  <si>
    <t xml:space="preserve">    DT. 20.06.2005</t>
  </si>
  <si>
    <t xml:space="preserve">    DT. 21.06.2005</t>
  </si>
  <si>
    <t xml:space="preserve">    DT. 22.06.2005</t>
  </si>
  <si>
    <t xml:space="preserve">    DT. 23.06.2005</t>
  </si>
  <si>
    <t xml:space="preserve">    DT. 24.06.2005</t>
  </si>
  <si>
    <t xml:space="preserve">    DT. 27.06.2005</t>
  </si>
  <si>
    <t xml:space="preserve">    DT. 28.06.2005</t>
  </si>
  <si>
    <t xml:space="preserve">    DT. 29.06.2005</t>
  </si>
  <si>
    <t xml:space="preserve">    DT. 30.06.2005</t>
  </si>
  <si>
    <t>Korrik' 05</t>
  </si>
  <si>
    <t xml:space="preserve">    DT. 01.07.2005</t>
  </si>
  <si>
    <t xml:space="preserve">    DT. 04.07.2005</t>
  </si>
  <si>
    <t xml:space="preserve">    DT. 05.07.2005</t>
  </si>
  <si>
    <t xml:space="preserve">    DT. 06.07.2005</t>
  </si>
  <si>
    <t xml:space="preserve">    DT. 07.07.2005</t>
  </si>
  <si>
    <t xml:space="preserve">    DT. 08.07.2005</t>
  </si>
  <si>
    <t xml:space="preserve">    DT. 11.07.2005</t>
  </si>
  <si>
    <t xml:space="preserve">    DT. 12.07.2005</t>
  </si>
  <si>
    <t xml:space="preserve">    DT. 13.07.2005</t>
  </si>
  <si>
    <t xml:space="preserve">    DT. 14.07.2005</t>
  </si>
  <si>
    <t xml:space="preserve">    DT. 15.07.2005</t>
  </si>
  <si>
    <t xml:space="preserve">    DT. 18.07.2005</t>
  </si>
  <si>
    <t xml:space="preserve">    DT. 19.07.2005</t>
  </si>
  <si>
    <t xml:space="preserve">    DT. 20.07.2005</t>
  </si>
  <si>
    <t xml:space="preserve">    DT. 21.07.2005</t>
  </si>
  <si>
    <t xml:space="preserve">    DT. 22.07.2005</t>
  </si>
  <si>
    <t xml:space="preserve">    DT. 25.07.2005</t>
  </si>
  <si>
    <t xml:space="preserve">    DT. 26.07.2005</t>
  </si>
  <si>
    <t xml:space="preserve">    DT. 27.07.2005</t>
  </si>
  <si>
    <t xml:space="preserve">    DT. 28.07.2005</t>
  </si>
  <si>
    <t xml:space="preserve">    DT. 29.07.2005</t>
  </si>
  <si>
    <t>Gusht' 05</t>
  </si>
  <si>
    <t xml:space="preserve">    DT. 02.08.2005</t>
  </si>
  <si>
    <t xml:space="preserve">    DT. 01.08.2005</t>
  </si>
  <si>
    <t xml:space="preserve">    DT. 03.08.2005</t>
  </si>
  <si>
    <t xml:space="preserve">    DT. 04.08.2005</t>
  </si>
  <si>
    <t xml:space="preserve">    DT. 05.08.2005</t>
  </si>
  <si>
    <t xml:space="preserve">    DT. 08.08.2005</t>
  </si>
  <si>
    <t xml:space="preserve">    DT. 09.08.2005</t>
  </si>
  <si>
    <t xml:space="preserve">    DT. 10.08.2005</t>
  </si>
  <si>
    <t xml:space="preserve">    DT. 11.08.2005</t>
  </si>
  <si>
    <t xml:space="preserve">    DT. 12.08.2005</t>
  </si>
  <si>
    <t xml:space="preserve">    DT. 15.08.2005</t>
  </si>
  <si>
    <t xml:space="preserve">    DT. 16.08.2005</t>
  </si>
  <si>
    <t xml:space="preserve">    DT. 17.08.2005</t>
  </si>
  <si>
    <t xml:space="preserve">    DT. 18.08.2005</t>
  </si>
  <si>
    <t xml:space="preserve">    DT. 19.08.2005</t>
  </si>
  <si>
    <t xml:space="preserve">    DT. 22.08.2005</t>
  </si>
  <si>
    <t xml:space="preserve">    DT. 23.08.2005</t>
  </si>
  <si>
    <t xml:space="preserve">    DT. 24.08.2005</t>
  </si>
  <si>
    <t xml:space="preserve">    DT. 25.08.2005</t>
  </si>
  <si>
    <t xml:space="preserve">    DT. 26.08.2005</t>
  </si>
  <si>
    <t xml:space="preserve">    DT. 29.08.2005</t>
  </si>
  <si>
    <t xml:space="preserve">    DT. 30.08.2005</t>
  </si>
  <si>
    <t xml:space="preserve">    DT. 31.08.2005</t>
  </si>
  <si>
    <t>Shtator' 05</t>
  </si>
  <si>
    <t xml:space="preserve">    DT. 01.09.2005</t>
  </si>
  <si>
    <t xml:space="preserve">    DT. 02.09.2005</t>
  </si>
  <si>
    <t xml:space="preserve">    DT. 05.09.2005</t>
  </si>
  <si>
    <t xml:space="preserve">    DT. 06.09.2005</t>
  </si>
  <si>
    <t xml:space="preserve">    DT. 07.09.2005</t>
  </si>
  <si>
    <t xml:space="preserve">    DT. 08.09.2005</t>
  </si>
  <si>
    <t xml:space="preserve">    DT. 09.09.2005</t>
  </si>
  <si>
    <t xml:space="preserve">    DT. 12.09.2005</t>
  </si>
  <si>
    <t xml:space="preserve">    DT. 13.09.2005</t>
  </si>
  <si>
    <t xml:space="preserve">    DT. 14.09.2005</t>
  </si>
  <si>
    <t xml:space="preserve">    DT. 15.09.2005</t>
  </si>
  <si>
    <t xml:space="preserve">    DT. 16.09.2005</t>
  </si>
  <si>
    <t xml:space="preserve">    DT. 19.09.2005</t>
  </si>
  <si>
    <t xml:space="preserve">    DT. 20.09.2005</t>
  </si>
  <si>
    <t xml:space="preserve">    DT. 21.09.2005</t>
  </si>
  <si>
    <t xml:space="preserve">    DT. 22.09.2005</t>
  </si>
  <si>
    <t xml:space="preserve">    DT. 23.09.2005</t>
  </si>
  <si>
    <t xml:space="preserve">    DT. 26.09.2005</t>
  </si>
  <si>
    <t xml:space="preserve">    DT. 27.09.2005</t>
  </si>
  <si>
    <t xml:space="preserve">    DT. 28.09.2005</t>
  </si>
  <si>
    <t xml:space="preserve">    DT. 29.09.2005</t>
  </si>
  <si>
    <t xml:space="preserve">    DT. 30.09.2005</t>
  </si>
  <si>
    <t xml:space="preserve">    DT. 03.10.2005</t>
  </si>
  <si>
    <t xml:space="preserve">    DT. 04.10.2005</t>
  </si>
  <si>
    <t xml:space="preserve">    DT. 05.10.2005</t>
  </si>
  <si>
    <t xml:space="preserve">    DT. 06.10.2005</t>
  </si>
  <si>
    <t xml:space="preserve">    DT. 07.10.2005</t>
  </si>
  <si>
    <t xml:space="preserve">    DT. 10.10.2005</t>
  </si>
  <si>
    <t xml:space="preserve">    DT. 11.10.2005</t>
  </si>
  <si>
    <t xml:space="preserve">    DT. 12.10.2005</t>
  </si>
  <si>
    <t xml:space="preserve">    DT. 13.10.2005</t>
  </si>
  <si>
    <t xml:space="preserve">    DT. 14.10.2005</t>
  </si>
  <si>
    <t xml:space="preserve">    DT. 17.10.2005</t>
  </si>
  <si>
    <t xml:space="preserve">    DT. 18.10.2005</t>
  </si>
  <si>
    <t xml:space="preserve">    DT. 20.10.2005</t>
  </si>
  <si>
    <t xml:space="preserve">    DT. 21.10.2005</t>
  </si>
  <si>
    <t xml:space="preserve">    DT. 24.10.2005</t>
  </si>
  <si>
    <t xml:space="preserve">    DT. 25.10.2005</t>
  </si>
  <si>
    <t xml:space="preserve">    DT. 26.10.2005</t>
  </si>
  <si>
    <t xml:space="preserve">    DT. 27.10.2005</t>
  </si>
  <si>
    <t xml:space="preserve">    DT. 28.10.2005</t>
  </si>
  <si>
    <t xml:space="preserve">    DT. 31.10.2005</t>
  </si>
  <si>
    <t>Tetor' 05</t>
  </si>
  <si>
    <t>Nentor' 05</t>
  </si>
  <si>
    <t xml:space="preserve">    DT. 01.11.2005</t>
  </si>
  <si>
    <t xml:space="preserve">    DT. 02.11.2005</t>
  </si>
  <si>
    <t xml:space="preserve">    DT. 04.11.2005</t>
  </si>
  <si>
    <t xml:space="preserve">    DT. 07.11.2005</t>
  </si>
  <si>
    <t xml:space="preserve">    DT. 08.11.2005</t>
  </si>
  <si>
    <t xml:space="preserve">    DT. 09.11.2005</t>
  </si>
  <si>
    <t xml:space="preserve">    DT. 10.11.2005</t>
  </si>
  <si>
    <t xml:space="preserve">    DT. 14.11.2005</t>
  </si>
  <si>
    <t xml:space="preserve">    DT. 15.11.2005</t>
  </si>
  <si>
    <t xml:space="preserve">    DT. 16.11.2005</t>
  </si>
  <si>
    <t xml:space="preserve">    DT. 17.11.2005</t>
  </si>
  <si>
    <t xml:space="preserve">    DT. 11.11.2005</t>
  </si>
  <si>
    <t xml:space="preserve">    DT. 18.11.2005</t>
  </si>
  <si>
    <t xml:space="preserve">    DT. 21.11.2005</t>
  </si>
  <si>
    <t xml:space="preserve">    DT. 22.11.2005</t>
  </si>
  <si>
    <t xml:space="preserve">    DT. 23.11.2005</t>
  </si>
  <si>
    <t xml:space="preserve">    DT. 24.11.2005</t>
  </si>
  <si>
    <t xml:space="preserve">    DT. 25.11.2005</t>
  </si>
  <si>
    <t>Dhjetor' 05</t>
  </si>
  <si>
    <t xml:space="preserve">    DT. 01.12.2005</t>
  </si>
  <si>
    <t xml:space="preserve">    DT. 02.12.2005</t>
  </si>
  <si>
    <t xml:space="preserve">    DT. 05.12.2005</t>
  </si>
  <si>
    <t xml:space="preserve">    DT. 30.11.2005</t>
  </si>
  <si>
    <t xml:space="preserve">    DT. 30.12.2005</t>
  </si>
  <si>
    <t xml:space="preserve">    DT. 29.12.2005</t>
  </si>
  <si>
    <t xml:space="preserve">    DT. 28.12.2005</t>
  </si>
  <si>
    <t xml:space="preserve">    DT. 27.12.2005</t>
  </si>
  <si>
    <t xml:space="preserve">    DT. 23.12.2005</t>
  </si>
  <si>
    <t xml:space="preserve">    DT. 22.12.2005</t>
  </si>
  <si>
    <t xml:space="preserve">    DT. 21.12.2005</t>
  </si>
  <si>
    <t xml:space="preserve">    DT. 20.12.2005</t>
  </si>
  <si>
    <t xml:space="preserve">    DT. 19.12.2005</t>
  </si>
  <si>
    <t xml:space="preserve">    DT. 16.12.2005</t>
  </si>
  <si>
    <t xml:space="preserve">    DT. 15.12.2005</t>
  </si>
  <si>
    <t xml:space="preserve">    DT. 14.12.2005</t>
  </si>
  <si>
    <t xml:space="preserve">    DT. 13.12.2005</t>
  </si>
  <si>
    <t xml:space="preserve">    DT. 12.12.2005</t>
  </si>
  <si>
    <t xml:space="preserve">    DT. 09.12.2005</t>
  </si>
  <si>
    <t xml:space="preserve">    DT. 08.12.2005</t>
  </si>
  <si>
    <t xml:space="preserve">    DT. 07.12.2005</t>
  </si>
  <si>
    <t xml:space="preserve">    DT. 06.12.2005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</si>
</sst>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General_)"/>
    <numFmt numFmtId="187" formatCode="0.000_)"/>
    <numFmt numFmtId="188" formatCode="0.00_)"/>
    <numFmt numFmtId="189" formatCode="0.00000_)"/>
    <numFmt numFmtId="190" formatCode="0.0000_)"/>
    <numFmt numFmtId="191" formatCode="0.000"/>
    <numFmt numFmtId="192" formatCode="0.0000"/>
    <numFmt numFmtId="193" formatCode="0.0_)"/>
    <numFmt numFmtId="194" formatCode="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00"/>
    <numFmt numFmtId="199" formatCode="0.00;[Red]0.00"/>
    <numFmt numFmtId="200" formatCode="0.00_);\(0.00\)"/>
    <numFmt numFmtId="201" formatCode="0_);\(0\)"/>
    <numFmt numFmtId="202" formatCode="0.000_);\(0.000\)"/>
    <numFmt numFmtId="203" formatCode="0.00000"/>
    <numFmt numFmtId="204" formatCode="#,##0.0000_);\(#,##0.0000\)"/>
    <numFmt numFmtId="205" formatCode="#,##0.00000_);\(#,##0.00000\)"/>
    <numFmt numFmtId="206" formatCode="0.0"/>
    <numFmt numFmtId="207" formatCode="_(* #,##0.000_);_(* \(#,##0.000\);_(* &quot;-&quot;??_);_(@_)"/>
    <numFmt numFmtId="208" formatCode="_(* #,##0.0000_);_(* \(#,##0.0000\);_(* &quot;-&quot;??_);_(@_)"/>
    <numFmt numFmtId="209" formatCode="_(* #,##0.0_);_(* \(#,##0.0\);_(* &quot;-&quot;??_);_(@_)"/>
  </numFmts>
  <fonts count="5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trike/>
      <sz val="12"/>
      <color indexed="12"/>
      <name val="Tms Rmn"/>
      <family val="0"/>
    </font>
    <font>
      <b/>
      <sz val="14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186" fontId="0" fillId="0" borderId="0" xfId="0" applyAlignment="1">
      <alignment/>
    </xf>
    <xf numFmtId="187" fontId="5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right"/>
      <protection/>
    </xf>
    <xf numFmtId="187" fontId="8" fillId="0" borderId="0" xfId="0" applyNumberFormat="1" applyFont="1" applyAlignment="1" applyProtection="1">
      <alignment horizontal="left"/>
      <protection/>
    </xf>
    <xf numFmtId="187" fontId="9" fillId="0" borderId="0" xfId="0" applyNumberFormat="1" applyFont="1" applyAlignment="1" applyProtection="1">
      <alignment/>
      <protection/>
    </xf>
    <xf numFmtId="187" fontId="9" fillId="0" borderId="0" xfId="0" applyNumberFormat="1" applyFont="1" applyAlignment="1" applyProtection="1">
      <alignment horizontal="left"/>
      <protection/>
    </xf>
    <xf numFmtId="186" fontId="9" fillId="0" borderId="0" xfId="0" applyFont="1" applyAlignment="1">
      <alignment/>
    </xf>
    <xf numFmtId="186" fontId="10" fillId="0" borderId="0" xfId="0" applyFont="1" applyAlignment="1">
      <alignment/>
    </xf>
    <xf numFmtId="187" fontId="9" fillId="0" borderId="0" xfId="0" applyNumberFormat="1" applyFont="1" applyBorder="1" applyAlignment="1" applyProtection="1">
      <alignment/>
      <protection/>
    </xf>
    <xf numFmtId="187" fontId="8" fillId="0" borderId="0" xfId="0" applyNumberFormat="1" applyFont="1" applyAlignment="1" applyProtection="1">
      <alignment/>
      <protection/>
    </xf>
    <xf numFmtId="187" fontId="9" fillId="0" borderId="10" xfId="0" applyNumberFormat="1" applyFont="1" applyBorder="1" applyAlignment="1" applyProtection="1">
      <alignment/>
      <protection/>
    </xf>
    <xf numFmtId="187" fontId="9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 applyProtection="1">
      <alignment horizontal="center"/>
      <protection/>
    </xf>
    <xf numFmtId="187" fontId="9" fillId="0" borderId="10" xfId="0" applyNumberFormat="1" applyFont="1" applyBorder="1" applyAlignment="1" applyProtection="1">
      <alignment horizontal="left"/>
      <protection/>
    </xf>
    <xf numFmtId="187" fontId="8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left"/>
      <protection/>
    </xf>
    <xf numFmtId="188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86" fontId="7" fillId="0" borderId="0" xfId="0" applyNumberFormat="1" applyFont="1" applyAlignment="1" applyProtection="1">
      <alignment horizontal="left"/>
      <protection/>
    </xf>
    <xf numFmtId="187" fontId="9" fillId="0" borderId="11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186" fontId="10" fillId="0" borderId="0" xfId="0" applyFont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86" fontId="12" fillId="0" borderId="0" xfId="0" applyFont="1" applyBorder="1" applyAlignment="1">
      <alignment/>
    </xf>
    <xf numFmtId="187" fontId="11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 horizontal="left"/>
      <protection/>
    </xf>
    <xf numFmtId="19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 horizontal="left"/>
      <protection/>
    </xf>
    <xf numFmtId="202" fontId="9" fillId="0" borderId="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187" fontId="7" fillId="0" borderId="11" xfId="0" applyNumberFormat="1" applyFont="1" applyBorder="1" applyAlignment="1" applyProtection="1">
      <alignment horizontal="left"/>
      <protection/>
    </xf>
    <xf numFmtId="187" fontId="8" fillId="0" borderId="0" xfId="0" applyNumberFormat="1" applyFont="1" applyBorder="1" applyAlignment="1" applyProtection="1">
      <alignment horizontal="left"/>
      <protection/>
    </xf>
    <xf numFmtId="187" fontId="11" fillId="0" borderId="0" xfId="0" applyNumberFormat="1" applyFont="1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center"/>
      <protection/>
    </xf>
    <xf numFmtId="186" fontId="0" fillId="0" borderId="0" xfId="0" applyBorder="1" applyAlignment="1">
      <alignment/>
    </xf>
    <xf numFmtId="192" fontId="15" fillId="0" borderId="0" xfId="0" applyNumberFormat="1" applyFont="1" applyBorder="1" applyAlignment="1" applyProtection="1">
      <alignment/>
      <protection/>
    </xf>
    <xf numFmtId="187" fontId="16" fillId="0" borderId="0" xfId="0" applyNumberFormat="1" applyFont="1" applyAlignment="1" applyProtection="1">
      <alignment/>
      <protection/>
    </xf>
    <xf numFmtId="187" fontId="11" fillId="0" borderId="12" xfId="0" applyNumberFormat="1" applyFont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/>
      <protection/>
    </xf>
    <xf numFmtId="192" fontId="9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 horizontal="left"/>
      <protection/>
    </xf>
    <xf numFmtId="187" fontId="11" fillId="0" borderId="0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 horizontal="center"/>
      <protection/>
    </xf>
    <xf numFmtId="188" fontId="9" fillId="0" borderId="0" xfId="0" applyNumberFormat="1" applyFont="1" applyFill="1" applyBorder="1" applyAlignment="1" applyProtection="1">
      <alignment/>
      <protection/>
    </xf>
    <xf numFmtId="187" fontId="16" fillId="0" borderId="0" xfId="0" applyNumberFormat="1" applyFont="1" applyAlignment="1" applyProtection="1">
      <alignment horizontal="right"/>
      <protection/>
    </xf>
    <xf numFmtId="43" fontId="9" fillId="0" borderId="0" xfId="42" applyFont="1" applyBorder="1" applyAlignment="1" applyProtection="1">
      <alignment/>
      <protection/>
    </xf>
    <xf numFmtId="43" fontId="9" fillId="0" borderId="0" xfId="42" applyFont="1" applyAlignment="1" applyProtection="1">
      <alignment/>
      <protection/>
    </xf>
    <xf numFmtId="43" fontId="9" fillId="0" borderId="11" xfId="42" applyFont="1" applyBorder="1" applyAlignment="1" applyProtection="1">
      <alignment/>
      <protection/>
    </xf>
    <xf numFmtId="208" fontId="8" fillId="0" borderId="10" xfId="42" applyNumberFormat="1" applyFont="1" applyBorder="1" applyAlignment="1" applyProtection="1">
      <alignment/>
      <protection/>
    </xf>
    <xf numFmtId="208" fontId="9" fillId="0" borderId="10" xfId="42" applyNumberFormat="1" applyFont="1" applyBorder="1" applyAlignment="1" applyProtection="1">
      <alignment/>
      <protection/>
    </xf>
    <xf numFmtId="208" fontId="9" fillId="0" borderId="0" xfId="42" applyNumberFormat="1" applyFont="1" applyBorder="1" applyAlignment="1" applyProtection="1">
      <alignment/>
      <protection/>
    </xf>
    <xf numFmtId="208" fontId="0" fillId="0" borderId="0" xfId="42" applyNumberFormat="1" applyFont="1" applyBorder="1" applyAlignment="1">
      <alignment/>
    </xf>
    <xf numFmtId="208" fontId="9" fillId="0" borderId="0" xfId="42" applyNumberFormat="1" applyFont="1" applyAlignment="1" applyProtection="1">
      <alignment/>
      <protection/>
    </xf>
    <xf numFmtId="208" fontId="0" fillId="0" borderId="0" xfId="42" applyNumberFormat="1" applyFont="1" applyAlignment="1">
      <alignment/>
    </xf>
    <xf numFmtId="208" fontId="9" fillId="0" borderId="11" xfId="42" applyNumberFormat="1" applyFont="1" applyBorder="1" applyAlignment="1" applyProtection="1">
      <alignment/>
      <protection/>
    </xf>
    <xf numFmtId="43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zoomScale="75" zoomScaleNormal="75" zoomScalePageLayoutView="0" workbookViewId="0" topLeftCell="A1">
      <pane xSplit="2" ySplit="11" topLeftCell="Q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Q27" sqref="Q27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28</v>
      </c>
      <c r="D4" s="4"/>
      <c r="E4" s="10"/>
      <c r="F4" s="4" t="s">
        <v>29</v>
      </c>
      <c r="G4" s="4"/>
      <c r="H4" s="10"/>
      <c r="I4" s="4" t="s">
        <v>30</v>
      </c>
      <c r="J4" s="4"/>
      <c r="K4" s="10"/>
      <c r="L4" s="4" t="s">
        <v>31</v>
      </c>
      <c r="M4" s="4"/>
      <c r="N4" s="10"/>
      <c r="O4" s="4" t="s">
        <v>32</v>
      </c>
      <c r="P4" s="4"/>
      <c r="Q4" s="10"/>
      <c r="R4" s="4" t="s">
        <v>33</v>
      </c>
      <c r="S4" s="4"/>
      <c r="T4" s="10"/>
      <c r="U4" s="4" t="s">
        <v>34</v>
      </c>
      <c r="V4" s="4"/>
      <c r="W4" s="10"/>
      <c r="X4" s="4" t="s">
        <v>35</v>
      </c>
      <c r="Y4" s="4"/>
      <c r="Z4" s="10"/>
      <c r="AA4" s="4" t="s">
        <v>36</v>
      </c>
      <c r="AB4" s="4"/>
      <c r="AC4" s="10"/>
      <c r="AD4" s="4" t="s">
        <v>37</v>
      </c>
      <c r="AE4" s="4"/>
      <c r="AF4" s="10"/>
      <c r="AG4" s="4" t="s">
        <v>38</v>
      </c>
      <c r="AH4" s="4"/>
      <c r="AI4" s="10"/>
      <c r="AJ4" s="4" t="s">
        <v>39</v>
      </c>
      <c r="AK4" s="4"/>
      <c r="AL4" s="10"/>
      <c r="AM4" s="4" t="s">
        <v>40</v>
      </c>
      <c r="AN4" s="4"/>
      <c r="AO4" s="10"/>
      <c r="AP4" s="4" t="s">
        <v>41</v>
      </c>
      <c r="AQ4" s="4"/>
      <c r="AR4" s="10"/>
      <c r="AS4" s="4" t="s">
        <v>42</v>
      </c>
      <c r="AT4" s="4"/>
      <c r="AU4" s="10"/>
      <c r="AV4" s="4" t="s">
        <v>43</v>
      </c>
      <c r="AW4" s="4"/>
      <c r="AX4" s="10"/>
      <c r="AY4" s="4" t="s">
        <v>44</v>
      </c>
      <c r="AZ4" s="4"/>
      <c r="BA4" s="10"/>
      <c r="BB4" s="4" t="s">
        <v>45</v>
      </c>
      <c r="BC4" s="4"/>
      <c r="BD4" s="10"/>
      <c r="BE4" s="4" t="s">
        <v>3</v>
      </c>
      <c r="BF4" s="4"/>
      <c r="BG4" s="47"/>
      <c r="BH4" s="48"/>
      <c r="BI4" s="48"/>
      <c r="BJ4" s="47"/>
      <c r="BK4" s="48"/>
      <c r="BL4" s="48"/>
      <c r="BM4" s="49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6"/>
      <c r="BF5" s="26"/>
      <c r="BG5" s="44"/>
      <c r="BH5" s="44"/>
      <c r="BI5" s="44"/>
      <c r="BJ5" s="44"/>
      <c r="BK5" s="49"/>
      <c r="BL5" s="49"/>
      <c r="BM5" s="49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44"/>
      <c r="BH6" s="44"/>
      <c r="BI6" s="44"/>
      <c r="BJ6" s="44"/>
      <c r="BK6" s="44"/>
      <c r="BL6" s="44"/>
      <c r="BM6" s="44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5</v>
      </c>
      <c r="BF7" s="12" t="s">
        <v>5</v>
      </c>
      <c r="BG7" s="50"/>
      <c r="BH7" s="50"/>
      <c r="BI7" s="50"/>
      <c r="BJ7" s="50"/>
      <c r="BK7" s="50"/>
      <c r="BL7" s="50"/>
      <c r="BM7" s="50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8</v>
      </c>
      <c r="BF8" s="12" t="s">
        <v>9</v>
      </c>
      <c r="BG8" s="50"/>
      <c r="BH8" s="50"/>
      <c r="BI8" s="50"/>
      <c r="BJ8" s="50"/>
      <c r="BK8" s="50"/>
      <c r="BL8" s="50"/>
      <c r="BM8" s="50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7</v>
      </c>
      <c r="BF9" s="12" t="s">
        <v>11</v>
      </c>
      <c r="BG9" s="50"/>
      <c r="BH9" s="50"/>
      <c r="BI9" s="50"/>
      <c r="BJ9" s="50"/>
      <c r="BK9" s="50"/>
      <c r="BL9" s="50"/>
      <c r="BM9" s="50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12" t="s">
        <v>10</v>
      </c>
      <c r="BF10" s="12" t="s">
        <v>12</v>
      </c>
      <c r="BG10" s="50"/>
      <c r="BH10" s="44"/>
      <c r="BI10" s="50"/>
      <c r="BJ10" s="50"/>
      <c r="BK10" s="50"/>
      <c r="BL10" s="50"/>
      <c r="BM10" s="50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44"/>
      <c r="BH11" s="44"/>
      <c r="BI11" s="44"/>
      <c r="BJ11" s="44"/>
      <c r="BK11" s="44"/>
      <c r="BL11" s="44"/>
      <c r="BM11" s="44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44"/>
      <c r="BH12" s="44"/>
      <c r="BI12" s="44"/>
      <c r="BJ12" s="44"/>
      <c r="BK12" s="44"/>
      <c r="BL12" s="44"/>
      <c r="BM12" s="44"/>
    </row>
    <row r="13" spans="1:65" ht="15.75" customHeight="1">
      <c r="A13" s="16">
        <v>1</v>
      </c>
      <c r="B13" s="17" t="s">
        <v>14</v>
      </c>
      <c r="C13" s="27">
        <v>104.96</v>
      </c>
      <c r="D13" s="19">
        <v>90.26</v>
      </c>
      <c r="E13" s="5"/>
      <c r="F13" s="27">
        <v>105.08</v>
      </c>
      <c r="G13" s="19">
        <v>90.75</v>
      </c>
      <c r="H13" s="5"/>
      <c r="I13" s="27">
        <v>104.37</v>
      </c>
      <c r="J13" s="19">
        <v>91.36</v>
      </c>
      <c r="K13" s="5"/>
      <c r="L13" s="27">
        <v>104.31</v>
      </c>
      <c r="M13" s="19">
        <v>92.85</v>
      </c>
      <c r="N13" s="5"/>
      <c r="O13" s="27">
        <v>103.92</v>
      </c>
      <c r="P13" s="19">
        <v>94.11</v>
      </c>
      <c r="Q13" s="5"/>
      <c r="R13" s="27">
        <v>103.35</v>
      </c>
      <c r="S13" s="19">
        <v>94.3</v>
      </c>
      <c r="T13" s="5"/>
      <c r="U13" s="27">
        <v>102.55</v>
      </c>
      <c r="V13" s="19">
        <v>94.09</v>
      </c>
      <c r="W13" s="5"/>
      <c r="X13" s="27">
        <v>102.58</v>
      </c>
      <c r="Y13" s="19">
        <v>93.91</v>
      </c>
      <c r="Z13" s="5"/>
      <c r="AA13" s="27">
        <v>101.86</v>
      </c>
      <c r="AB13" s="19">
        <v>95.16</v>
      </c>
      <c r="AC13" s="5"/>
      <c r="AD13" s="27">
        <v>102.9</v>
      </c>
      <c r="AE13" s="19">
        <v>94.72</v>
      </c>
      <c r="AF13" s="5"/>
      <c r="AG13" s="27">
        <v>102.55</v>
      </c>
      <c r="AH13" s="19">
        <v>94.6</v>
      </c>
      <c r="AI13" s="5"/>
      <c r="AJ13" s="27">
        <v>103.52</v>
      </c>
      <c r="AK13" s="19">
        <v>94.02</v>
      </c>
      <c r="AL13" s="5"/>
      <c r="AM13" s="27">
        <v>102.74</v>
      </c>
      <c r="AN13" s="19">
        <v>94.48</v>
      </c>
      <c r="AO13" s="5"/>
      <c r="AP13" s="27">
        <v>103.16</v>
      </c>
      <c r="AQ13" s="19">
        <v>94.22</v>
      </c>
      <c r="AR13" s="5"/>
      <c r="AS13" s="27">
        <v>103.36</v>
      </c>
      <c r="AT13" s="19">
        <v>94.28</v>
      </c>
      <c r="AU13" s="5"/>
      <c r="AV13" s="27">
        <v>103.43</v>
      </c>
      <c r="AW13" s="19">
        <v>93.95</v>
      </c>
      <c r="AX13" s="5"/>
      <c r="AY13" s="27">
        <v>103.31</v>
      </c>
      <c r="AZ13" s="19">
        <v>93.94</v>
      </c>
      <c r="BA13" s="5"/>
      <c r="BB13" s="27">
        <v>103.38</v>
      </c>
      <c r="BC13" s="19">
        <v>93.7</v>
      </c>
      <c r="BD13" s="5"/>
      <c r="BE13" s="27">
        <f>(+C13+F13+I13+L13+O13+R13+U13+X13+AA13+AD13+AG13+AJ13+AM13+AP13+AS13+AV13+AY13+BB13)/18</f>
        <v>103.40722222222222</v>
      </c>
      <c r="BF13" s="19">
        <f>(+D13+G13+J13+M13+P13+S13+V13+Y13+AB13+AE13+AH13+AK13+AN13+AQ13+AT13+AW13+AZ13+BC13)/18</f>
        <v>93.59444444444445</v>
      </c>
      <c r="BG13" s="44"/>
      <c r="BH13" s="45"/>
      <c r="BI13" s="46"/>
      <c r="BJ13" s="44"/>
      <c r="BK13" s="45"/>
      <c r="BL13" s="46"/>
      <c r="BM13" s="44"/>
    </row>
    <row r="14" spans="1:65" ht="15.75" customHeight="1">
      <c r="A14" s="16">
        <v>2</v>
      </c>
      <c r="B14" s="17" t="s">
        <v>15</v>
      </c>
      <c r="C14" s="27">
        <f>1/1.8733</f>
        <v>0.5338173277104575</v>
      </c>
      <c r="D14" s="19">
        <v>177.46</v>
      </c>
      <c r="E14" s="5"/>
      <c r="F14" s="27">
        <f>1/1.8712</f>
        <v>0.5344164172723386</v>
      </c>
      <c r="G14" s="19">
        <v>178.44</v>
      </c>
      <c r="H14" s="5"/>
      <c r="I14" s="27">
        <f>1/1.882</f>
        <v>0.5313496280552604</v>
      </c>
      <c r="J14" s="19">
        <v>179.45</v>
      </c>
      <c r="K14" s="5"/>
      <c r="L14" s="27">
        <f>1/1.8786</f>
        <v>0.5323112956456936</v>
      </c>
      <c r="M14" s="19">
        <v>181.94</v>
      </c>
      <c r="N14" s="5"/>
      <c r="O14" s="27">
        <f>1/1.878</f>
        <v>0.5324813631522897</v>
      </c>
      <c r="P14" s="19">
        <v>183.66</v>
      </c>
      <c r="Q14" s="5"/>
      <c r="R14" s="27">
        <f>1/1.8739</f>
        <v>0.5336464058914564</v>
      </c>
      <c r="S14" s="19">
        <v>184.03</v>
      </c>
      <c r="T14" s="5"/>
      <c r="U14" s="27">
        <f>1/1.8871</f>
        <v>0.5299136240792751</v>
      </c>
      <c r="V14" s="19">
        <v>182.08</v>
      </c>
      <c r="W14" s="5"/>
      <c r="X14" s="27">
        <f>1/1.8716</f>
        <v>0.5343022013250694</v>
      </c>
      <c r="Y14" s="19">
        <v>180.3</v>
      </c>
      <c r="Z14" s="5"/>
      <c r="AA14" s="27">
        <f>1/1.8697</f>
        <v>0.5348451623255068</v>
      </c>
      <c r="AB14" s="19">
        <v>181.24</v>
      </c>
      <c r="AC14" s="5"/>
      <c r="AD14" s="27">
        <f>1/1.8686</f>
        <v>0.5351600128438403</v>
      </c>
      <c r="AE14" s="19">
        <v>182.13</v>
      </c>
      <c r="AF14" s="5"/>
      <c r="AG14" s="27">
        <f>1/1.8785</f>
        <v>0.5323396326856534</v>
      </c>
      <c r="AH14" s="19">
        <v>182.23</v>
      </c>
      <c r="AI14" s="5"/>
      <c r="AJ14" s="27">
        <f>1/1.8645</f>
        <v>0.5363368195226602</v>
      </c>
      <c r="AK14" s="19">
        <v>181.48</v>
      </c>
      <c r="AL14" s="5"/>
      <c r="AM14" s="27">
        <f>1/1.8823</f>
        <v>0.5312649418264889</v>
      </c>
      <c r="AN14" s="19">
        <v>182.7</v>
      </c>
      <c r="AO14" s="5"/>
      <c r="AP14" s="27">
        <f>1/1.8789</f>
        <v>0.5322263026238757</v>
      </c>
      <c r="AQ14" s="19">
        <v>182.63</v>
      </c>
      <c r="AR14" s="5"/>
      <c r="AS14" s="27">
        <f>1/1.876</f>
        <v>0.5330490405117271</v>
      </c>
      <c r="AT14" s="19">
        <v>182.82</v>
      </c>
      <c r="AU14" s="5"/>
      <c r="AV14" s="27">
        <f>1/1.8807</f>
        <v>0.5317169139150316</v>
      </c>
      <c r="AW14" s="19">
        <v>182.76</v>
      </c>
      <c r="AX14" s="5"/>
      <c r="AY14" s="27">
        <f>1/1.8863</f>
        <v>0.5301383661135556</v>
      </c>
      <c r="AZ14" s="19">
        <v>183.07</v>
      </c>
      <c r="BA14" s="5"/>
      <c r="BB14" s="27">
        <f>1/1.887</f>
        <v>0.5299417064122947</v>
      </c>
      <c r="BC14" s="19">
        <v>182.79</v>
      </c>
      <c r="BD14" s="5"/>
      <c r="BE14" s="27">
        <f aca="true" t="shared" si="0" ref="BE14:BE25">(+C14+F14+I14+L14+O14+R14+U14+X14+AA14+AD14+AG14+AJ14+AM14+AP14+AS14+AV14+AY14+BB14)/18</f>
        <v>0.5327365089951376</v>
      </c>
      <c r="BF14" s="19">
        <f aca="true" t="shared" si="1" ref="BF14:BF25">(+D14+G14+J14+M14+P14+S14+V14+Y14+AB14+AE14+AH14+AK14+AN14+AQ14+AT14+AW14+AZ14+BC14)/18</f>
        <v>181.7338888888889</v>
      </c>
      <c r="BG14" s="44"/>
      <c r="BH14" s="45"/>
      <c r="BI14" s="46"/>
      <c r="BJ14" s="44"/>
      <c r="BK14" s="45"/>
      <c r="BL14" s="46"/>
      <c r="BM14" s="44"/>
    </row>
    <row r="15" spans="1:65" ht="15.75" customHeight="1">
      <c r="A15" s="16">
        <v>3</v>
      </c>
      <c r="B15" s="17" t="s">
        <v>16</v>
      </c>
      <c r="C15" s="27">
        <v>1.1753</v>
      </c>
      <c r="D15" s="19">
        <v>80.6</v>
      </c>
      <c r="E15" s="5"/>
      <c r="F15" s="27">
        <v>1.1763</v>
      </c>
      <c r="G15" s="19">
        <v>81.07</v>
      </c>
      <c r="H15" s="5"/>
      <c r="I15" s="27">
        <v>1.1687</v>
      </c>
      <c r="J15" s="19">
        <v>81.59</v>
      </c>
      <c r="K15" s="5"/>
      <c r="L15" s="27">
        <v>1.1788</v>
      </c>
      <c r="M15" s="19">
        <v>82.16</v>
      </c>
      <c r="N15" s="5"/>
      <c r="O15" s="27">
        <v>1.1745</v>
      </c>
      <c r="P15" s="19">
        <v>83.27</v>
      </c>
      <c r="Q15" s="5"/>
      <c r="R15" s="27">
        <v>1.1819</v>
      </c>
      <c r="S15" s="19">
        <v>83.43</v>
      </c>
      <c r="T15" s="5"/>
      <c r="U15" s="27">
        <v>1.1699</v>
      </c>
      <c r="V15" s="19">
        <v>82.47</v>
      </c>
      <c r="W15" s="5"/>
      <c r="X15" s="27">
        <v>1.181</v>
      </c>
      <c r="Y15" s="19">
        <v>81.57</v>
      </c>
      <c r="Z15" s="5"/>
      <c r="AA15" s="27">
        <v>1.1785</v>
      </c>
      <c r="AB15" s="19">
        <v>82.25</v>
      </c>
      <c r="AC15" s="5"/>
      <c r="AD15" s="27">
        <v>1.1829</v>
      </c>
      <c r="AE15" s="19">
        <v>82.4</v>
      </c>
      <c r="AF15" s="5"/>
      <c r="AG15" s="27">
        <v>1.1793</v>
      </c>
      <c r="AH15" s="19">
        <v>82.26</v>
      </c>
      <c r="AI15" s="5"/>
      <c r="AJ15" s="27">
        <v>1.1885</v>
      </c>
      <c r="AK15" s="19">
        <v>81.9</v>
      </c>
      <c r="AL15" s="5"/>
      <c r="AM15" s="27">
        <v>1.1793</v>
      </c>
      <c r="AN15" s="19">
        <v>82.31</v>
      </c>
      <c r="AO15" s="5"/>
      <c r="AP15" s="27">
        <v>1.1818</v>
      </c>
      <c r="AQ15" s="19">
        <v>82.25</v>
      </c>
      <c r="AR15" s="5"/>
      <c r="AS15" s="27">
        <v>1.1906</v>
      </c>
      <c r="AT15" s="19">
        <v>81.85</v>
      </c>
      <c r="AU15" s="5"/>
      <c r="AV15" s="27">
        <v>1.1851</v>
      </c>
      <c r="AW15" s="19">
        <v>82</v>
      </c>
      <c r="AX15" s="5"/>
      <c r="AY15" s="27">
        <v>1.185</v>
      </c>
      <c r="AZ15" s="19">
        <v>81.9</v>
      </c>
      <c r="BA15" s="5"/>
      <c r="BB15" s="27">
        <v>1.1857</v>
      </c>
      <c r="BC15" s="19">
        <v>81.7</v>
      </c>
      <c r="BD15" s="5"/>
      <c r="BE15" s="27">
        <f t="shared" si="0"/>
        <v>1.180172222222222</v>
      </c>
      <c r="BF15" s="19">
        <f t="shared" si="1"/>
        <v>82.05444444444443</v>
      </c>
      <c r="BG15" s="44"/>
      <c r="BH15" s="45"/>
      <c r="BI15" s="46"/>
      <c r="BJ15" s="44"/>
      <c r="BK15" s="45"/>
      <c r="BL15" s="46"/>
      <c r="BM15" s="44"/>
    </row>
    <row r="16" spans="1:65" ht="15.75" customHeight="1">
      <c r="A16" s="16">
        <v>4</v>
      </c>
      <c r="B16" s="17" t="s">
        <v>17</v>
      </c>
      <c r="C16" s="27">
        <f>1/1.3223</f>
        <v>0.7562580352416244</v>
      </c>
      <c r="D16" s="19">
        <v>125.27</v>
      </c>
      <c r="E16" s="5"/>
      <c r="F16" s="27">
        <f>1/1.3181</f>
        <v>0.7586677793794098</v>
      </c>
      <c r="G16" s="19">
        <v>125.7</v>
      </c>
      <c r="H16" s="5"/>
      <c r="I16" s="27">
        <f>1/1.3236</f>
        <v>0.7555152614082804</v>
      </c>
      <c r="J16" s="19">
        <v>126.21</v>
      </c>
      <c r="K16" s="5"/>
      <c r="L16" s="27">
        <f>1/1.3114</f>
        <v>0.7625438462711607</v>
      </c>
      <c r="M16" s="19">
        <v>127.01</v>
      </c>
      <c r="N16" s="5"/>
      <c r="O16" s="27">
        <f>1/1.3158</f>
        <v>0.7599939200486395</v>
      </c>
      <c r="P16" s="19">
        <v>128.68</v>
      </c>
      <c r="Q16" s="5"/>
      <c r="R16" s="27">
        <f>1/1.31</f>
        <v>0.7633587786259541</v>
      </c>
      <c r="S16" s="19">
        <v>128.94</v>
      </c>
      <c r="T16" s="5"/>
      <c r="U16" s="27">
        <f>1/1.3226</f>
        <v>0.7560864962951762</v>
      </c>
      <c r="V16" s="19">
        <v>127.61</v>
      </c>
      <c r="W16" s="5"/>
      <c r="X16" s="27">
        <f>1/1.3119</f>
        <v>0.7622532205198567</v>
      </c>
      <c r="Y16" s="19">
        <v>126.38</v>
      </c>
      <c r="Z16" s="5"/>
      <c r="AA16" s="27">
        <f>1/1.3102</f>
        <v>0.7632422530911311</v>
      </c>
      <c r="AB16" s="19">
        <v>127</v>
      </c>
      <c r="AC16" s="5"/>
      <c r="AD16" s="27">
        <f>1/1.3045</f>
        <v>0.7665772326561902</v>
      </c>
      <c r="AE16" s="19">
        <v>127.15</v>
      </c>
      <c r="AF16" s="5"/>
      <c r="AG16" s="27">
        <f>1/1.3081</f>
        <v>0.7644675483525724</v>
      </c>
      <c r="AH16" s="19">
        <v>126.9</v>
      </c>
      <c r="AI16" s="5"/>
      <c r="AJ16" s="27">
        <v>1.3005</v>
      </c>
      <c r="AK16" s="19">
        <v>126.58</v>
      </c>
      <c r="AL16" s="5"/>
      <c r="AM16" s="27">
        <f>1/1.3093</f>
        <v>0.7637668983426259</v>
      </c>
      <c r="AN16" s="19">
        <v>127.09</v>
      </c>
      <c r="AO16" s="5"/>
      <c r="AP16" s="27">
        <f>1/1.3063</f>
        <v>0.7655209369976269</v>
      </c>
      <c r="AQ16" s="19">
        <v>126.97</v>
      </c>
      <c r="AR16" s="5"/>
      <c r="AS16" s="27">
        <f>1/1.3007</f>
        <v>0.7688167909587146</v>
      </c>
      <c r="AT16" s="19">
        <v>126.75</v>
      </c>
      <c r="AU16" s="5"/>
      <c r="AV16" s="27">
        <f>1/1.3043</f>
        <v>0.7666947788085563</v>
      </c>
      <c r="AW16" s="19">
        <v>126.75</v>
      </c>
      <c r="AX16" s="5"/>
      <c r="AY16" s="27">
        <f>1/1.3048</f>
        <v>0.7664009809932557</v>
      </c>
      <c r="AZ16" s="19">
        <v>126.64</v>
      </c>
      <c r="BA16" s="5"/>
      <c r="BB16" s="27">
        <f>1/1.3045</f>
        <v>0.7665772326561902</v>
      </c>
      <c r="BC16" s="19">
        <v>126.36</v>
      </c>
      <c r="BD16" s="5"/>
      <c r="BE16" s="27">
        <f t="shared" si="0"/>
        <v>0.7926245550359425</v>
      </c>
      <c r="BF16" s="19">
        <f t="shared" si="1"/>
        <v>126.88833333333335</v>
      </c>
      <c r="BG16" s="44"/>
      <c r="BH16" s="45"/>
      <c r="BI16" s="46"/>
      <c r="BJ16" s="44"/>
      <c r="BK16" s="45"/>
      <c r="BL16" s="46"/>
      <c r="BM16" s="44"/>
    </row>
    <row r="17" spans="1:65" ht="15.75" customHeight="1">
      <c r="A17" s="16">
        <v>5</v>
      </c>
      <c r="B17" s="17" t="s">
        <v>18</v>
      </c>
      <c r="C17" s="27">
        <v>425.5</v>
      </c>
      <c r="D17" s="19">
        <v>40309.03</v>
      </c>
      <c r="E17" s="5"/>
      <c r="F17" s="27">
        <v>425.4</v>
      </c>
      <c r="G17" s="19">
        <v>40567.56</v>
      </c>
      <c r="H17" s="5"/>
      <c r="I17" s="27">
        <v>423.1</v>
      </c>
      <c r="J17" s="19">
        <v>40342.59</v>
      </c>
      <c r="K17" s="5"/>
      <c r="L17" s="27">
        <v>420.75</v>
      </c>
      <c r="M17" s="19">
        <v>40749.64</v>
      </c>
      <c r="N17" s="5"/>
      <c r="O17" s="27">
        <v>422.5</v>
      </c>
      <c r="P17" s="19">
        <v>41319.44</v>
      </c>
      <c r="Q17" s="5"/>
      <c r="R17" s="27">
        <v>421.6</v>
      </c>
      <c r="S17" s="19">
        <v>41402.54</v>
      </c>
      <c r="T17" s="5"/>
      <c r="U17" s="27">
        <v>424.4</v>
      </c>
      <c r="V17" s="19">
        <v>40948.94</v>
      </c>
      <c r="W17" s="5"/>
      <c r="X17" s="27">
        <v>421.6</v>
      </c>
      <c r="Y17" s="19">
        <v>40614.13</v>
      </c>
      <c r="Z17" s="5"/>
      <c r="AA17" s="27">
        <v>422.5</v>
      </c>
      <c r="AB17" s="19">
        <v>40954.33</v>
      </c>
      <c r="AC17" s="5"/>
      <c r="AD17" s="27">
        <v>422.5</v>
      </c>
      <c r="AE17" s="19">
        <v>41181.08</v>
      </c>
      <c r="AF17" s="5"/>
      <c r="AG17" s="27">
        <v>423.9</v>
      </c>
      <c r="AH17" s="19">
        <v>41121.83</v>
      </c>
      <c r="AI17" s="5"/>
      <c r="AJ17" s="27">
        <v>423.25</v>
      </c>
      <c r="AK17" s="19">
        <v>41196.33</v>
      </c>
      <c r="AL17" s="5"/>
      <c r="AM17" s="27">
        <v>427.7</v>
      </c>
      <c r="AN17" s="19">
        <v>41514.34</v>
      </c>
      <c r="AO17" s="5"/>
      <c r="AP17" s="27">
        <v>426</v>
      </c>
      <c r="AQ17" s="19">
        <v>41406.85</v>
      </c>
      <c r="AR17" s="5"/>
      <c r="AS17" s="27">
        <v>423.3</v>
      </c>
      <c r="AT17" s="19">
        <v>41250.59</v>
      </c>
      <c r="AU17" s="5"/>
      <c r="AV17" s="27">
        <v>426</v>
      </c>
      <c r="AW17" s="19">
        <v>41396.55</v>
      </c>
      <c r="AX17" s="5"/>
      <c r="AY17" s="27">
        <v>426</v>
      </c>
      <c r="AZ17" s="19">
        <v>41345.04</v>
      </c>
      <c r="BA17" s="5"/>
      <c r="BB17" s="27">
        <v>424.5</v>
      </c>
      <c r="BC17" s="19">
        <v>41119.55</v>
      </c>
      <c r="BD17" s="5"/>
      <c r="BE17" s="27">
        <f t="shared" si="0"/>
        <v>423.9166666666667</v>
      </c>
      <c r="BF17" s="19">
        <f t="shared" si="1"/>
        <v>41041.13111111111</v>
      </c>
      <c r="BG17" s="44"/>
      <c r="BH17" s="45"/>
      <c r="BI17" s="46"/>
      <c r="BJ17" s="44"/>
      <c r="BK17" s="45"/>
      <c r="BL17" s="46"/>
      <c r="BM17" s="44"/>
    </row>
    <row r="18" spans="1:65" ht="15.75" customHeight="1">
      <c r="A18" s="16">
        <v>6</v>
      </c>
      <c r="B18" s="20" t="s">
        <v>19</v>
      </c>
      <c r="C18" s="27">
        <v>6.41</v>
      </c>
      <c r="D18" s="19">
        <v>607.24</v>
      </c>
      <c r="E18" s="5"/>
      <c r="F18" s="27">
        <v>6.46</v>
      </c>
      <c r="G18" s="19">
        <v>616.05</v>
      </c>
      <c r="H18" s="5"/>
      <c r="I18" s="27">
        <v>6.45</v>
      </c>
      <c r="J18" s="19">
        <v>615.01</v>
      </c>
      <c r="K18" s="5"/>
      <c r="L18" s="27">
        <v>6.44</v>
      </c>
      <c r="M18" s="19">
        <v>623.71</v>
      </c>
      <c r="N18" s="5"/>
      <c r="O18" s="27">
        <v>6.52</v>
      </c>
      <c r="P18" s="19">
        <v>637.64</v>
      </c>
      <c r="Q18" s="5"/>
      <c r="R18" s="27">
        <v>6.57</v>
      </c>
      <c r="S18" s="19">
        <v>638.92</v>
      </c>
      <c r="T18" s="5"/>
      <c r="U18" s="27">
        <v>6.68</v>
      </c>
      <c r="V18" s="19">
        <v>644.53</v>
      </c>
      <c r="W18" s="5"/>
      <c r="X18" s="27">
        <v>6.66</v>
      </c>
      <c r="Y18" s="19">
        <v>641.58</v>
      </c>
      <c r="Z18" s="5"/>
      <c r="AA18" s="27">
        <v>6.57</v>
      </c>
      <c r="AB18" s="19">
        <v>636.85</v>
      </c>
      <c r="AC18" s="5"/>
      <c r="AD18" s="27">
        <v>6.57</v>
      </c>
      <c r="AE18" s="19">
        <v>640.38</v>
      </c>
      <c r="AF18" s="5"/>
      <c r="AG18" s="27">
        <v>6.66</v>
      </c>
      <c r="AH18" s="19">
        <v>646.08</v>
      </c>
      <c r="AI18" s="5"/>
      <c r="AJ18" s="27">
        <v>6.6</v>
      </c>
      <c r="AK18" s="19">
        <v>642.89</v>
      </c>
      <c r="AL18" s="5"/>
      <c r="AM18" s="27">
        <v>6.83</v>
      </c>
      <c r="AN18" s="19">
        <v>662.95</v>
      </c>
      <c r="AO18" s="5"/>
      <c r="AP18" s="27">
        <v>6.76</v>
      </c>
      <c r="AQ18" s="19">
        <v>657.07</v>
      </c>
      <c r="AR18" s="5"/>
      <c r="AS18" s="27">
        <v>6.71</v>
      </c>
      <c r="AT18" s="19">
        <v>653.89</v>
      </c>
      <c r="AU18" s="5"/>
      <c r="AV18" s="27">
        <v>6.78</v>
      </c>
      <c r="AW18" s="19">
        <v>658.85</v>
      </c>
      <c r="AX18" s="5"/>
      <c r="AY18" s="27">
        <v>6.77</v>
      </c>
      <c r="AZ18" s="19">
        <v>657.06</v>
      </c>
      <c r="BA18" s="5"/>
      <c r="BB18" s="27">
        <v>6.72</v>
      </c>
      <c r="BC18" s="19">
        <v>650.94</v>
      </c>
      <c r="BD18" s="5"/>
      <c r="BE18" s="27">
        <f t="shared" si="0"/>
        <v>6.619999999999999</v>
      </c>
      <c r="BF18" s="19">
        <f t="shared" si="1"/>
        <v>640.6466666666668</v>
      </c>
      <c r="BG18" s="44"/>
      <c r="BH18" s="45"/>
      <c r="BI18" s="46"/>
      <c r="BJ18" s="44"/>
      <c r="BK18" s="45"/>
      <c r="BL18" s="46"/>
      <c r="BM18" s="44"/>
    </row>
    <row r="19" spans="1:65" ht="15.75" customHeight="1">
      <c r="A19" s="16">
        <v>7</v>
      </c>
      <c r="B19" s="17" t="s">
        <v>20</v>
      </c>
      <c r="C19" s="27">
        <f>1/0.7595</f>
        <v>1.316655694535879</v>
      </c>
      <c r="D19" s="19">
        <v>71.95</v>
      </c>
      <c r="E19" s="5"/>
      <c r="F19" s="27">
        <f>1/0.7578</f>
        <v>1.3196093956188968</v>
      </c>
      <c r="G19" s="19">
        <v>72.27</v>
      </c>
      <c r="H19" s="5"/>
      <c r="I19" s="27">
        <f>1/0.765</f>
        <v>1.3071895424836601</v>
      </c>
      <c r="J19" s="19">
        <v>72.94</v>
      </c>
      <c r="K19" s="5"/>
      <c r="L19" s="27">
        <f>1/0.7585</f>
        <v>1.3183915622940015</v>
      </c>
      <c r="M19" s="19">
        <v>73.46</v>
      </c>
      <c r="N19" s="5"/>
      <c r="O19" s="27">
        <f>1/0.763</f>
        <v>1.310615989515072</v>
      </c>
      <c r="P19" s="19">
        <v>74.62</v>
      </c>
      <c r="Q19" s="5"/>
      <c r="R19" s="27">
        <f>1/0.757</f>
        <v>1.321003963011889</v>
      </c>
      <c r="S19" s="19">
        <v>74.77</v>
      </c>
      <c r="T19" s="5"/>
      <c r="U19" s="27">
        <f>1/0.7647</f>
        <v>1.3077023669412842</v>
      </c>
      <c r="V19" s="19">
        <v>73.78</v>
      </c>
      <c r="W19" s="5"/>
      <c r="X19" s="27">
        <f>1/0.7602</f>
        <v>1.3154433043935807</v>
      </c>
      <c r="Y19" s="19">
        <v>73.23</v>
      </c>
      <c r="Z19" s="5"/>
      <c r="AA19" s="27">
        <f>1/0.7593</f>
        <v>1.3170025023047545</v>
      </c>
      <c r="AB19" s="19">
        <v>73.6</v>
      </c>
      <c r="AC19" s="5"/>
      <c r="AD19" s="27">
        <f>1/0.7536</f>
        <v>1.326963906581741</v>
      </c>
      <c r="AE19" s="19">
        <v>73.45</v>
      </c>
      <c r="AF19" s="5"/>
      <c r="AG19" s="27">
        <f>1/0.7619</f>
        <v>1.3125082031762698</v>
      </c>
      <c r="AH19" s="19">
        <v>73.91</v>
      </c>
      <c r="AI19" s="5"/>
      <c r="AJ19" s="27">
        <f>1/0.7652</f>
        <v>1.3068478829064296</v>
      </c>
      <c r="AK19" s="19">
        <v>74.48</v>
      </c>
      <c r="AL19" s="5"/>
      <c r="AM19" s="27">
        <f>1/0.771</f>
        <v>1.297016861219196</v>
      </c>
      <c r="AN19" s="19">
        <v>74.84</v>
      </c>
      <c r="AO19" s="5"/>
      <c r="AP19" s="27">
        <f>1/0.7699</f>
        <v>1.2988699831146902</v>
      </c>
      <c r="AQ19" s="19">
        <v>74.83</v>
      </c>
      <c r="AR19" s="5"/>
      <c r="AS19" s="27">
        <f>1/0.7708</f>
        <v>1.2973533990659054</v>
      </c>
      <c r="AT19" s="19">
        <v>75.11</v>
      </c>
      <c r="AU19" s="5"/>
      <c r="AV19" s="27">
        <f>1/0.7738</f>
        <v>1.2923235978288963</v>
      </c>
      <c r="AW19" s="19">
        <v>75.19</v>
      </c>
      <c r="AX19" s="5"/>
      <c r="AY19" s="27">
        <f>1/0.7752</f>
        <v>1.2899896800825594</v>
      </c>
      <c r="AZ19" s="19">
        <v>75.24</v>
      </c>
      <c r="BA19" s="5"/>
      <c r="BB19" s="27">
        <f>1/0.7747</f>
        <v>1.290822253775655</v>
      </c>
      <c r="BC19" s="19">
        <v>75.04</v>
      </c>
      <c r="BD19" s="5"/>
      <c r="BE19" s="27">
        <f t="shared" si="0"/>
        <v>1.3081283382694646</v>
      </c>
      <c r="BF19" s="19">
        <f t="shared" si="1"/>
        <v>74.03944444444444</v>
      </c>
      <c r="BG19" s="44"/>
      <c r="BH19" s="45"/>
      <c r="BI19" s="46"/>
      <c r="BJ19" s="44"/>
      <c r="BK19" s="45"/>
      <c r="BL19" s="46"/>
      <c r="BM19" s="51"/>
    </row>
    <row r="20" spans="1:65" ht="15.75" customHeight="1">
      <c r="A20" s="16">
        <v>8</v>
      </c>
      <c r="B20" s="17" t="s">
        <v>21</v>
      </c>
      <c r="C20" s="27">
        <v>1.2305</v>
      </c>
      <c r="D20" s="19">
        <v>76.99</v>
      </c>
      <c r="E20" s="5"/>
      <c r="F20" s="27">
        <v>1.2312</v>
      </c>
      <c r="G20" s="19">
        <v>77.46</v>
      </c>
      <c r="H20" s="5"/>
      <c r="I20" s="27">
        <v>1.2326</v>
      </c>
      <c r="J20" s="19">
        <v>77.36</v>
      </c>
      <c r="K20" s="5"/>
      <c r="L20" s="27">
        <v>1.2265</v>
      </c>
      <c r="M20" s="19">
        <v>78.96</v>
      </c>
      <c r="N20" s="5"/>
      <c r="O20" s="27">
        <v>1.2167</v>
      </c>
      <c r="P20" s="19">
        <v>80.38</v>
      </c>
      <c r="Q20" s="5"/>
      <c r="R20" s="27">
        <v>1.2192</v>
      </c>
      <c r="S20" s="19">
        <v>80.54</v>
      </c>
      <c r="T20" s="5"/>
      <c r="U20" s="27">
        <v>1.2021</v>
      </c>
      <c r="V20" s="19">
        <v>80.27</v>
      </c>
      <c r="W20" s="5"/>
      <c r="X20" s="27">
        <v>1.21</v>
      </c>
      <c r="Y20" s="19">
        <v>79.61</v>
      </c>
      <c r="Z20" s="5"/>
      <c r="AA20" s="27">
        <v>1.2123</v>
      </c>
      <c r="AB20" s="19">
        <v>79.96</v>
      </c>
      <c r="AC20" s="5"/>
      <c r="AD20" s="27">
        <v>1.2245</v>
      </c>
      <c r="AE20" s="19">
        <v>79.6</v>
      </c>
      <c r="AF20" s="5"/>
      <c r="AG20" s="27">
        <v>1.2183</v>
      </c>
      <c r="AH20" s="19">
        <v>79.63</v>
      </c>
      <c r="AI20" s="5"/>
      <c r="AJ20" s="27">
        <v>1.2254</v>
      </c>
      <c r="AK20" s="19">
        <v>79.43</v>
      </c>
      <c r="AL20" s="5"/>
      <c r="AM20" s="27">
        <v>1.2148</v>
      </c>
      <c r="AN20" s="19">
        <v>79.9</v>
      </c>
      <c r="AO20" s="5"/>
      <c r="AP20" s="27">
        <v>1.2231</v>
      </c>
      <c r="AQ20" s="19">
        <v>79.47</v>
      </c>
      <c r="AR20" s="5"/>
      <c r="AS20" s="27">
        <v>1.2337</v>
      </c>
      <c r="AT20" s="19">
        <v>78.99</v>
      </c>
      <c r="AU20" s="5"/>
      <c r="AV20" s="27">
        <v>1.2364</v>
      </c>
      <c r="AW20" s="19">
        <v>78.6</v>
      </c>
      <c r="AX20" s="5"/>
      <c r="AY20" s="27">
        <v>1.239</v>
      </c>
      <c r="AZ20" s="19">
        <v>78.33</v>
      </c>
      <c r="BA20" s="5"/>
      <c r="BB20" s="27">
        <v>1.2402</v>
      </c>
      <c r="BC20" s="19">
        <v>78.11</v>
      </c>
      <c r="BD20" s="5"/>
      <c r="BE20" s="27">
        <f t="shared" si="0"/>
        <v>1.2242499999999998</v>
      </c>
      <c r="BF20" s="19">
        <f t="shared" si="1"/>
        <v>79.08833333333332</v>
      </c>
      <c r="BG20" s="44"/>
      <c r="BH20" s="45"/>
      <c r="BI20" s="46"/>
      <c r="BJ20" s="44"/>
      <c r="BK20" s="45"/>
      <c r="BL20" s="46"/>
      <c r="BM20" s="44"/>
    </row>
    <row r="21" spans="1:65" ht="15.75" customHeight="1">
      <c r="A21" s="16">
        <v>9</v>
      </c>
      <c r="B21" s="17" t="s">
        <v>22</v>
      </c>
      <c r="C21" s="27">
        <v>6.8529</v>
      </c>
      <c r="D21" s="19">
        <v>13.82</v>
      </c>
      <c r="E21" s="5"/>
      <c r="F21" s="27">
        <v>6.844</v>
      </c>
      <c r="G21" s="19">
        <v>13.93</v>
      </c>
      <c r="H21" s="5"/>
      <c r="I21" s="27">
        <v>6.8315</v>
      </c>
      <c r="J21" s="19">
        <v>13.96</v>
      </c>
      <c r="K21" s="5"/>
      <c r="L21" s="27">
        <v>6.8929</v>
      </c>
      <c r="M21" s="19">
        <v>14.05</v>
      </c>
      <c r="N21" s="5"/>
      <c r="O21" s="27">
        <v>6.8631</v>
      </c>
      <c r="P21" s="19">
        <v>14.25</v>
      </c>
      <c r="Q21" s="5"/>
      <c r="R21" s="27">
        <v>6.9047</v>
      </c>
      <c r="S21" s="19">
        <v>14.28</v>
      </c>
      <c r="T21" s="5"/>
      <c r="U21" s="27">
        <v>6.8422</v>
      </c>
      <c r="V21" s="19">
        <v>14.1</v>
      </c>
      <c r="W21" s="5"/>
      <c r="X21" s="27">
        <v>6.8899</v>
      </c>
      <c r="Y21" s="19">
        <v>13.98</v>
      </c>
      <c r="Z21" s="5"/>
      <c r="AA21" s="27">
        <v>6.9096</v>
      </c>
      <c r="AB21" s="19">
        <v>14.03</v>
      </c>
      <c r="AC21" s="5"/>
      <c r="AD21" s="27">
        <v>6.9321</v>
      </c>
      <c r="AE21" s="19">
        <v>14.06</v>
      </c>
      <c r="AF21" s="5"/>
      <c r="AG21" s="27">
        <v>6.891</v>
      </c>
      <c r="AH21" s="19">
        <v>14.08</v>
      </c>
      <c r="AI21" s="5"/>
      <c r="AJ21" s="27">
        <v>6.9534</v>
      </c>
      <c r="AK21" s="19">
        <v>14</v>
      </c>
      <c r="AL21" s="5"/>
      <c r="AM21" s="27">
        <v>6.9204</v>
      </c>
      <c r="AN21" s="19">
        <v>14.03</v>
      </c>
      <c r="AO21" s="5"/>
      <c r="AP21" s="27">
        <v>6.9365</v>
      </c>
      <c r="AQ21" s="19">
        <v>14.01</v>
      </c>
      <c r="AR21" s="5"/>
      <c r="AS21" s="27">
        <v>6.9727</v>
      </c>
      <c r="AT21" s="19">
        <v>13.98</v>
      </c>
      <c r="AU21" s="5"/>
      <c r="AV21" s="27">
        <v>6.9542</v>
      </c>
      <c r="AW21" s="19">
        <v>13.97</v>
      </c>
      <c r="AX21" s="5"/>
      <c r="AY21" s="27">
        <v>6.9631</v>
      </c>
      <c r="AZ21" s="19">
        <v>13.94</v>
      </c>
      <c r="BA21" s="5"/>
      <c r="BB21" s="27">
        <v>6.9738</v>
      </c>
      <c r="BC21" s="19">
        <v>13.89</v>
      </c>
      <c r="BD21" s="5"/>
      <c r="BE21" s="27">
        <f t="shared" si="0"/>
        <v>6.90711111111111</v>
      </c>
      <c r="BF21" s="19">
        <f t="shared" si="1"/>
        <v>14.020000000000001</v>
      </c>
      <c r="BG21" s="44"/>
      <c r="BH21" s="45"/>
      <c r="BI21" s="46"/>
      <c r="BJ21" s="44"/>
      <c r="BK21" s="45"/>
      <c r="BL21" s="46"/>
      <c r="BM21" s="44"/>
    </row>
    <row r="22" spans="1:65" ht="15.75" customHeight="1">
      <c r="A22" s="16">
        <v>10</v>
      </c>
      <c r="B22" s="17" t="s">
        <v>23</v>
      </c>
      <c r="C22" s="27">
        <v>6.2756</v>
      </c>
      <c r="D22" s="19">
        <v>15.1</v>
      </c>
      <c r="E22" s="5"/>
      <c r="F22" s="27">
        <v>6.2517</v>
      </c>
      <c r="G22" s="19">
        <v>15.25</v>
      </c>
      <c r="H22" s="5"/>
      <c r="I22" s="27">
        <v>6.2264</v>
      </c>
      <c r="J22" s="19">
        <v>15.31</v>
      </c>
      <c r="K22" s="5"/>
      <c r="L22" s="27">
        <v>6.2774</v>
      </c>
      <c r="M22" s="19">
        <v>15.43</v>
      </c>
      <c r="N22" s="5"/>
      <c r="O22" s="27">
        <v>6.24</v>
      </c>
      <c r="P22" s="19">
        <v>16.57</v>
      </c>
      <c r="Q22" s="5"/>
      <c r="R22" s="27">
        <v>6.2631</v>
      </c>
      <c r="S22" s="19">
        <v>15.7</v>
      </c>
      <c r="T22" s="5"/>
      <c r="U22" s="27">
        <v>6.1922</v>
      </c>
      <c r="V22" s="19">
        <v>15.58</v>
      </c>
      <c r="W22" s="5"/>
      <c r="X22" s="27">
        <v>6.2256</v>
      </c>
      <c r="Y22" s="19">
        <v>15.47</v>
      </c>
      <c r="Z22" s="5"/>
      <c r="AA22" s="27">
        <v>6.2535</v>
      </c>
      <c r="AB22" s="19">
        <v>15.5</v>
      </c>
      <c r="AC22" s="5"/>
      <c r="AD22" s="27">
        <v>6.2549</v>
      </c>
      <c r="AE22" s="19">
        <v>15.58</v>
      </c>
      <c r="AF22" s="5"/>
      <c r="AG22" s="27">
        <v>6.2284</v>
      </c>
      <c r="AH22" s="19">
        <v>15.58</v>
      </c>
      <c r="AI22" s="5"/>
      <c r="AJ22" s="27">
        <v>6.2931</v>
      </c>
      <c r="AK22" s="19">
        <v>15.47</v>
      </c>
      <c r="AL22" s="5"/>
      <c r="AM22" s="27">
        <v>6.2574</v>
      </c>
      <c r="AN22" s="19">
        <v>15.51</v>
      </c>
      <c r="AO22" s="5"/>
      <c r="AP22" s="27">
        <v>6.2776</v>
      </c>
      <c r="AQ22" s="19">
        <v>15.48</v>
      </c>
      <c r="AR22" s="5"/>
      <c r="AS22" s="27">
        <v>6.3244</v>
      </c>
      <c r="AT22" s="19">
        <v>15.41</v>
      </c>
      <c r="AU22" s="5"/>
      <c r="AV22" s="27">
        <v>6.3264</v>
      </c>
      <c r="AW22" s="19">
        <v>15.36</v>
      </c>
      <c r="AX22" s="5"/>
      <c r="AY22" s="27">
        <v>6.3201</v>
      </c>
      <c r="AZ22" s="19">
        <v>15.36</v>
      </c>
      <c r="BA22" s="5"/>
      <c r="BB22" s="27">
        <v>6.3257</v>
      </c>
      <c r="BC22" s="19">
        <v>15.31</v>
      </c>
      <c r="BD22" s="5"/>
      <c r="BE22" s="27">
        <f t="shared" si="0"/>
        <v>6.267416666666666</v>
      </c>
      <c r="BF22" s="19">
        <f t="shared" si="1"/>
        <v>15.498333333333335</v>
      </c>
      <c r="BG22" s="44"/>
      <c r="BH22" s="45"/>
      <c r="BI22" s="46"/>
      <c r="BJ22" s="44"/>
      <c r="BK22" s="45"/>
      <c r="BL22" s="46"/>
      <c r="BM22" s="44"/>
    </row>
    <row r="23" spans="1:65" ht="15.75" customHeight="1">
      <c r="A23" s="16">
        <v>11</v>
      </c>
      <c r="B23" s="17" t="s">
        <v>24</v>
      </c>
      <c r="C23" s="27">
        <v>5.6224</v>
      </c>
      <c r="D23" s="19">
        <v>16.85</v>
      </c>
      <c r="E23" s="5"/>
      <c r="F23" s="27">
        <v>5.643</v>
      </c>
      <c r="G23" s="19">
        <v>16.9</v>
      </c>
      <c r="H23" s="5"/>
      <c r="I23" s="27">
        <v>5.62</v>
      </c>
      <c r="J23" s="19">
        <v>16.97</v>
      </c>
      <c r="K23" s="5"/>
      <c r="L23" s="27">
        <v>5.6719</v>
      </c>
      <c r="M23" s="19">
        <v>17.08</v>
      </c>
      <c r="N23" s="5"/>
      <c r="O23" s="27">
        <v>5.6526</v>
      </c>
      <c r="P23" s="19">
        <v>17.3</v>
      </c>
      <c r="Q23" s="5"/>
      <c r="R23" s="27">
        <v>5.6779</v>
      </c>
      <c r="S23" s="19">
        <v>17.34</v>
      </c>
      <c r="T23" s="5"/>
      <c r="U23" s="27">
        <v>5.6239</v>
      </c>
      <c r="V23" s="19">
        <v>17.16</v>
      </c>
      <c r="W23" s="5"/>
      <c r="X23" s="27">
        <v>5.6695</v>
      </c>
      <c r="Y23" s="19">
        <v>16.99</v>
      </c>
      <c r="Z23" s="5"/>
      <c r="AA23" s="27">
        <v>5.676</v>
      </c>
      <c r="AB23" s="19">
        <v>17.08</v>
      </c>
      <c r="AC23" s="5"/>
      <c r="AD23" s="27">
        <v>5.7016</v>
      </c>
      <c r="AE23" s="19">
        <v>17.1</v>
      </c>
      <c r="AF23" s="5"/>
      <c r="AG23" s="27">
        <v>5.6861</v>
      </c>
      <c r="AH23" s="19">
        <v>17.06</v>
      </c>
      <c r="AI23" s="5"/>
      <c r="AJ23" s="27">
        <v>5.721</v>
      </c>
      <c r="AK23" s="19">
        <v>17.01</v>
      </c>
      <c r="AL23" s="5"/>
      <c r="AM23" s="27">
        <v>5.6832</v>
      </c>
      <c r="AN23" s="19">
        <v>17.08</v>
      </c>
      <c r="AO23" s="5"/>
      <c r="AP23" s="27">
        <v>5.6949</v>
      </c>
      <c r="AQ23" s="19">
        <v>17.07</v>
      </c>
      <c r="AR23" s="5"/>
      <c r="AS23" s="27">
        <v>5.7212</v>
      </c>
      <c r="AT23" s="19">
        <v>17.03</v>
      </c>
      <c r="AU23" s="5"/>
      <c r="AV23" s="27">
        <v>5.7048</v>
      </c>
      <c r="AW23" s="19">
        <v>17.03</v>
      </c>
      <c r="AX23" s="5"/>
      <c r="AY23" s="27">
        <v>5.7023</v>
      </c>
      <c r="AZ23" s="19">
        <v>17.02</v>
      </c>
      <c r="BA23" s="5"/>
      <c r="BB23" s="27">
        <v>5.7045</v>
      </c>
      <c r="BC23" s="19">
        <v>16.98</v>
      </c>
      <c r="BD23" s="5"/>
      <c r="BE23" s="27">
        <f t="shared" si="0"/>
        <v>5.676488888888889</v>
      </c>
      <c r="BF23" s="19">
        <f t="shared" si="1"/>
        <v>17.05833333333333</v>
      </c>
      <c r="BG23" s="44"/>
      <c r="BH23" s="45"/>
      <c r="BI23" s="46"/>
      <c r="BJ23" s="44"/>
      <c r="BK23" s="45"/>
      <c r="BL23" s="46"/>
      <c r="BM23" s="44"/>
    </row>
    <row r="24" spans="1:65" ht="15.75" customHeight="1">
      <c r="A24" s="16">
        <v>12</v>
      </c>
      <c r="B24" s="17" t="s">
        <v>25</v>
      </c>
      <c r="C24" s="27">
        <f>1/1.53641</f>
        <v>0.6508679323878391</v>
      </c>
      <c r="D24" s="19">
        <v>145.55</v>
      </c>
      <c r="E24" s="5"/>
      <c r="F24" s="27">
        <f>1/1.52658</f>
        <v>0.6550590208177757</v>
      </c>
      <c r="G24" s="19">
        <v>145.58</v>
      </c>
      <c r="H24" s="5"/>
      <c r="I24" s="27">
        <f>1/1.52333</f>
        <v>0.6564565786796032</v>
      </c>
      <c r="J24" s="19">
        <v>145.25</v>
      </c>
      <c r="K24" s="5"/>
      <c r="L24" s="27">
        <f>1/1.52592</f>
        <v>0.655342350844081</v>
      </c>
      <c r="M24" s="19">
        <v>147.79</v>
      </c>
      <c r="N24" s="5"/>
      <c r="O24" s="27">
        <f>1/1.52109</f>
        <v>0.6574232951370399</v>
      </c>
      <c r="P24" s="19">
        <v>148.76</v>
      </c>
      <c r="Q24" s="5"/>
      <c r="R24" s="27">
        <f>1/1.52484</f>
        <v>0.6558065108470397</v>
      </c>
      <c r="S24" s="19">
        <v>149.06</v>
      </c>
      <c r="T24" s="5"/>
      <c r="U24" s="27">
        <f>1/1.52416</f>
        <v>0.6560990972076423</v>
      </c>
      <c r="V24" s="19">
        <v>147.06</v>
      </c>
      <c r="W24" s="5"/>
      <c r="X24" s="27">
        <f>1/1.5307</f>
        <v>0.6532958777030117</v>
      </c>
      <c r="Y24" s="19">
        <v>147.46</v>
      </c>
      <c r="Z24" s="5"/>
      <c r="AA24" s="27">
        <f>1/1.52387</f>
        <v>0.6562239561117418</v>
      </c>
      <c r="AB24" s="19">
        <v>147.71</v>
      </c>
      <c r="AC24" s="5"/>
      <c r="AD24" s="27">
        <f>1/1.52387</f>
        <v>0.6562239561117418</v>
      </c>
      <c r="AE24" s="19">
        <v>148.53</v>
      </c>
      <c r="AF24" s="5"/>
      <c r="AG24" s="27">
        <f>1/1.52188</f>
        <v>0.6570820301206403</v>
      </c>
      <c r="AH24" s="19">
        <v>147.64</v>
      </c>
      <c r="AI24" s="5"/>
      <c r="AJ24" s="27">
        <f>1/1.52495</f>
        <v>0.6557592052198432</v>
      </c>
      <c r="AK24" s="19">
        <v>148.43</v>
      </c>
      <c r="AL24" s="5"/>
      <c r="AM24" s="27">
        <f>1/1.51554</f>
        <v>0.6598308193779114</v>
      </c>
      <c r="AN24" s="19">
        <v>147.1</v>
      </c>
      <c r="AO24" s="5"/>
      <c r="AP24" s="27">
        <f>1/1.52319</f>
        <v>0.656516915158319</v>
      </c>
      <c r="AQ24" s="19">
        <v>148.05</v>
      </c>
      <c r="AR24" s="5"/>
      <c r="AS24" s="27">
        <f>1/1.52043</f>
        <v>0.6577086745197083</v>
      </c>
      <c r="AT24" s="19">
        <v>148.17</v>
      </c>
      <c r="AU24" s="5"/>
      <c r="AV24" s="27">
        <f>1/1.51943</f>
        <v>0.658141539919575</v>
      </c>
      <c r="AW24" s="19">
        <v>147.65</v>
      </c>
      <c r="AX24" s="5"/>
      <c r="AY24" s="27">
        <f>1/1.52169</f>
        <v>0.6571640741543942</v>
      </c>
      <c r="AZ24" s="19">
        <v>147.69</v>
      </c>
      <c r="BA24" s="5"/>
      <c r="BB24" s="27">
        <f>1/1.52085</f>
        <v>0.6575270407995528</v>
      </c>
      <c r="BC24" s="19">
        <v>147.32</v>
      </c>
      <c r="BD24" s="5"/>
      <c r="BE24" s="27">
        <f t="shared" si="0"/>
        <v>0.6562516041731922</v>
      </c>
      <c r="BF24" s="19">
        <f t="shared" si="1"/>
        <v>147.4888888888889</v>
      </c>
      <c r="BG24" s="44"/>
      <c r="BH24" s="45"/>
      <c r="BI24" s="46"/>
      <c r="BJ24" s="44"/>
      <c r="BK24" s="45"/>
      <c r="BL24" s="46"/>
      <c r="BM24" s="44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94.73</v>
      </c>
      <c r="E25" s="21"/>
      <c r="F25" s="28">
        <v>1</v>
      </c>
      <c r="G25" s="22">
        <v>95.36</v>
      </c>
      <c r="H25" s="21"/>
      <c r="I25" s="28">
        <v>1</v>
      </c>
      <c r="J25" s="22">
        <v>95.35</v>
      </c>
      <c r="K25" s="21"/>
      <c r="L25" s="28">
        <v>1</v>
      </c>
      <c r="M25" s="22">
        <v>96.85</v>
      </c>
      <c r="N25" s="21"/>
      <c r="O25" s="28">
        <v>1</v>
      </c>
      <c r="P25" s="22">
        <v>97.8</v>
      </c>
      <c r="Q25" s="21"/>
      <c r="R25" s="28">
        <v>1</v>
      </c>
      <c r="S25" s="22">
        <v>97.99</v>
      </c>
      <c r="T25" s="21"/>
      <c r="U25" s="28">
        <v>1</v>
      </c>
      <c r="V25" s="22">
        <v>96.49</v>
      </c>
      <c r="W25" s="21"/>
      <c r="X25" s="28">
        <v>1</v>
      </c>
      <c r="Y25" s="22">
        <v>96.33</v>
      </c>
      <c r="Z25" s="21"/>
      <c r="AA25" s="28">
        <v>1</v>
      </c>
      <c r="AB25" s="22">
        <v>96.93</v>
      </c>
      <c r="AC25" s="21"/>
      <c r="AD25" s="28">
        <v>1</v>
      </c>
      <c r="AE25" s="22">
        <v>97.47</v>
      </c>
      <c r="AF25" s="21"/>
      <c r="AG25" s="28">
        <v>1</v>
      </c>
      <c r="AH25" s="22">
        <v>97.01</v>
      </c>
      <c r="AI25" s="21"/>
      <c r="AJ25" s="28">
        <v>1</v>
      </c>
      <c r="AK25" s="22">
        <v>97.33</v>
      </c>
      <c r="AL25" s="21"/>
      <c r="AM25" s="28">
        <v>1</v>
      </c>
      <c r="AN25" s="22">
        <v>97.06</v>
      </c>
      <c r="AO25" s="21"/>
      <c r="AP25" s="28">
        <v>1</v>
      </c>
      <c r="AQ25" s="22">
        <v>97.2</v>
      </c>
      <c r="AR25" s="21"/>
      <c r="AS25" s="28">
        <v>1</v>
      </c>
      <c r="AT25" s="22">
        <v>97.45</v>
      </c>
      <c r="AU25" s="21"/>
      <c r="AV25" s="28">
        <v>1</v>
      </c>
      <c r="AW25" s="22">
        <v>97.18</v>
      </c>
      <c r="AX25" s="21"/>
      <c r="AY25" s="28">
        <v>1</v>
      </c>
      <c r="AZ25" s="22">
        <v>97.05</v>
      </c>
      <c r="BA25" s="21"/>
      <c r="BB25" s="28">
        <v>1</v>
      </c>
      <c r="BC25" s="22">
        <v>96.87</v>
      </c>
      <c r="BD25" s="21"/>
      <c r="BE25" s="28">
        <f t="shared" si="0"/>
        <v>1</v>
      </c>
      <c r="BF25" s="22">
        <f t="shared" si="1"/>
        <v>96.80277777777776</v>
      </c>
      <c r="BG25" s="44"/>
      <c r="BH25" s="45"/>
      <c r="BI25" s="46"/>
      <c r="BJ25" s="44"/>
      <c r="BK25" s="45"/>
      <c r="BL25" s="46"/>
      <c r="BM25" s="44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44"/>
      <c r="BH26" s="45"/>
      <c r="BI26" s="46"/>
      <c r="BJ26" s="44"/>
      <c r="BK26" s="45"/>
      <c r="BL26" s="46"/>
      <c r="BM26" s="44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20" r:id="rId1"/>
  <headerFooter alignWithMargins="0">
    <oddHeader>&amp;L&amp;"Helv,Bold"&amp;12Departamenti i Teknologjise &amp; Informacionit
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B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30" sqref="J30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224</v>
      </c>
      <c r="D4" s="4"/>
      <c r="E4" s="10"/>
      <c r="F4" s="4" t="s">
        <v>225</v>
      </c>
      <c r="G4" s="4"/>
      <c r="H4" s="10"/>
      <c r="I4" s="4" t="s">
        <v>226</v>
      </c>
      <c r="J4" s="4"/>
      <c r="K4" s="10"/>
      <c r="L4" s="4" t="s">
        <v>227</v>
      </c>
      <c r="M4" s="4"/>
      <c r="N4" s="10"/>
      <c r="O4" s="4" t="s">
        <v>228</v>
      </c>
      <c r="P4" s="4"/>
      <c r="Q4" s="10"/>
      <c r="R4" s="4" t="s">
        <v>229</v>
      </c>
      <c r="S4" s="4"/>
      <c r="T4" s="10"/>
      <c r="U4" s="4" t="s">
        <v>230</v>
      </c>
      <c r="V4" s="4"/>
      <c r="W4" s="10"/>
      <c r="X4" s="4" t="s">
        <v>231</v>
      </c>
      <c r="Y4" s="4"/>
      <c r="Z4" s="10"/>
      <c r="AA4" s="4" t="s">
        <v>232</v>
      </c>
      <c r="AB4" s="4"/>
      <c r="AC4" s="10"/>
      <c r="AD4" s="4" t="s">
        <v>233</v>
      </c>
      <c r="AE4" s="4"/>
      <c r="AF4" s="10"/>
      <c r="AG4" s="4" t="s">
        <v>234</v>
      </c>
      <c r="AH4" s="4"/>
      <c r="AI4" s="10"/>
      <c r="AJ4" s="4" t="s">
        <v>235</v>
      </c>
      <c r="AK4" s="4"/>
      <c r="AL4" s="10"/>
      <c r="AM4" s="4" t="s">
        <v>236</v>
      </c>
      <c r="AN4" s="4"/>
      <c r="AO4" s="10"/>
      <c r="AP4" s="4" t="s">
        <v>237</v>
      </c>
      <c r="AQ4" s="4"/>
      <c r="AR4" s="10"/>
      <c r="AS4" s="4" t="s">
        <v>238</v>
      </c>
      <c r="AT4" s="4"/>
      <c r="AU4" s="10"/>
      <c r="AV4" s="4" t="s">
        <v>239</v>
      </c>
      <c r="AW4" s="4"/>
      <c r="AX4" s="26"/>
      <c r="AY4" s="4" t="s">
        <v>240</v>
      </c>
      <c r="AZ4" s="4"/>
      <c r="BA4" s="26"/>
      <c r="BB4" s="4" t="s">
        <v>241</v>
      </c>
      <c r="BC4" s="4"/>
      <c r="BD4" s="26"/>
      <c r="BE4" s="4" t="s">
        <v>242</v>
      </c>
      <c r="BF4" s="4"/>
      <c r="BG4" s="4"/>
      <c r="BH4" s="4" t="s">
        <v>243</v>
      </c>
      <c r="BI4" s="4"/>
      <c r="BJ4" s="4"/>
      <c r="BK4" s="4" t="s">
        <v>3</v>
      </c>
      <c r="BL4" s="4"/>
      <c r="BM4" s="4"/>
      <c r="BN4" s="37"/>
      <c r="BO4" s="37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38"/>
      <c r="BO5" s="38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9"/>
      <c r="BO6" s="9"/>
      <c r="BP6" s="9"/>
      <c r="BQ6" s="9"/>
      <c r="BR6" s="9"/>
      <c r="BS6" s="9"/>
      <c r="BT6" s="9"/>
      <c r="BU6" s="9"/>
    </row>
    <row r="7" spans="1:73" ht="18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39"/>
      <c r="BO7" s="39"/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39"/>
      <c r="BO8" s="39"/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39"/>
      <c r="BO9" s="39"/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39"/>
      <c r="BO10" s="39"/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9"/>
      <c r="BO11" s="9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9"/>
      <c r="BO12" s="9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114.02</v>
      </c>
      <c r="D13" s="19">
        <v>90.31</v>
      </c>
      <c r="E13" s="5"/>
      <c r="F13" s="27">
        <v>113.64</v>
      </c>
      <c r="G13" s="19">
        <v>90.46</v>
      </c>
      <c r="H13" s="5"/>
      <c r="I13" s="27">
        <v>113.64</v>
      </c>
      <c r="J13" s="19">
        <v>90.46</v>
      </c>
      <c r="K13" s="5"/>
      <c r="L13" s="27">
        <v>113.86</v>
      </c>
      <c r="M13" s="19">
        <v>89.81</v>
      </c>
      <c r="N13" s="5"/>
      <c r="O13" s="27">
        <v>113.28</v>
      </c>
      <c r="P13" s="19">
        <v>89.61</v>
      </c>
      <c r="Q13" s="5"/>
      <c r="R13" s="27">
        <v>113.87</v>
      </c>
      <c r="S13" s="19">
        <v>89.26</v>
      </c>
      <c r="T13" s="5"/>
      <c r="U13" s="27">
        <v>113.87</v>
      </c>
      <c r="V13" s="19">
        <v>89.68</v>
      </c>
      <c r="W13" s="5"/>
      <c r="X13" s="27">
        <v>114.5</v>
      </c>
      <c r="Y13" s="19">
        <v>89.59</v>
      </c>
      <c r="Z13" s="5"/>
      <c r="AA13" s="27">
        <v>114.75</v>
      </c>
      <c r="AB13" s="19">
        <v>89.39</v>
      </c>
      <c r="AC13" s="5"/>
      <c r="AD13" s="27">
        <v>114.69</v>
      </c>
      <c r="AE13" s="19">
        <v>89.37</v>
      </c>
      <c r="AF13" s="5"/>
      <c r="AG13" s="27">
        <v>114.48</v>
      </c>
      <c r="AH13" s="19">
        <v>89.11</v>
      </c>
      <c r="AI13" s="5"/>
      <c r="AJ13" s="27">
        <v>115.74</v>
      </c>
      <c r="AK13" s="19">
        <v>88.57</v>
      </c>
      <c r="AL13" s="5"/>
      <c r="AM13" s="27">
        <v>115.39</v>
      </c>
      <c r="AN13" s="19">
        <v>88.9</v>
      </c>
      <c r="AO13" s="5"/>
      <c r="AP13" s="27">
        <v>115.25</v>
      </c>
      <c r="AQ13" s="19">
        <v>88.56</v>
      </c>
      <c r="AR13" s="5"/>
      <c r="AS13" s="27">
        <v>115.63</v>
      </c>
      <c r="AT13" s="19">
        <v>88.69</v>
      </c>
      <c r="AU13" s="5"/>
      <c r="AV13" s="27">
        <v>115.32</v>
      </c>
      <c r="AW13" s="19">
        <v>88.69</v>
      </c>
      <c r="AX13" s="5"/>
      <c r="AY13" s="27">
        <v>115.36</v>
      </c>
      <c r="AZ13" s="19">
        <v>88.42</v>
      </c>
      <c r="BA13" s="5"/>
      <c r="BB13" s="27">
        <v>115.35</v>
      </c>
      <c r="BC13" s="19">
        <v>88.18</v>
      </c>
      <c r="BD13" s="5"/>
      <c r="BE13" s="27">
        <v>115.23</v>
      </c>
      <c r="BF13" s="19">
        <v>88.11</v>
      </c>
      <c r="BG13" s="27"/>
      <c r="BH13" s="27">
        <v>115.92</v>
      </c>
      <c r="BI13" s="19">
        <v>87.98</v>
      </c>
      <c r="BJ13" s="27"/>
      <c r="BK13" s="27">
        <f>(+C13+F13+I13+L13+O13+R13+U13+X13+AA13+AD13+AG13+AJ13+AM13+AP13+AS13+AV13+AY13+BB13+BE13+BH13)/20</f>
        <v>114.6895</v>
      </c>
      <c r="BL13" s="19">
        <f>(+D13+G13+J13+M13+P13+S13+V13+Y13+AB13+AE13+AH13+AK13+AN13+AQ13+AT13+AW13+AZ13+BC13+BF13+BI13)/20</f>
        <v>89.1575</v>
      </c>
      <c r="BM13" s="19"/>
      <c r="BN13" s="31"/>
      <c r="BO13" s="32"/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1/1.7542</f>
        <v>0.5700604264051989</v>
      </c>
      <c r="D14" s="19">
        <v>180.64</v>
      </c>
      <c r="E14" s="5"/>
      <c r="F14" s="27">
        <f>1/1.7646</f>
        <v>0.5667006687067891</v>
      </c>
      <c r="G14" s="19">
        <v>181.41</v>
      </c>
      <c r="H14" s="5"/>
      <c r="I14" s="27">
        <f>1/1.7646</f>
        <v>0.5667006687067891</v>
      </c>
      <c r="J14" s="19">
        <v>181.41</v>
      </c>
      <c r="K14" s="5"/>
      <c r="L14" s="27">
        <f>1/1.7684</f>
        <v>0.565482922415743</v>
      </c>
      <c r="M14" s="19">
        <v>180.84</v>
      </c>
      <c r="N14" s="5"/>
      <c r="O14" s="27">
        <f>1/1.7702</f>
        <v>0.5649079200090386</v>
      </c>
      <c r="P14" s="19">
        <v>179.7</v>
      </c>
      <c r="Q14" s="5"/>
      <c r="R14" s="27">
        <f>1/1.7584</f>
        <v>0.5686988171064604</v>
      </c>
      <c r="S14" s="19">
        <v>178.73</v>
      </c>
      <c r="T14" s="5"/>
      <c r="U14" s="27">
        <f>1/1.7548</f>
        <v>0.5698655117392296</v>
      </c>
      <c r="V14" s="19">
        <v>179.19</v>
      </c>
      <c r="W14" s="5"/>
      <c r="X14" s="27">
        <f>1/1.746</f>
        <v>0.572737686139748</v>
      </c>
      <c r="Y14" s="19">
        <v>179.11</v>
      </c>
      <c r="Z14" s="5"/>
      <c r="AA14" s="27">
        <f>1/1.7477</f>
        <v>0.5721805801911083</v>
      </c>
      <c r="AB14" s="19">
        <v>179.26</v>
      </c>
      <c r="AC14" s="5"/>
      <c r="AD14" s="27">
        <f>1/1.7503</f>
        <v>0.5713306290350226</v>
      </c>
      <c r="AE14" s="19">
        <v>179.41</v>
      </c>
      <c r="AF14" s="5"/>
      <c r="AG14" s="27">
        <f>1/1.7614</f>
        <v>0.5677302146020211</v>
      </c>
      <c r="AH14" s="19">
        <v>179.69</v>
      </c>
      <c r="AI14" s="5"/>
      <c r="AJ14" s="27">
        <f>1/1.746</f>
        <v>0.572737686139748</v>
      </c>
      <c r="AK14" s="19">
        <v>178.99</v>
      </c>
      <c r="AL14" s="5"/>
      <c r="AM14" s="27">
        <f>1/1.7678</f>
        <v>0.5656748500961647</v>
      </c>
      <c r="AN14" s="19">
        <v>181.33</v>
      </c>
      <c r="AO14" s="5"/>
      <c r="AP14" s="27">
        <f>1/1.7772</f>
        <v>0.5626828719333784</v>
      </c>
      <c r="AQ14" s="19">
        <v>181.39</v>
      </c>
      <c r="AR14" s="5"/>
      <c r="AS14" s="27">
        <f>1/1.7677</f>
        <v>0.5657068507099621</v>
      </c>
      <c r="AT14" s="19">
        <v>181.28</v>
      </c>
      <c r="AU14" s="5"/>
      <c r="AV14" s="27">
        <f>1/1.7772</f>
        <v>0.5626828719333784</v>
      </c>
      <c r="AW14" s="19">
        <v>181.77</v>
      </c>
      <c r="AX14" s="5"/>
      <c r="AY14" s="27">
        <f>1/1.7774</f>
        <v>0.5626195566557893</v>
      </c>
      <c r="AZ14" s="19">
        <v>181.29</v>
      </c>
      <c r="BA14" s="5"/>
      <c r="BB14" s="27">
        <f>1/1.7841</f>
        <v>0.5605066980550417</v>
      </c>
      <c r="BC14" s="19">
        <v>181.48</v>
      </c>
      <c r="BD14" s="5"/>
      <c r="BE14" s="27">
        <f>1/1.7819</f>
        <v>0.5611987204669173</v>
      </c>
      <c r="BF14" s="19">
        <v>180.92</v>
      </c>
      <c r="BG14" s="27"/>
      <c r="BH14" s="27">
        <f>1/1.7781</f>
        <v>0.5623980653506552</v>
      </c>
      <c r="BI14" s="19">
        <v>181.34</v>
      </c>
      <c r="BJ14" s="27"/>
      <c r="BK14" s="27">
        <f aca="true" t="shared" si="0" ref="BK14:BK25">(+C14+F14+I14+L14+O14+R14+U14+X14+AA14+AD14+AG14+AJ14+AM14+AP14+AS14+AV14+AY14+BB14+BE14+BH14)/20</f>
        <v>0.566630210819909</v>
      </c>
      <c r="BL14" s="19">
        <f aca="true" t="shared" si="1" ref="BL14:BL25">(+D14+G14+J14+M14+P14+S14+V14+Y14+AB14+AE14+AH14+AK14+AN14+AQ14+AT14+AW14+AZ14+BC14+BF14+BI14)/20</f>
        <v>180.459</v>
      </c>
      <c r="BM14" s="19"/>
      <c r="BN14" s="31"/>
      <c r="BO14" s="32"/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1.3026</v>
      </c>
      <c r="D15" s="19">
        <v>79.05</v>
      </c>
      <c r="E15" s="5"/>
      <c r="F15" s="27">
        <v>1.296</v>
      </c>
      <c r="G15" s="19">
        <v>79.32</v>
      </c>
      <c r="H15" s="5"/>
      <c r="I15" s="27">
        <v>1.296</v>
      </c>
      <c r="J15" s="19">
        <v>79.32</v>
      </c>
      <c r="K15" s="5"/>
      <c r="L15" s="27">
        <v>1.2824</v>
      </c>
      <c r="M15" s="19">
        <v>79.74</v>
      </c>
      <c r="N15" s="5"/>
      <c r="O15" s="27">
        <v>1.2742</v>
      </c>
      <c r="P15" s="19">
        <v>79.67</v>
      </c>
      <c r="Q15" s="5"/>
      <c r="R15" s="27">
        <v>1.2773</v>
      </c>
      <c r="S15" s="19">
        <v>79.58</v>
      </c>
      <c r="T15" s="5"/>
      <c r="U15" s="27">
        <v>1.2855</v>
      </c>
      <c r="V15" s="19">
        <v>79.44</v>
      </c>
      <c r="W15" s="5"/>
      <c r="X15" s="27">
        <v>1.2902</v>
      </c>
      <c r="Y15" s="19">
        <v>79.51</v>
      </c>
      <c r="Z15" s="5"/>
      <c r="AA15" s="27">
        <v>1.2953</v>
      </c>
      <c r="AB15" s="19">
        <v>79.19</v>
      </c>
      <c r="AC15" s="5"/>
      <c r="AD15" s="27">
        <v>1.2915</v>
      </c>
      <c r="AE15" s="19">
        <v>79.37</v>
      </c>
      <c r="AF15" s="5"/>
      <c r="AG15" s="27">
        <v>1.2875</v>
      </c>
      <c r="AH15" s="19">
        <v>79.24</v>
      </c>
      <c r="AI15" s="5"/>
      <c r="AJ15" s="27">
        <v>1.2981</v>
      </c>
      <c r="AK15" s="19">
        <v>78.97</v>
      </c>
      <c r="AL15" s="5"/>
      <c r="AM15" s="27">
        <v>1.2951</v>
      </c>
      <c r="AN15" s="19">
        <v>79.2</v>
      </c>
      <c r="AO15" s="5"/>
      <c r="AP15" s="27">
        <v>1.2845</v>
      </c>
      <c r="AQ15" s="19">
        <v>79.46</v>
      </c>
      <c r="AR15" s="5"/>
      <c r="AS15" s="27">
        <v>1.2934</v>
      </c>
      <c r="AT15" s="19">
        <v>79.29</v>
      </c>
      <c r="AU15" s="5"/>
      <c r="AV15" s="27">
        <v>1.2839</v>
      </c>
      <c r="AW15" s="19">
        <v>79.66</v>
      </c>
      <c r="AX15" s="5"/>
      <c r="AY15" s="27">
        <v>1.2804</v>
      </c>
      <c r="AZ15" s="19">
        <v>79.66</v>
      </c>
      <c r="BA15" s="5"/>
      <c r="BB15" s="27">
        <v>1.2774</v>
      </c>
      <c r="BC15" s="19">
        <v>79.63</v>
      </c>
      <c r="BD15" s="5"/>
      <c r="BE15" s="27">
        <v>1.2723</v>
      </c>
      <c r="BF15" s="19">
        <v>79.8</v>
      </c>
      <c r="BG15" s="27"/>
      <c r="BH15" s="27">
        <v>1.2815</v>
      </c>
      <c r="BI15" s="19">
        <v>79.58</v>
      </c>
      <c r="BJ15" s="27"/>
      <c r="BK15" s="27">
        <f t="shared" si="0"/>
        <v>1.2872550000000003</v>
      </c>
      <c r="BL15" s="19">
        <f t="shared" si="1"/>
        <v>79.434</v>
      </c>
      <c r="BM15" s="19"/>
      <c r="BN15" s="31"/>
      <c r="BO15" s="32"/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1/1.1931</f>
        <v>0.8381527114240214</v>
      </c>
      <c r="D16" s="19">
        <v>122.99</v>
      </c>
      <c r="E16" s="5"/>
      <c r="F16" s="27">
        <f>1/1.1962</f>
        <v>0.8359806052499582</v>
      </c>
      <c r="G16" s="19">
        <v>122.96</v>
      </c>
      <c r="H16" s="5"/>
      <c r="I16" s="27">
        <f>1/1.1962</f>
        <v>0.8359806052499582</v>
      </c>
      <c r="J16" s="19">
        <v>122.96</v>
      </c>
      <c r="K16" s="5"/>
      <c r="L16" s="27">
        <f>1/1.206</f>
        <v>0.8291873963515755</v>
      </c>
      <c r="M16" s="19">
        <v>123.26</v>
      </c>
      <c r="N16" s="5"/>
      <c r="O16" s="27">
        <f>1/1.2153</f>
        <v>0.8228420966016621</v>
      </c>
      <c r="P16" s="19">
        <v>123.33</v>
      </c>
      <c r="Q16" s="5"/>
      <c r="R16" s="27">
        <f>1/1.2126</f>
        <v>0.8246742536698005</v>
      </c>
      <c r="S16" s="19">
        <v>123.26</v>
      </c>
      <c r="T16" s="5"/>
      <c r="U16" s="27">
        <f>1/1.2042</f>
        <v>0.8304268393954493</v>
      </c>
      <c r="V16" s="19">
        <v>122.97</v>
      </c>
      <c r="W16" s="5"/>
      <c r="X16" s="27">
        <f>1/1.1992</f>
        <v>0.8338892595063375</v>
      </c>
      <c r="Y16" s="19">
        <v>122.98</v>
      </c>
      <c r="Z16" s="5"/>
      <c r="AA16" s="27">
        <f>1/1.1979</f>
        <v>0.8347942232239753</v>
      </c>
      <c r="AB16" s="19">
        <v>122.93</v>
      </c>
      <c r="AC16" s="5"/>
      <c r="AD16" s="27">
        <f>1/1.1999</f>
        <v>0.8334027835652972</v>
      </c>
      <c r="AE16" s="19">
        <v>123.01</v>
      </c>
      <c r="AF16" s="5"/>
      <c r="AG16" s="27">
        <f>1/1.2055</f>
        <v>0.8295313148071339</v>
      </c>
      <c r="AH16" s="19">
        <v>123.01</v>
      </c>
      <c r="AI16" s="5"/>
      <c r="AJ16" s="27">
        <f>1/1.197</f>
        <v>0.835421888053467</v>
      </c>
      <c r="AK16" s="19">
        <v>122.75</v>
      </c>
      <c r="AL16" s="5"/>
      <c r="AM16" s="27">
        <f>1/1.1977</f>
        <v>0.8349336227769892</v>
      </c>
      <c r="AN16" s="19">
        <v>122.84</v>
      </c>
      <c r="AO16" s="5"/>
      <c r="AP16" s="27">
        <f>1/1.2036</f>
        <v>0.8308408109006314</v>
      </c>
      <c r="AQ16" s="19">
        <v>122.83</v>
      </c>
      <c r="AR16" s="5"/>
      <c r="AS16" s="27">
        <f>1/1.1946</f>
        <v>0.8371002846140967</v>
      </c>
      <c r="AT16" s="19">
        <v>122.55</v>
      </c>
      <c r="AU16" s="5"/>
      <c r="AV16" s="27">
        <f>1/1.2029</f>
        <v>0.8313242996092776</v>
      </c>
      <c r="AW16" s="19">
        <v>122.8</v>
      </c>
      <c r="AX16" s="5"/>
      <c r="AY16" s="27">
        <f>1/1.2077</f>
        <v>0.8280202036929701</v>
      </c>
      <c r="AZ16" s="19">
        <v>123.1</v>
      </c>
      <c r="BA16" s="5"/>
      <c r="BB16" s="27">
        <f>1/1.2114</f>
        <v>0.8254911672445104</v>
      </c>
      <c r="BC16" s="19">
        <v>123.13</v>
      </c>
      <c r="BD16" s="5"/>
      <c r="BE16" s="27">
        <f>1/1.215</f>
        <v>0.8230452674897119</v>
      </c>
      <c r="BF16" s="19">
        <v>123.25</v>
      </c>
      <c r="BG16" s="27"/>
      <c r="BH16" s="27">
        <f>1/1.2061</f>
        <v>0.8291186468783683</v>
      </c>
      <c r="BI16" s="19">
        <v>123</v>
      </c>
      <c r="BJ16" s="27"/>
      <c r="BK16" s="27">
        <f t="shared" si="0"/>
        <v>0.8312079140152597</v>
      </c>
      <c r="BL16" s="19">
        <f t="shared" si="1"/>
        <v>122.99549999999999</v>
      </c>
      <c r="BM16" s="19"/>
      <c r="BN16" s="31"/>
      <c r="BO16" s="32"/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464.9</v>
      </c>
      <c r="D17" s="19">
        <v>47873.08</v>
      </c>
      <c r="E17" s="5"/>
      <c r="F17" s="27">
        <v>465.1</v>
      </c>
      <c r="G17" s="19">
        <v>47814.02</v>
      </c>
      <c r="H17" s="5"/>
      <c r="I17" s="27">
        <v>465.1</v>
      </c>
      <c r="J17" s="19">
        <v>47814.02</v>
      </c>
      <c r="K17" s="5"/>
      <c r="L17" s="27">
        <v>466.1</v>
      </c>
      <c r="M17" s="19">
        <v>47663.68</v>
      </c>
      <c r="N17" s="5"/>
      <c r="O17" s="27">
        <v>472.3</v>
      </c>
      <c r="P17" s="19">
        <v>47945.83</v>
      </c>
      <c r="Q17" s="5"/>
      <c r="R17" s="27">
        <v>477.4</v>
      </c>
      <c r="S17" s="19">
        <v>48524.13</v>
      </c>
      <c r="T17" s="5"/>
      <c r="U17" s="27">
        <v>475.5</v>
      </c>
      <c r="V17" s="19">
        <v>48555.09</v>
      </c>
      <c r="W17" s="5"/>
      <c r="X17" s="27">
        <v>478.3</v>
      </c>
      <c r="Y17" s="19">
        <v>49064.91</v>
      </c>
      <c r="Z17" s="5"/>
      <c r="AA17" s="27">
        <v>471</v>
      </c>
      <c r="AB17" s="19">
        <v>48311.06</v>
      </c>
      <c r="AC17" s="5"/>
      <c r="AD17" s="27">
        <v>470.4</v>
      </c>
      <c r="AE17" s="19">
        <v>48217.76</v>
      </c>
      <c r="AF17" s="5"/>
      <c r="AG17" s="27">
        <v>472.2</v>
      </c>
      <c r="AH17" s="19">
        <v>48172.96</v>
      </c>
      <c r="AI17" s="5"/>
      <c r="AJ17" s="27">
        <v>473</v>
      </c>
      <c r="AK17" s="19">
        <v>48488.71</v>
      </c>
      <c r="AL17" s="5"/>
      <c r="AM17" s="27">
        <v>464</v>
      </c>
      <c r="AN17" s="19">
        <v>47595.38</v>
      </c>
      <c r="AO17" s="5"/>
      <c r="AP17" s="27">
        <v>462.8</v>
      </c>
      <c r="AQ17" s="19">
        <v>47235.97</v>
      </c>
      <c r="AR17" s="5"/>
      <c r="AS17" s="27">
        <v>463.7</v>
      </c>
      <c r="AT17" s="19">
        <v>47551.86</v>
      </c>
      <c r="AU17" s="5"/>
      <c r="AV17" s="27">
        <v>467.5</v>
      </c>
      <c r="AW17" s="19">
        <v>47815.02</v>
      </c>
      <c r="AX17" s="5"/>
      <c r="AY17" s="27">
        <v>471.4</v>
      </c>
      <c r="AZ17" s="19">
        <v>48082.21</v>
      </c>
      <c r="BA17" s="5"/>
      <c r="BB17" s="27">
        <v>473</v>
      </c>
      <c r="BC17" s="19">
        <v>48113.86</v>
      </c>
      <c r="BD17" s="5"/>
      <c r="BE17" s="27">
        <v>473.5</v>
      </c>
      <c r="BF17" s="19">
        <v>48074.46</v>
      </c>
      <c r="BG17" s="27"/>
      <c r="BH17" s="27">
        <v>472.25</v>
      </c>
      <c r="BI17" s="19">
        <v>48162.71</v>
      </c>
      <c r="BJ17" s="27"/>
      <c r="BK17" s="27">
        <f t="shared" si="0"/>
        <v>469.9725</v>
      </c>
      <c r="BL17" s="19">
        <f t="shared" si="1"/>
        <v>48053.835999999996</v>
      </c>
      <c r="BM17" s="19"/>
      <c r="BN17" s="31"/>
      <c r="BO17" s="32"/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7.38</v>
      </c>
      <c r="D18" s="19">
        <v>759.96</v>
      </c>
      <c r="E18" s="5"/>
      <c r="F18" s="27">
        <v>7.34</v>
      </c>
      <c r="G18" s="19">
        <v>754.58</v>
      </c>
      <c r="H18" s="5"/>
      <c r="I18" s="27">
        <v>7.34</v>
      </c>
      <c r="J18" s="19">
        <v>754.58</v>
      </c>
      <c r="K18" s="5"/>
      <c r="L18" s="27">
        <v>7.39</v>
      </c>
      <c r="M18" s="19">
        <v>755.71</v>
      </c>
      <c r="N18" s="5"/>
      <c r="O18" s="27">
        <v>7.64</v>
      </c>
      <c r="P18" s="19">
        <v>775.58</v>
      </c>
      <c r="Q18" s="5"/>
      <c r="R18" s="27">
        <v>7.77</v>
      </c>
      <c r="S18" s="19">
        <v>789.76</v>
      </c>
      <c r="T18" s="5"/>
      <c r="U18" s="27">
        <v>7.78</v>
      </c>
      <c r="V18" s="19">
        <v>794.44</v>
      </c>
      <c r="W18" s="5"/>
      <c r="X18" s="27">
        <v>7.83</v>
      </c>
      <c r="Y18" s="19">
        <v>803.22</v>
      </c>
      <c r="Z18" s="5"/>
      <c r="AA18" s="27">
        <v>7.7</v>
      </c>
      <c r="AB18" s="19">
        <v>789.8</v>
      </c>
      <c r="AC18" s="5"/>
      <c r="AD18" s="27">
        <v>7.67</v>
      </c>
      <c r="AE18" s="19">
        <v>786.2</v>
      </c>
      <c r="AF18" s="5"/>
      <c r="AG18" s="27">
        <v>7.82</v>
      </c>
      <c r="AH18" s="19">
        <v>797.78</v>
      </c>
      <c r="AI18" s="5"/>
      <c r="AJ18" s="27">
        <v>7.78</v>
      </c>
      <c r="AK18" s="19">
        <v>797.55</v>
      </c>
      <c r="AL18" s="5"/>
      <c r="AM18" s="27">
        <v>7.55</v>
      </c>
      <c r="AN18" s="19">
        <v>774.45</v>
      </c>
      <c r="AO18" s="5"/>
      <c r="AP18" s="27">
        <v>7.6</v>
      </c>
      <c r="AQ18" s="19">
        <v>775.7</v>
      </c>
      <c r="AR18" s="5"/>
      <c r="AS18" s="27">
        <v>7.59</v>
      </c>
      <c r="AT18" s="19">
        <v>778.35</v>
      </c>
      <c r="AU18" s="5"/>
      <c r="AV18" s="27">
        <v>7.7</v>
      </c>
      <c r="AW18" s="19">
        <v>787.54</v>
      </c>
      <c r="AX18" s="5"/>
      <c r="AY18" s="27">
        <v>7.8</v>
      </c>
      <c r="AZ18" s="19">
        <v>795.59</v>
      </c>
      <c r="BA18" s="5"/>
      <c r="BB18" s="27">
        <v>7.8</v>
      </c>
      <c r="BC18" s="19">
        <v>793.42</v>
      </c>
      <c r="BD18" s="5"/>
      <c r="BE18" s="27">
        <v>7.79</v>
      </c>
      <c r="BF18" s="19">
        <v>790.92</v>
      </c>
      <c r="BG18" s="27"/>
      <c r="BH18" s="27">
        <v>7.76</v>
      </c>
      <c r="BI18" s="19">
        <v>791.41</v>
      </c>
      <c r="BJ18" s="27"/>
      <c r="BK18" s="27">
        <f t="shared" si="0"/>
        <v>7.6515</v>
      </c>
      <c r="BL18" s="19">
        <f t="shared" si="1"/>
        <v>782.327</v>
      </c>
      <c r="BM18" s="19"/>
      <c r="BN18" s="31"/>
      <c r="BO18" s="32"/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1/0.7609</f>
        <v>1.3142331449599158</v>
      </c>
      <c r="D19" s="19">
        <v>78.35</v>
      </c>
      <c r="E19" s="5"/>
      <c r="F19" s="27">
        <f>1/0.7591</f>
        <v>1.3173494928204452</v>
      </c>
      <c r="G19" s="19">
        <v>78.04</v>
      </c>
      <c r="H19" s="5"/>
      <c r="I19" s="27">
        <f>1/0.7591</f>
        <v>1.3173494928204452</v>
      </c>
      <c r="J19" s="19">
        <v>78.04</v>
      </c>
      <c r="K19" s="5"/>
      <c r="L19" s="27">
        <f>1/0.7594</f>
        <v>1.316829075585989</v>
      </c>
      <c r="M19" s="19">
        <v>77.66</v>
      </c>
      <c r="N19" s="5"/>
      <c r="O19" s="27">
        <f>1/0.7582</f>
        <v>1.3189132155104195</v>
      </c>
      <c r="P19" s="19">
        <v>76.97</v>
      </c>
      <c r="Q19" s="5"/>
      <c r="R19" s="27">
        <f>1/0.7597</f>
        <v>1.3163090693694879</v>
      </c>
      <c r="S19" s="19">
        <v>77.22</v>
      </c>
      <c r="T19" s="5"/>
      <c r="U19" s="27">
        <f>1/0.757</f>
        <v>1.321003963011889</v>
      </c>
      <c r="V19" s="19">
        <v>77.3</v>
      </c>
      <c r="W19" s="5"/>
      <c r="X19" s="27">
        <f>1/0.7529</f>
        <v>1.3281976358082082</v>
      </c>
      <c r="Y19" s="19">
        <v>77.23</v>
      </c>
      <c r="Z19" s="5"/>
      <c r="AA19" s="27">
        <f>1/0.7502</f>
        <v>1.3329778725673154</v>
      </c>
      <c r="AB19" s="19">
        <v>76.95</v>
      </c>
      <c r="AC19" s="5"/>
      <c r="AD19" s="27">
        <f>1/0.7502</f>
        <v>1.3329778725673154</v>
      </c>
      <c r="AE19" s="19">
        <v>76.9</v>
      </c>
      <c r="AF19" s="5"/>
      <c r="AG19" s="27">
        <f>1/0.7517</f>
        <v>1.3303179459890913</v>
      </c>
      <c r="AH19" s="19">
        <v>76.69</v>
      </c>
      <c r="AI19" s="5"/>
      <c r="AJ19" s="27">
        <f>1/0.7472</f>
        <v>1.3383297644539616</v>
      </c>
      <c r="AK19" s="19">
        <v>76.6</v>
      </c>
      <c r="AL19" s="5"/>
      <c r="AM19" s="27">
        <f>1/0.7511</f>
        <v>1.3313806417254694</v>
      </c>
      <c r="AN19" s="19">
        <v>77.05</v>
      </c>
      <c r="AO19" s="5"/>
      <c r="AP19" s="27">
        <f>1/0.7512</f>
        <v>1.3312034078807242</v>
      </c>
      <c r="AQ19" s="19">
        <v>76.67</v>
      </c>
      <c r="AR19" s="5"/>
      <c r="AS19" s="27">
        <f>1/0.7483</f>
        <v>1.3363624214887078</v>
      </c>
      <c r="AT19" s="19">
        <v>76.74</v>
      </c>
      <c r="AU19" s="5"/>
      <c r="AV19" s="27">
        <f>1/0.753</f>
        <v>1.3280212483399734</v>
      </c>
      <c r="AW19" s="19">
        <v>77.02</v>
      </c>
      <c r="AX19" s="18"/>
      <c r="AY19" s="27">
        <f>1/0.7554</f>
        <v>1.3238019592268997</v>
      </c>
      <c r="AZ19" s="19">
        <v>77.05</v>
      </c>
      <c r="BA19" s="18"/>
      <c r="BB19" s="27">
        <f>1/0.7586</f>
        <v>1.3182177695755337</v>
      </c>
      <c r="BC19" s="19">
        <v>77.17</v>
      </c>
      <c r="BD19" s="18"/>
      <c r="BE19" s="27">
        <f>1/0.7544</f>
        <v>1.325556733828208</v>
      </c>
      <c r="BF19" s="19">
        <v>76.59</v>
      </c>
      <c r="BG19" s="27"/>
      <c r="BH19" s="27">
        <f>1/0.7514</f>
        <v>1.3308490817141336</v>
      </c>
      <c r="BI19" s="19">
        <v>76.63</v>
      </c>
      <c r="BJ19" s="27"/>
      <c r="BK19" s="27">
        <f t="shared" si="0"/>
        <v>1.3255090904622064</v>
      </c>
      <c r="BL19" s="19">
        <f t="shared" si="1"/>
        <v>77.14349999999999</v>
      </c>
      <c r="BM19" s="19"/>
      <c r="BN19" s="31"/>
      <c r="BO19" s="32"/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1.166</v>
      </c>
      <c r="D20" s="19">
        <v>88.31</v>
      </c>
      <c r="E20" s="5"/>
      <c r="F20" s="27">
        <v>1.1722</v>
      </c>
      <c r="G20" s="19">
        <v>87.7</v>
      </c>
      <c r="H20" s="5"/>
      <c r="I20" s="27">
        <v>1.1722</v>
      </c>
      <c r="J20" s="19">
        <v>87.7</v>
      </c>
      <c r="K20" s="5"/>
      <c r="L20" s="27">
        <v>1.1788</v>
      </c>
      <c r="M20" s="19">
        <v>86.75</v>
      </c>
      <c r="N20" s="5"/>
      <c r="O20" s="27">
        <v>1.1802</v>
      </c>
      <c r="P20" s="19">
        <v>86.02</v>
      </c>
      <c r="Q20" s="5"/>
      <c r="R20" s="27">
        <v>1.1752</v>
      </c>
      <c r="S20" s="19">
        <v>86.49</v>
      </c>
      <c r="T20" s="5"/>
      <c r="U20" s="27">
        <v>1.1792</v>
      </c>
      <c r="V20" s="19">
        <v>86.6</v>
      </c>
      <c r="W20" s="5"/>
      <c r="X20" s="27">
        <v>1.1742</v>
      </c>
      <c r="Y20" s="19">
        <v>87.36</v>
      </c>
      <c r="Z20" s="5"/>
      <c r="AA20" s="27">
        <v>1.1728</v>
      </c>
      <c r="AB20" s="19">
        <v>87.46</v>
      </c>
      <c r="AC20" s="5"/>
      <c r="AD20" s="27">
        <v>1.1827</v>
      </c>
      <c r="AE20" s="19">
        <v>86.67</v>
      </c>
      <c r="AF20" s="5"/>
      <c r="AG20" s="27">
        <v>1.1815</v>
      </c>
      <c r="AH20" s="19">
        <v>86.35</v>
      </c>
      <c r="AI20" s="5"/>
      <c r="AJ20" s="27">
        <v>1.1827</v>
      </c>
      <c r="AK20" s="19">
        <v>86.68</v>
      </c>
      <c r="AL20" s="5"/>
      <c r="AM20" s="27">
        <v>1.175</v>
      </c>
      <c r="AN20" s="19">
        <v>87.3</v>
      </c>
      <c r="AO20" s="5"/>
      <c r="AP20" s="27">
        <v>1.1762</v>
      </c>
      <c r="AQ20" s="19">
        <v>86.78</v>
      </c>
      <c r="AR20" s="5"/>
      <c r="AS20" s="27">
        <v>1.1884</v>
      </c>
      <c r="AT20" s="19">
        <v>86.29</v>
      </c>
      <c r="AU20" s="5"/>
      <c r="AV20" s="27">
        <v>1.1837</v>
      </c>
      <c r="AW20" s="19">
        <v>86.41</v>
      </c>
      <c r="AX20" s="5"/>
      <c r="AY20" s="27">
        <v>1.177</v>
      </c>
      <c r="AZ20" s="19">
        <v>86.66</v>
      </c>
      <c r="BA20" s="5"/>
      <c r="BB20" s="27">
        <v>1.1661</v>
      </c>
      <c r="BC20" s="19">
        <v>87.23</v>
      </c>
      <c r="BD20" s="5"/>
      <c r="BE20" s="27">
        <v>1.173</v>
      </c>
      <c r="BF20" s="19">
        <v>86.56</v>
      </c>
      <c r="BG20" s="27"/>
      <c r="BH20" s="27">
        <v>1.1746</v>
      </c>
      <c r="BI20" s="19">
        <v>86.83</v>
      </c>
      <c r="BJ20" s="27"/>
      <c r="BK20" s="27">
        <f t="shared" si="0"/>
        <v>1.1765850000000002</v>
      </c>
      <c r="BL20" s="19">
        <f t="shared" si="1"/>
        <v>86.9075</v>
      </c>
      <c r="BM20" s="19"/>
      <c r="BN20" s="31"/>
      <c r="BO20" s="32"/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7.794</v>
      </c>
      <c r="D21" s="19">
        <v>13.21</v>
      </c>
      <c r="E21" s="5"/>
      <c r="F21" s="27">
        <v>7.7718</v>
      </c>
      <c r="G21" s="19">
        <v>13.23</v>
      </c>
      <c r="H21" s="5"/>
      <c r="I21" s="27">
        <v>7.7718</v>
      </c>
      <c r="J21" s="19">
        <v>13.23</v>
      </c>
      <c r="K21" s="5"/>
      <c r="L21" s="27">
        <v>7.7155</v>
      </c>
      <c r="M21" s="19">
        <v>13.25</v>
      </c>
      <c r="N21" s="5"/>
      <c r="O21" s="27">
        <v>7.6762</v>
      </c>
      <c r="P21" s="19">
        <v>13.22</v>
      </c>
      <c r="Q21" s="5"/>
      <c r="R21" s="27">
        <v>7.7035</v>
      </c>
      <c r="S21" s="19">
        <v>13.19</v>
      </c>
      <c r="T21" s="5"/>
      <c r="U21" s="27">
        <v>7.7559</v>
      </c>
      <c r="V21" s="19">
        <v>13.17</v>
      </c>
      <c r="W21" s="5"/>
      <c r="X21" s="27">
        <v>7.7782</v>
      </c>
      <c r="Y21" s="19">
        <v>13.19</v>
      </c>
      <c r="Z21" s="5"/>
      <c r="AA21" s="27">
        <v>7.8215</v>
      </c>
      <c r="AB21" s="19">
        <v>13.11</v>
      </c>
      <c r="AC21" s="5"/>
      <c r="AD21" s="27">
        <v>7.8361</v>
      </c>
      <c r="AE21" s="19">
        <v>13.08</v>
      </c>
      <c r="AF21" s="5"/>
      <c r="AG21" s="27">
        <v>7.8484</v>
      </c>
      <c r="AH21" s="19">
        <v>13</v>
      </c>
      <c r="AI21" s="5"/>
      <c r="AJ21" s="27">
        <v>7.9105</v>
      </c>
      <c r="AK21" s="19">
        <v>12.96</v>
      </c>
      <c r="AL21" s="5"/>
      <c r="AM21" s="27">
        <v>7.9152</v>
      </c>
      <c r="AN21" s="19">
        <v>12.96</v>
      </c>
      <c r="AO21" s="5"/>
      <c r="AP21" s="27">
        <v>7.8783</v>
      </c>
      <c r="AQ21" s="19">
        <v>12.96</v>
      </c>
      <c r="AR21" s="5"/>
      <c r="AS21" s="27">
        <v>7.9771</v>
      </c>
      <c r="AT21" s="19">
        <v>12.86</v>
      </c>
      <c r="AU21" s="5"/>
      <c r="AV21" s="27">
        <v>7.8974</v>
      </c>
      <c r="AW21" s="19">
        <v>12.95</v>
      </c>
      <c r="AX21" s="5"/>
      <c r="AY21" s="27">
        <v>7.8653</v>
      </c>
      <c r="AZ21" s="19">
        <v>12.97</v>
      </c>
      <c r="BA21" s="5"/>
      <c r="BB21" s="27">
        <v>7.8515</v>
      </c>
      <c r="BC21" s="19">
        <v>12.96</v>
      </c>
      <c r="BD21" s="5"/>
      <c r="BE21" s="27">
        <v>7.8311</v>
      </c>
      <c r="BF21" s="19">
        <v>12.96</v>
      </c>
      <c r="BG21" s="27"/>
      <c r="BH21" s="27">
        <v>7.9153</v>
      </c>
      <c r="BI21" s="19">
        <v>12.88</v>
      </c>
      <c r="BJ21" s="27"/>
      <c r="BK21" s="27">
        <f t="shared" si="0"/>
        <v>7.825729999999998</v>
      </c>
      <c r="BL21" s="19">
        <f t="shared" si="1"/>
        <v>13.067000000000002</v>
      </c>
      <c r="BM21" s="19"/>
      <c r="BN21" s="31"/>
      <c r="BO21" s="32"/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6.608</v>
      </c>
      <c r="D22" s="19">
        <v>15.58</v>
      </c>
      <c r="E22" s="5"/>
      <c r="F22" s="27">
        <v>6.5917</v>
      </c>
      <c r="G22" s="19">
        <v>15.6</v>
      </c>
      <c r="H22" s="5"/>
      <c r="I22" s="27">
        <v>6.5917</v>
      </c>
      <c r="J22" s="19">
        <v>15.6</v>
      </c>
      <c r="K22" s="5"/>
      <c r="L22" s="27">
        <v>6.5235</v>
      </c>
      <c r="M22" s="19">
        <v>15.68</v>
      </c>
      <c r="N22" s="5"/>
      <c r="O22" s="27">
        <v>6.4885</v>
      </c>
      <c r="P22" s="19">
        <v>15.65</v>
      </c>
      <c r="Q22" s="5"/>
      <c r="R22" s="27">
        <v>6.5027</v>
      </c>
      <c r="S22" s="19">
        <v>15.63</v>
      </c>
      <c r="T22" s="5"/>
      <c r="U22" s="27">
        <v>6.5174</v>
      </c>
      <c r="V22" s="19">
        <v>15.67</v>
      </c>
      <c r="W22" s="5"/>
      <c r="X22" s="27">
        <v>6.5304</v>
      </c>
      <c r="Y22" s="19">
        <v>15.71</v>
      </c>
      <c r="Z22" s="5"/>
      <c r="AA22" s="27">
        <v>6.505</v>
      </c>
      <c r="AB22" s="19">
        <v>15.77</v>
      </c>
      <c r="AC22" s="5"/>
      <c r="AD22" s="27">
        <v>6.523</v>
      </c>
      <c r="AE22" s="19">
        <v>15.71</v>
      </c>
      <c r="AF22" s="5"/>
      <c r="AG22" s="27">
        <v>6.4706</v>
      </c>
      <c r="AH22" s="19">
        <v>15.77</v>
      </c>
      <c r="AI22" s="5"/>
      <c r="AJ22" s="27">
        <v>6.5293</v>
      </c>
      <c r="AK22" s="19">
        <v>15.7</v>
      </c>
      <c r="AL22" s="5"/>
      <c r="AM22" s="27">
        <v>6.5078</v>
      </c>
      <c r="AN22" s="19">
        <v>15.76</v>
      </c>
      <c r="AO22" s="5"/>
      <c r="AP22" s="27">
        <v>6.4725</v>
      </c>
      <c r="AQ22" s="19">
        <v>15.77</v>
      </c>
      <c r="AR22" s="5"/>
      <c r="AS22" s="27">
        <v>6.5388</v>
      </c>
      <c r="AT22" s="19">
        <v>15.68</v>
      </c>
      <c r="AU22" s="5"/>
      <c r="AV22" s="27">
        <v>6.5021</v>
      </c>
      <c r="AW22" s="19">
        <v>15.73</v>
      </c>
      <c r="AX22" s="5"/>
      <c r="AY22" s="27">
        <v>6.485</v>
      </c>
      <c r="AZ22" s="19">
        <v>15.73</v>
      </c>
      <c r="BA22" s="5"/>
      <c r="BB22" s="27">
        <v>6.4451</v>
      </c>
      <c r="BC22" s="19">
        <v>15.78</v>
      </c>
      <c r="BD22" s="5"/>
      <c r="BE22" s="27">
        <v>6.4253</v>
      </c>
      <c r="BF22" s="19">
        <v>15.8</v>
      </c>
      <c r="BG22" s="27"/>
      <c r="BH22" s="27">
        <v>6.4696</v>
      </c>
      <c r="BI22" s="19">
        <v>15.76</v>
      </c>
      <c r="BJ22" s="27"/>
      <c r="BK22" s="27">
        <f t="shared" si="0"/>
        <v>6.5114</v>
      </c>
      <c r="BL22" s="19">
        <f t="shared" si="1"/>
        <v>15.703999999999999</v>
      </c>
      <c r="BM22" s="19"/>
      <c r="BN22" s="31"/>
      <c r="BO22" s="32"/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6.2519</v>
      </c>
      <c r="D23" s="19">
        <v>16.47</v>
      </c>
      <c r="E23" s="5"/>
      <c r="F23" s="27">
        <v>6.2376</v>
      </c>
      <c r="G23" s="19">
        <v>16.48</v>
      </c>
      <c r="H23" s="5"/>
      <c r="I23" s="27">
        <v>6.2376</v>
      </c>
      <c r="J23" s="19">
        <v>16.48</v>
      </c>
      <c r="K23" s="5"/>
      <c r="L23" s="27">
        <v>6.1859</v>
      </c>
      <c r="M23" s="19">
        <v>16.53</v>
      </c>
      <c r="N23" s="5"/>
      <c r="O23" s="27">
        <v>6.1386</v>
      </c>
      <c r="P23" s="19">
        <v>16.54</v>
      </c>
      <c r="Q23" s="5"/>
      <c r="R23" s="27">
        <v>6.1515</v>
      </c>
      <c r="S23" s="19">
        <v>16.52</v>
      </c>
      <c r="T23" s="5"/>
      <c r="U23" s="27">
        <v>6.1965</v>
      </c>
      <c r="V23" s="19">
        <v>16.48</v>
      </c>
      <c r="W23" s="5"/>
      <c r="X23" s="27">
        <v>6.2223</v>
      </c>
      <c r="Y23" s="19">
        <v>16.49</v>
      </c>
      <c r="Z23" s="5"/>
      <c r="AA23" s="27">
        <v>6.2284</v>
      </c>
      <c r="AB23" s="19">
        <v>16.47</v>
      </c>
      <c r="AC23" s="5"/>
      <c r="AD23" s="27">
        <v>6.2188</v>
      </c>
      <c r="AE23" s="19">
        <v>16.48</v>
      </c>
      <c r="AF23" s="5"/>
      <c r="AG23" s="27">
        <v>6.1889</v>
      </c>
      <c r="AH23" s="19">
        <v>16.48</v>
      </c>
      <c r="AI23" s="5"/>
      <c r="AJ23" s="27">
        <v>6.2336</v>
      </c>
      <c r="AK23" s="19">
        <v>16.45</v>
      </c>
      <c r="AL23" s="5"/>
      <c r="AM23" s="27">
        <v>6.2299</v>
      </c>
      <c r="AN23" s="19">
        <v>16.47</v>
      </c>
      <c r="AO23" s="5"/>
      <c r="AP23" s="27">
        <v>6.1986</v>
      </c>
      <c r="AQ23" s="19">
        <v>16.47</v>
      </c>
      <c r="AR23" s="5"/>
      <c r="AS23" s="27">
        <v>6.242</v>
      </c>
      <c r="AT23" s="19">
        <v>16.43</v>
      </c>
      <c r="AU23" s="5"/>
      <c r="AV23" s="27">
        <v>6.1982</v>
      </c>
      <c r="AW23" s="19">
        <v>16.5</v>
      </c>
      <c r="AX23" s="5"/>
      <c r="AY23" s="27">
        <v>6.1759</v>
      </c>
      <c r="AZ23" s="19">
        <v>16.52</v>
      </c>
      <c r="BA23" s="5"/>
      <c r="BB23" s="27">
        <v>6.1576</v>
      </c>
      <c r="BC23" s="19">
        <v>16.52</v>
      </c>
      <c r="BD23" s="5"/>
      <c r="BE23" s="27">
        <v>6.1384</v>
      </c>
      <c r="BF23" s="19">
        <v>16.54</v>
      </c>
      <c r="BG23" s="27"/>
      <c r="BH23" s="27">
        <v>6.1856</v>
      </c>
      <c r="BI23" s="19">
        <v>16.49</v>
      </c>
      <c r="BJ23" s="27"/>
      <c r="BK23" s="27">
        <f t="shared" si="0"/>
        <v>6.200889999999999</v>
      </c>
      <c r="BL23" s="19">
        <f t="shared" si="1"/>
        <v>16.4905</v>
      </c>
      <c r="BM23" s="19"/>
      <c r="BN23" s="31"/>
      <c r="BO23" s="32"/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1/1.44946</f>
        <v>0.6899121051977978</v>
      </c>
      <c r="D24" s="19">
        <v>149.26</v>
      </c>
      <c r="E24" s="5"/>
      <c r="F24" s="27">
        <f>1/1.44159</f>
        <v>0.6936785077587941</v>
      </c>
      <c r="G24" s="19">
        <v>148.2</v>
      </c>
      <c r="H24" s="5"/>
      <c r="I24" s="27">
        <f>1/1.44159</f>
        <v>0.6936785077587941</v>
      </c>
      <c r="J24" s="19">
        <v>148.2</v>
      </c>
      <c r="K24" s="5"/>
      <c r="L24" s="27">
        <f>1/1.44455</f>
        <v>0.6922571042885327</v>
      </c>
      <c r="M24" s="19">
        <v>147.72</v>
      </c>
      <c r="N24" s="5"/>
      <c r="O24" s="27">
        <f>1/1.44913</f>
        <v>0.6900692139421584</v>
      </c>
      <c r="P24" s="19">
        <v>147.11</v>
      </c>
      <c r="Q24" s="5"/>
      <c r="R24" s="27">
        <f>1/1.45351</f>
        <v>0.6879897627123308</v>
      </c>
      <c r="S24" s="19">
        <v>147.74</v>
      </c>
      <c r="T24" s="5"/>
      <c r="U24" s="27">
        <f>1/1.45351</f>
        <v>0.6879897627123308</v>
      </c>
      <c r="V24" s="19">
        <v>148.42</v>
      </c>
      <c r="W24" s="5"/>
      <c r="X24" s="27">
        <f>1/1.4458</f>
        <v>0.6916585973163647</v>
      </c>
      <c r="Y24" s="19">
        <v>148.31</v>
      </c>
      <c r="Z24" s="5"/>
      <c r="AA24" s="27">
        <f>1/1.44281</f>
        <v>0.6930919525093394</v>
      </c>
      <c r="AB24" s="19">
        <v>147.99</v>
      </c>
      <c r="AC24" s="5"/>
      <c r="AD24" s="27">
        <f>1/1.44257</f>
        <v>0.6932072620392772</v>
      </c>
      <c r="AE24" s="19">
        <v>147.87</v>
      </c>
      <c r="AF24" s="5"/>
      <c r="AG24" s="27">
        <f>1/1.44265</f>
        <v>0.6931688212664194</v>
      </c>
      <c r="AH24" s="19">
        <v>147.18</v>
      </c>
      <c r="AI24" s="5"/>
      <c r="AJ24" s="27">
        <f>1/1.44557</f>
        <v>0.6917686448944015</v>
      </c>
      <c r="AK24" s="19">
        <v>148.19</v>
      </c>
      <c r="AL24" s="5"/>
      <c r="AM24" s="27">
        <f>1/1.44159</f>
        <v>0.6936785077587941</v>
      </c>
      <c r="AN24" s="19">
        <v>147.87</v>
      </c>
      <c r="AO24" s="5"/>
      <c r="AP24" s="27">
        <f>1/1.44198</f>
        <v>0.6934908944645557</v>
      </c>
      <c r="AQ24" s="19">
        <v>147.18</v>
      </c>
      <c r="AR24" s="5"/>
      <c r="AS24" s="27">
        <f>1/1.44523</f>
        <v>0.6919313880835576</v>
      </c>
      <c r="AT24" s="19">
        <v>148.21</v>
      </c>
      <c r="AU24" s="5"/>
      <c r="AV24" s="27">
        <f>1/1.4409</f>
        <v>0.6940106877645915</v>
      </c>
      <c r="AW24" s="19">
        <v>147.37</v>
      </c>
      <c r="AX24" s="5"/>
      <c r="AY24" s="27">
        <f>1/1.44678</f>
        <v>0.691190091098854</v>
      </c>
      <c r="AZ24" s="19">
        <v>147.57</v>
      </c>
      <c r="BA24" s="5"/>
      <c r="BB24" s="27">
        <f>1/1.44788</f>
        <v>0.6906649722352681</v>
      </c>
      <c r="BC24" s="19">
        <v>147.28</v>
      </c>
      <c r="BD24" s="5"/>
      <c r="BE24" s="27">
        <f>1/1.45141</f>
        <v>0.6889851937081871</v>
      </c>
      <c r="BF24" s="19">
        <v>147.36</v>
      </c>
      <c r="BG24" s="27"/>
      <c r="BH24" s="27">
        <f>1/1.45216</f>
        <v>0.6886293521375055</v>
      </c>
      <c r="BI24" s="19">
        <v>148.1</v>
      </c>
      <c r="BJ24" s="27"/>
      <c r="BK24" s="27">
        <f t="shared" si="0"/>
        <v>0.6915525664823929</v>
      </c>
      <c r="BL24" s="19">
        <f t="shared" si="1"/>
        <v>147.85650000000004</v>
      </c>
      <c r="BM24" s="19"/>
      <c r="BN24" s="31"/>
      <c r="BO24" s="32"/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102.98</v>
      </c>
      <c r="E25" s="21"/>
      <c r="F25" s="28">
        <v>1</v>
      </c>
      <c r="G25" s="22">
        <v>102.8</v>
      </c>
      <c r="H25" s="21"/>
      <c r="I25" s="28">
        <v>1</v>
      </c>
      <c r="J25" s="22">
        <v>102.8</v>
      </c>
      <c r="K25" s="21"/>
      <c r="L25" s="28">
        <v>1</v>
      </c>
      <c r="M25" s="22">
        <v>102.26</v>
      </c>
      <c r="N25" s="21"/>
      <c r="O25" s="28">
        <v>1</v>
      </c>
      <c r="P25" s="22">
        <v>101.52</v>
      </c>
      <c r="Q25" s="21"/>
      <c r="R25" s="28">
        <v>1</v>
      </c>
      <c r="S25" s="22">
        <v>101.64</v>
      </c>
      <c r="T25" s="21"/>
      <c r="U25" s="28">
        <v>1</v>
      </c>
      <c r="V25" s="22">
        <v>102.11</v>
      </c>
      <c r="W25" s="21"/>
      <c r="X25" s="28">
        <v>1</v>
      </c>
      <c r="Y25" s="22">
        <v>102.58</v>
      </c>
      <c r="Z25" s="21"/>
      <c r="AA25" s="28">
        <v>1</v>
      </c>
      <c r="AB25" s="22">
        <v>102.57</v>
      </c>
      <c r="AC25" s="21"/>
      <c r="AD25" s="28">
        <v>1</v>
      </c>
      <c r="AE25" s="22">
        <v>102.5</v>
      </c>
      <c r="AF25" s="21"/>
      <c r="AG25" s="28">
        <v>1</v>
      </c>
      <c r="AH25" s="22">
        <v>102.02</v>
      </c>
      <c r="AI25" s="21"/>
      <c r="AJ25" s="28">
        <v>1</v>
      </c>
      <c r="AK25" s="22">
        <v>102.51</v>
      </c>
      <c r="AL25" s="21"/>
      <c r="AM25" s="28">
        <v>1</v>
      </c>
      <c r="AN25" s="22">
        <v>102.58</v>
      </c>
      <c r="AO25" s="21"/>
      <c r="AP25" s="28">
        <v>1</v>
      </c>
      <c r="AQ25" s="22">
        <v>102.07</v>
      </c>
      <c r="AR25" s="21"/>
      <c r="AS25" s="28">
        <v>1</v>
      </c>
      <c r="AT25" s="22">
        <v>102.55</v>
      </c>
      <c r="AU25" s="21"/>
      <c r="AV25" s="28">
        <v>1</v>
      </c>
      <c r="AW25" s="22">
        <v>102.28</v>
      </c>
      <c r="AX25" s="21"/>
      <c r="AY25" s="28">
        <v>1</v>
      </c>
      <c r="AZ25" s="22">
        <v>102</v>
      </c>
      <c r="BA25" s="21"/>
      <c r="BB25" s="28">
        <v>1</v>
      </c>
      <c r="BC25" s="22">
        <v>101.72</v>
      </c>
      <c r="BD25" s="21"/>
      <c r="BE25" s="28">
        <v>1</v>
      </c>
      <c r="BF25" s="22">
        <v>101.53</v>
      </c>
      <c r="BG25" s="28"/>
      <c r="BH25" s="28">
        <v>1</v>
      </c>
      <c r="BI25" s="22">
        <v>101.99</v>
      </c>
      <c r="BJ25" s="28"/>
      <c r="BK25" s="28">
        <f t="shared" si="0"/>
        <v>1</v>
      </c>
      <c r="BL25" s="22">
        <f t="shared" si="1"/>
        <v>102.25049999999999</v>
      </c>
      <c r="BM25" s="22"/>
      <c r="BN25" s="31"/>
      <c r="BO25" s="32"/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&amp;L&amp;"Helv,Bold"&amp;12BANKA E SHQIPERISE
Sektori i Informacionit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AZ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I28" sqref="BI28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hidden="1" customWidth="1"/>
    <col min="5" max="5" width="6.421875" style="0" hidden="1" customWidth="1"/>
    <col min="6" max="7" width="13.28125" style="0" hidden="1" customWidth="1"/>
    <col min="8" max="8" width="5.421875" style="0" hidden="1" customWidth="1"/>
    <col min="9" max="10" width="13.28125" style="0" hidden="1" customWidth="1"/>
    <col min="11" max="11" width="5.421875" style="0" hidden="1" customWidth="1"/>
    <col min="12" max="13" width="13.28125" style="0" hidden="1" customWidth="1"/>
    <col min="14" max="14" width="5.57421875" style="0" hidden="1" customWidth="1"/>
    <col min="15" max="16" width="13.28125" style="0" hidden="1" customWidth="1"/>
    <col min="17" max="17" width="5.7109375" style="0" hidden="1" customWidth="1"/>
    <col min="18" max="19" width="13.28125" style="0" hidden="1" customWidth="1"/>
    <col min="20" max="20" width="5.7109375" style="0" hidden="1" customWidth="1"/>
    <col min="21" max="22" width="13.28125" style="0" hidden="1" customWidth="1"/>
    <col min="23" max="23" width="5.7109375" style="0" hidden="1" customWidth="1"/>
    <col min="24" max="25" width="13.28125" style="0" hidden="1" customWidth="1"/>
    <col min="26" max="26" width="5.7109375" style="0" hidden="1" customWidth="1"/>
    <col min="27" max="28" width="13.28125" style="0" hidden="1" customWidth="1"/>
    <col min="29" max="29" width="5.7109375" style="0" hidden="1" customWidth="1"/>
    <col min="30" max="31" width="13.28125" style="0" hidden="1" customWidth="1"/>
    <col min="32" max="32" width="5.7109375" style="0" hidden="1" customWidth="1"/>
    <col min="33" max="34" width="13.28125" style="0" hidden="1" customWidth="1"/>
    <col min="35" max="35" width="5.7109375" style="0" hidden="1" customWidth="1"/>
    <col min="36" max="37" width="13.28125" style="0" hidden="1" customWidth="1"/>
    <col min="38" max="38" width="5.7109375" style="0" hidden="1" customWidth="1"/>
    <col min="39" max="40" width="13.28125" style="0" hidden="1" customWidth="1"/>
    <col min="41" max="41" width="5.7109375" style="0" hidden="1" customWidth="1"/>
    <col min="42" max="43" width="13.28125" style="0" hidden="1" customWidth="1"/>
    <col min="44" max="44" width="5.7109375" style="0" hidden="1" customWidth="1"/>
    <col min="45" max="46" width="13.28125" style="0" hidden="1" customWidth="1"/>
    <col min="47" max="47" width="5.7109375" style="0" hidden="1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52" t="s">
        <v>245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246</v>
      </c>
      <c r="D4" s="4"/>
      <c r="E4" s="10"/>
      <c r="F4" s="4" t="s">
        <v>247</v>
      </c>
      <c r="G4" s="4"/>
      <c r="H4" s="10"/>
      <c r="I4" s="4" t="s">
        <v>248</v>
      </c>
      <c r="J4" s="4"/>
      <c r="K4" s="10"/>
      <c r="L4" s="4" t="s">
        <v>249</v>
      </c>
      <c r="M4" s="4"/>
      <c r="N4" s="10"/>
      <c r="O4" s="4" t="s">
        <v>250</v>
      </c>
      <c r="P4" s="4"/>
      <c r="Q4" s="10"/>
      <c r="R4" s="4" t="s">
        <v>251</v>
      </c>
      <c r="S4" s="4"/>
      <c r="T4" s="10"/>
      <c r="U4" s="4" t="s">
        <v>252</v>
      </c>
      <c r="V4" s="4"/>
      <c r="W4" s="10"/>
      <c r="X4" s="4" t="s">
        <v>257</v>
      </c>
      <c r="Y4" s="4"/>
      <c r="Z4" s="10"/>
      <c r="AA4" s="4" t="s">
        <v>253</v>
      </c>
      <c r="AB4" s="4"/>
      <c r="AC4" s="10"/>
      <c r="AD4" s="4" t="s">
        <v>254</v>
      </c>
      <c r="AE4" s="4"/>
      <c r="AF4" s="10"/>
      <c r="AG4" s="4" t="s">
        <v>255</v>
      </c>
      <c r="AH4" s="4"/>
      <c r="AI4" s="10"/>
      <c r="AJ4" s="4" t="s">
        <v>256</v>
      </c>
      <c r="AK4" s="4"/>
      <c r="AL4" s="10"/>
      <c r="AM4" s="4" t="s">
        <v>258</v>
      </c>
      <c r="AN4" s="4"/>
      <c r="AO4" s="10"/>
      <c r="AP4" s="4" t="s">
        <v>259</v>
      </c>
      <c r="AQ4" s="4"/>
      <c r="AR4" s="10"/>
      <c r="AS4" s="4" t="s">
        <v>260</v>
      </c>
      <c r="AT4" s="4"/>
      <c r="AU4" s="10"/>
      <c r="AV4" s="4" t="s">
        <v>261</v>
      </c>
      <c r="AW4" s="4"/>
      <c r="AX4" s="26"/>
      <c r="AY4" s="4" t="s">
        <v>262</v>
      </c>
      <c r="AZ4" s="4"/>
      <c r="BA4" s="26"/>
      <c r="BB4" s="4" t="s">
        <v>263</v>
      </c>
      <c r="BC4" s="4"/>
      <c r="BD4" s="26"/>
      <c r="BE4" s="4" t="s">
        <v>268</v>
      </c>
      <c r="BF4" s="4"/>
      <c r="BG4" s="37"/>
      <c r="BH4" s="4" t="s">
        <v>3</v>
      </c>
      <c r="BI4" s="4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43"/>
      <c r="BH5" s="26"/>
      <c r="BI5" s="26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9"/>
      <c r="BH6" s="11"/>
      <c r="BI6" s="11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1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39"/>
      <c r="BH7" s="12" t="s">
        <v>5</v>
      </c>
      <c r="BI7" s="12" t="s">
        <v>5</v>
      </c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39"/>
      <c r="BH8" s="12" t="s">
        <v>8</v>
      </c>
      <c r="BI8" s="12" t="s">
        <v>9</v>
      </c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39"/>
      <c r="BH9" s="12" t="s">
        <v>7</v>
      </c>
      <c r="BI9" s="12" t="s">
        <v>11</v>
      </c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39"/>
      <c r="BH10" s="12" t="s">
        <v>10</v>
      </c>
      <c r="BI10" s="12" t="s">
        <v>12</v>
      </c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21"/>
      <c r="BH11" s="5"/>
      <c r="BI11" s="5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9"/>
      <c r="BH12" s="11"/>
      <c r="BI12" s="11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116.54</v>
      </c>
      <c r="D13" s="19">
        <v>87.77</v>
      </c>
      <c r="E13" s="5"/>
      <c r="F13" s="27">
        <v>116.89</v>
      </c>
      <c r="G13" s="19">
        <v>87.51</v>
      </c>
      <c r="H13" s="5"/>
      <c r="I13" s="27">
        <v>117.59</v>
      </c>
      <c r="J13" s="19">
        <v>87.35</v>
      </c>
      <c r="K13" s="5"/>
      <c r="L13" s="27">
        <v>117.76</v>
      </c>
      <c r="M13" s="19">
        <v>87.88</v>
      </c>
      <c r="N13" s="5"/>
      <c r="O13" s="27">
        <v>117.77</v>
      </c>
      <c r="P13" s="19">
        <v>88.5</v>
      </c>
      <c r="Q13" s="5"/>
      <c r="R13" s="27">
        <v>117.45</v>
      </c>
      <c r="S13" s="19">
        <v>88.66</v>
      </c>
      <c r="T13" s="5"/>
      <c r="U13" s="27">
        <v>117.6</v>
      </c>
      <c r="V13" s="19">
        <v>88.64</v>
      </c>
      <c r="W13" s="5"/>
      <c r="X13" s="27">
        <v>118.01</v>
      </c>
      <c r="Y13" s="19">
        <v>88.68</v>
      </c>
      <c r="Z13" s="5"/>
      <c r="AA13" s="27">
        <v>118.28</v>
      </c>
      <c r="AB13" s="19">
        <v>88.28</v>
      </c>
      <c r="AC13" s="5"/>
      <c r="AD13" s="27">
        <v>119.03</v>
      </c>
      <c r="AE13" s="19">
        <v>87.98</v>
      </c>
      <c r="AF13" s="5"/>
      <c r="AG13" s="27">
        <v>119.4</v>
      </c>
      <c r="AH13" s="19">
        <v>87.7</v>
      </c>
      <c r="AI13" s="5"/>
      <c r="AJ13" s="27">
        <v>118.84</v>
      </c>
      <c r="AK13" s="19">
        <v>88.2</v>
      </c>
      <c r="AL13" s="5"/>
      <c r="AM13" s="27">
        <v>119.06</v>
      </c>
      <c r="AN13" s="19">
        <v>88</v>
      </c>
      <c r="AO13" s="5"/>
      <c r="AP13" s="27">
        <v>118.92</v>
      </c>
      <c r="AQ13" s="19">
        <v>87.48</v>
      </c>
      <c r="AR13" s="5"/>
      <c r="AS13" s="27">
        <v>119.17</v>
      </c>
      <c r="AT13" s="19">
        <v>87.84</v>
      </c>
      <c r="AU13" s="5"/>
      <c r="AV13" s="27">
        <v>118.6</v>
      </c>
      <c r="AW13" s="19">
        <v>87.8</v>
      </c>
      <c r="AX13" s="5"/>
      <c r="AY13" s="27">
        <v>118.73</v>
      </c>
      <c r="AZ13" s="19">
        <v>87.73</v>
      </c>
      <c r="BA13" s="5"/>
      <c r="BB13" s="27">
        <v>119.28</v>
      </c>
      <c r="BC13" s="19">
        <v>87.5</v>
      </c>
      <c r="BD13" s="5"/>
      <c r="BE13" s="27">
        <v>119.48</v>
      </c>
      <c r="BF13" s="19">
        <v>87.26</v>
      </c>
      <c r="BG13" s="31"/>
      <c r="BH13" s="27">
        <f>(+C13+F13+I13+L13+O13+R13+U13+X13+AA13+AD13+AG13+AJ13+AM13+AP13+AS13+AV13+AY13+BB13+BE13)/19</f>
        <v>118.33684210526316</v>
      </c>
      <c r="BI13" s="19">
        <f>(+D13+G13+J13+M13+P13+S13+V13+Y13+AB13+AE13+AH13+AK13+AN13+AQ13+AT13+AW13+AZ13+BC13+BF13)/19</f>
        <v>87.93473684210527</v>
      </c>
      <c r="BJ13" s="31"/>
      <c r="BK13" s="31"/>
      <c r="BL13" s="32"/>
      <c r="BM13" s="32"/>
      <c r="BN13" s="31"/>
      <c r="BO13" s="32"/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1/1.7695</f>
        <v>0.5651313930488838</v>
      </c>
      <c r="D14" s="19">
        <v>181</v>
      </c>
      <c r="E14" s="5"/>
      <c r="F14" s="27">
        <f>1/1.766</f>
        <v>0.5662514156285391</v>
      </c>
      <c r="G14" s="19">
        <v>180.66</v>
      </c>
      <c r="H14" s="5"/>
      <c r="I14" s="27">
        <f>1/1.7653</f>
        <v>0.566475953095791</v>
      </c>
      <c r="J14" s="19">
        <v>181.32</v>
      </c>
      <c r="K14" s="5"/>
      <c r="L14" s="27">
        <f>1/1.7469</f>
        <v>0.572442612628084</v>
      </c>
      <c r="M14" s="19">
        <v>180.78</v>
      </c>
      <c r="N14" s="5"/>
      <c r="O14" s="27">
        <f>1/1.7354</f>
        <v>0.5762360262763628</v>
      </c>
      <c r="P14" s="19">
        <v>180.87</v>
      </c>
      <c r="Q14" s="5"/>
      <c r="R14" s="27">
        <f>1/1.7396</f>
        <v>0.5748447919061853</v>
      </c>
      <c r="S14" s="19">
        <v>181.14</v>
      </c>
      <c r="T14" s="5"/>
      <c r="U14" s="27">
        <f>1/1.7478</f>
        <v>0.5721478430026319</v>
      </c>
      <c r="V14" s="19">
        <v>182.19</v>
      </c>
      <c r="W14" s="5"/>
      <c r="X14" s="27">
        <f>1/1.7412</f>
        <v>0.5743165632896853</v>
      </c>
      <c r="Y14" s="19">
        <v>182.23</v>
      </c>
      <c r="Z14" s="5"/>
      <c r="AA14" s="27">
        <f>1/1.7466</f>
        <v>0.5725409366769725</v>
      </c>
      <c r="AB14" s="19">
        <v>182.37</v>
      </c>
      <c r="AC14" s="5"/>
      <c r="AD14" s="27">
        <f>1/1.733</f>
        <v>0.5770340450086555</v>
      </c>
      <c r="AE14" s="19">
        <v>181.48</v>
      </c>
      <c r="AF14" s="5"/>
      <c r="AG14" s="27">
        <f>1/1.728</f>
        <v>0.5787037037037037</v>
      </c>
      <c r="AH14" s="19">
        <v>180.94</v>
      </c>
      <c r="AI14" s="5"/>
      <c r="AJ14" s="27">
        <f>1/1.1784</f>
        <v>0.8486082824168365</v>
      </c>
      <c r="AK14" s="19">
        <v>180.12</v>
      </c>
      <c r="AL14" s="5"/>
      <c r="AM14" s="27">
        <f>1/1.7116</f>
        <v>0.5842486562280906</v>
      </c>
      <c r="AN14" s="19">
        <v>179.32</v>
      </c>
      <c r="AO14" s="5"/>
      <c r="AP14" s="27">
        <f>1/1.7185</f>
        <v>0.5819028222286878</v>
      </c>
      <c r="AQ14" s="19">
        <v>178.78</v>
      </c>
      <c r="AR14" s="5"/>
      <c r="AS14" s="27">
        <f>1/1.7119</f>
        <v>0.5841462702260646</v>
      </c>
      <c r="AT14" s="19">
        <v>179.2</v>
      </c>
      <c r="AU14" s="5"/>
      <c r="AV14" s="27">
        <f>1/1.7245</f>
        <v>0.5798782255726298</v>
      </c>
      <c r="AW14" s="19">
        <v>179.57</v>
      </c>
      <c r="AX14" s="5"/>
      <c r="AY14" s="27">
        <f>1/1.728</f>
        <v>0.5787037037037037</v>
      </c>
      <c r="AZ14" s="19">
        <v>180</v>
      </c>
      <c r="BA14" s="5"/>
      <c r="BB14" s="27">
        <f>1/1.7205</f>
        <v>0.5812263876780006</v>
      </c>
      <c r="BC14" s="19">
        <v>179.56</v>
      </c>
      <c r="BD14" s="5"/>
      <c r="BE14" s="27">
        <v>0.580046403712297</v>
      </c>
      <c r="BF14" s="19">
        <v>179.75</v>
      </c>
      <c r="BG14" s="31"/>
      <c r="BH14" s="27">
        <f aca="true" t="shared" si="0" ref="BH14:BH25">(+C14+F14+I14+L14+O14+R14+U14+X14+AA14+AD14+AG14+AJ14+AM14+AP14+AS14+AV14+AY14+BB14+BE14)/19</f>
        <v>0.5902571597911477</v>
      </c>
      <c r="BI14" s="19">
        <f aca="true" t="shared" si="1" ref="BI14:BI25">(+D14+G14+J14+M14+P14+S14+V14+Y14+AB14+AE14+AH14+AK14+AN14+AQ14+AT14+AW14+AZ14+BC14+BF14)/19</f>
        <v>180.59368421052633</v>
      </c>
      <c r="BJ14" s="31"/>
      <c r="BK14" s="31"/>
      <c r="BL14" s="32"/>
      <c r="BM14" s="32"/>
      <c r="BN14" s="31"/>
      <c r="BO14" s="32"/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1.2876</v>
      </c>
      <c r="D15" s="19">
        <v>79.44</v>
      </c>
      <c r="E15" s="5"/>
      <c r="F15" s="27">
        <v>1.2854</v>
      </c>
      <c r="G15" s="19">
        <v>79.58</v>
      </c>
      <c r="H15" s="5"/>
      <c r="I15" s="27">
        <v>1.2926</v>
      </c>
      <c r="J15" s="19">
        <v>79.46</v>
      </c>
      <c r="K15" s="5"/>
      <c r="L15" s="27">
        <v>1.3056</v>
      </c>
      <c r="M15" s="19">
        <v>79.26</v>
      </c>
      <c r="N15" s="5"/>
      <c r="O15" s="27">
        <v>1.3144</v>
      </c>
      <c r="P15" s="19">
        <v>79.29</v>
      </c>
      <c r="Q15" s="5"/>
      <c r="R15" s="27">
        <v>1.312</v>
      </c>
      <c r="S15" s="19">
        <v>79.37</v>
      </c>
      <c r="T15" s="5"/>
      <c r="U15" s="27">
        <v>1.3082</v>
      </c>
      <c r="V15" s="19">
        <v>79.68</v>
      </c>
      <c r="W15" s="5"/>
      <c r="X15" s="27">
        <v>1.3132</v>
      </c>
      <c r="Y15" s="19">
        <v>79.69</v>
      </c>
      <c r="Z15" s="5"/>
      <c r="AA15" s="27">
        <v>1.3105</v>
      </c>
      <c r="AB15" s="19">
        <v>79.67</v>
      </c>
      <c r="AC15" s="5"/>
      <c r="AD15" s="27">
        <v>1.3196</v>
      </c>
      <c r="AE15" s="19">
        <v>79.36</v>
      </c>
      <c r="AF15" s="5"/>
      <c r="AG15" s="27">
        <v>1.3223</v>
      </c>
      <c r="AH15" s="19">
        <v>79.19</v>
      </c>
      <c r="AI15" s="5"/>
      <c r="AJ15" s="27">
        <v>1.3233</v>
      </c>
      <c r="AK15" s="19">
        <v>79.21</v>
      </c>
      <c r="AL15" s="5"/>
      <c r="AM15" s="27">
        <v>1.3247</v>
      </c>
      <c r="AN15" s="19">
        <v>79.09</v>
      </c>
      <c r="AO15" s="5"/>
      <c r="AP15" s="27">
        <v>1.3111</v>
      </c>
      <c r="AQ15" s="19">
        <v>79.35</v>
      </c>
      <c r="AR15" s="5"/>
      <c r="AS15" s="27">
        <v>1.3222</v>
      </c>
      <c r="AT15" s="19">
        <v>79.17</v>
      </c>
      <c r="AU15" s="5"/>
      <c r="AV15" s="27">
        <v>1.3119</v>
      </c>
      <c r="AW15" s="19">
        <v>79.37</v>
      </c>
      <c r="AX15" s="5"/>
      <c r="AY15" s="27">
        <v>1.314</v>
      </c>
      <c r="AZ15" s="19">
        <v>79.28</v>
      </c>
      <c r="BA15" s="5"/>
      <c r="BB15" s="27">
        <v>1.3157</v>
      </c>
      <c r="BC15" s="19">
        <v>79.32</v>
      </c>
      <c r="BD15" s="5"/>
      <c r="BE15" s="27">
        <v>1.315</v>
      </c>
      <c r="BF15" s="19">
        <v>79.29</v>
      </c>
      <c r="BG15" s="31"/>
      <c r="BH15" s="27">
        <f t="shared" si="0"/>
        <v>1.311015789473684</v>
      </c>
      <c r="BI15" s="19">
        <f t="shared" si="1"/>
        <v>79.37210526315788</v>
      </c>
      <c r="BJ15" s="31"/>
      <c r="BK15" s="31"/>
      <c r="BL15" s="32"/>
      <c r="BM15" s="32"/>
      <c r="BN15" s="31"/>
      <c r="BO15" s="32"/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1/1.2006</f>
        <v>0.8329168748958855</v>
      </c>
      <c r="D16" s="19">
        <v>122.85</v>
      </c>
      <c r="E16" s="5"/>
      <c r="F16" s="27">
        <f>1/1.2015</f>
        <v>0.8322929671244278</v>
      </c>
      <c r="G16" s="19">
        <v>122.92</v>
      </c>
      <c r="H16" s="5"/>
      <c r="I16" s="27">
        <f>1/1.194</f>
        <v>0.8375209380234506</v>
      </c>
      <c r="J16" s="19">
        <v>122.73</v>
      </c>
      <c r="K16" s="5"/>
      <c r="L16" s="27">
        <f>1/1.1817</f>
        <v>0.8462384700008463</v>
      </c>
      <c r="M16" s="19">
        <v>122.45</v>
      </c>
      <c r="N16" s="5"/>
      <c r="O16" s="27">
        <f>1/1.1734</f>
        <v>0.8522243054371911</v>
      </c>
      <c r="P16" s="19">
        <v>122.38</v>
      </c>
      <c r="Q16" s="5"/>
      <c r="R16" s="27">
        <f>1/1.176</f>
        <v>0.8503401360544218</v>
      </c>
      <c r="S16" s="19">
        <v>122.53</v>
      </c>
      <c r="T16" s="5"/>
      <c r="U16" s="27">
        <f>1/1.1775</f>
        <v>0.8492569002123143</v>
      </c>
      <c r="V16" s="19">
        <v>122.67</v>
      </c>
      <c r="W16" s="5"/>
      <c r="X16" s="27">
        <f>1/1.1704</f>
        <v>0.8544087491455912</v>
      </c>
      <c r="Y16" s="19">
        <v>122.57</v>
      </c>
      <c r="Z16" s="5"/>
      <c r="AA16" s="27">
        <f>1/1.1742</f>
        <v>0.8516436722875149</v>
      </c>
      <c r="AB16" s="19">
        <v>122.6</v>
      </c>
      <c r="AC16" s="5"/>
      <c r="AD16" s="27">
        <f>1/1.1673</f>
        <v>0.8566778034781118</v>
      </c>
      <c r="AE16" s="19">
        <v>122.42</v>
      </c>
      <c r="AF16" s="5"/>
      <c r="AG16" s="27">
        <f>1/1.1695</f>
        <v>0.8550662676357418</v>
      </c>
      <c r="AH16" s="19">
        <v>122.48</v>
      </c>
      <c r="AI16" s="5"/>
      <c r="AJ16" s="27">
        <f>1/1.168</f>
        <v>0.8561643835616439</v>
      </c>
      <c r="AK16" s="19">
        <v>122.4</v>
      </c>
      <c r="AL16" s="5"/>
      <c r="AM16" s="27">
        <f>1/1.1676</f>
        <v>0.8564576909900651</v>
      </c>
      <c r="AN16" s="19">
        <v>122.38</v>
      </c>
      <c r="AO16" s="5"/>
      <c r="AP16" s="27">
        <f>1/1.1812</f>
        <v>0.8465966813410091</v>
      </c>
      <c r="AQ16" s="19">
        <v>122.75</v>
      </c>
      <c r="AR16" s="5"/>
      <c r="AS16" s="27">
        <f>1/1.1704</f>
        <v>0.8544087491455912</v>
      </c>
      <c r="AT16" s="19">
        <v>122.57</v>
      </c>
      <c r="AU16" s="5"/>
      <c r="AV16" s="27">
        <f>1/1.1805</f>
        <v>0.847098686997035</v>
      </c>
      <c r="AW16" s="19">
        <v>122.85</v>
      </c>
      <c r="AX16" s="5"/>
      <c r="AY16" s="27">
        <f>1/1.1802</f>
        <v>0.8473140145738011</v>
      </c>
      <c r="AZ16" s="19">
        <v>122.89</v>
      </c>
      <c r="BA16" s="5"/>
      <c r="BB16" s="27">
        <f>1/1.1758</f>
        <v>0.8504847763225039</v>
      </c>
      <c r="BC16" s="19">
        <v>122.76</v>
      </c>
      <c r="BD16" s="5"/>
      <c r="BE16" s="27">
        <v>0.8489685032685288</v>
      </c>
      <c r="BF16" s="19">
        <v>122.79</v>
      </c>
      <c r="BG16" s="31"/>
      <c r="BH16" s="27">
        <f t="shared" si="0"/>
        <v>0.848741082657667</v>
      </c>
      <c r="BI16" s="19">
        <f t="shared" si="1"/>
        <v>122.63105263157895</v>
      </c>
      <c r="BJ16" s="31"/>
      <c r="BK16" s="31"/>
      <c r="BL16" s="32"/>
      <c r="BM16" s="32"/>
      <c r="BN16" s="31"/>
      <c r="BO16" s="32"/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465.2</v>
      </c>
      <c r="D17" s="19">
        <v>47583.56</v>
      </c>
      <c r="E17" s="5"/>
      <c r="F17" s="27">
        <v>461.2</v>
      </c>
      <c r="G17" s="19">
        <v>47179.03</v>
      </c>
      <c r="H17" s="5"/>
      <c r="I17" s="27">
        <v>460.8</v>
      </c>
      <c r="J17" s="19">
        <v>47331.65</v>
      </c>
      <c r="K17" s="5"/>
      <c r="L17" s="27">
        <v>457.6</v>
      </c>
      <c r="M17" s="19">
        <v>47354.74</v>
      </c>
      <c r="N17" s="5"/>
      <c r="O17" s="27">
        <v>457</v>
      </c>
      <c r="P17" s="19">
        <v>47630.83</v>
      </c>
      <c r="Q17" s="5"/>
      <c r="R17" s="27">
        <v>462.25</v>
      </c>
      <c r="S17" s="19">
        <v>48133.23</v>
      </c>
      <c r="T17" s="5"/>
      <c r="U17" s="27">
        <v>466.5</v>
      </c>
      <c r="V17" s="19">
        <v>48626.5</v>
      </c>
      <c r="W17" s="5"/>
      <c r="X17" s="27">
        <v>465.4</v>
      </c>
      <c r="Y17" s="19">
        <v>48706.44</v>
      </c>
      <c r="Z17" s="5"/>
      <c r="AA17" s="27">
        <v>469.4</v>
      </c>
      <c r="AB17" s="19">
        <v>49011.81</v>
      </c>
      <c r="AC17" s="5"/>
      <c r="AD17" s="27">
        <v>467.25</v>
      </c>
      <c r="AE17" s="19">
        <v>48929.84</v>
      </c>
      <c r="AF17" s="5"/>
      <c r="AG17" s="27">
        <v>470.3</v>
      </c>
      <c r="AH17" s="19">
        <v>49246.29</v>
      </c>
      <c r="AI17" s="5"/>
      <c r="AJ17" s="27">
        <v>480.5</v>
      </c>
      <c r="AK17" s="19">
        <v>50366.61</v>
      </c>
      <c r="AL17" s="5"/>
      <c r="AM17" s="27">
        <v>487.9</v>
      </c>
      <c r="AN17" s="19">
        <v>51116.98</v>
      </c>
      <c r="AO17" s="5"/>
      <c r="AP17" s="27">
        <v>488</v>
      </c>
      <c r="AQ17" s="19">
        <v>50766.64</v>
      </c>
      <c r="AR17" s="5"/>
      <c r="AS17" s="27">
        <v>492.75</v>
      </c>
      <c r="AT17" s="19">
        <v>51580.15</v>
      </c>
      <c r="AU17" s="5"/>
      <c r="AV17" s="27">
        <v>488.6</v>
      </c>
      <c r="AW17" s="19">
        <v>50876.09</v>
      </c>
      <c r="AX17" s="5"/>
      <c r="AY17" s="27">
        <v>492.75</v>
      </c>
      <c r="AZ17" s="19">
        <v>51328.54</v>
      </c>
      <c r="BA17" s="5"/>
      <c r="BB17" s="27">
        <v>496.6</v>
      </c>
      <c r="BC17" s="19">
        <v>51828.59</v>
      </c>
      <c r="BD17" s="5"/>
      <c r="BE17" s="27">
        <v>493.2</v>
      </c>
      <c r="BF17" s="19">
        <v>51422.57</v>
      </c>
      <c r="BG17" s="31"/>
      <c r="BH17" s="27">
        <f t="shared" si="0"/>
        <v>474.90526315789475</v>
      </c>
      <c r="BI17" s="19">
        <f t="shared" si="1"/>
        <v>49422.11</v>
      </c>
      <c r="BJ17" s="31"/>
      <c r="BK17" s="31"/>
      <c r="BL17" s="32"/>
      <c r="BM17" s="32"/>
      <c r="BN17" s="31"/>
      <c r="BO17" s="32"/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7.52</v>
      </c>
      <c r="D18" s="19">
        <v>769.19</v>
      </c>
      <c r="E18" s="5"/>
      <c r="F18" s="27">
        <v>7.41</v>
      </c>
      <c r="G18" s="19">
        <v>758.02</v>
      </c>
      <c r="H18" s="5"/>
      <c r="I18" s="27">
        <v>7.54</v>
      </c>
      <c r="J18" s="19">
        <v>774.48</v>
      </c>
      <c r="K18" s="5"/>
      <c r="L18" s="27">
        <v>7.5</v>
      </c>
      <c r="M18" s="19">
        <v>776.14</v>
      </c>
      <c r="N18" s="5"/>
      <c r="O18" s="27">
        <v>7.52</v>
      </c>
      <c r="P18" s="19">
        <v>783.77</v>
      </c>
      <c r="Q18" s="5"/>
      <c r="R18" s="27">
        <v>7.63</v>
      </c>
      <c r="S18" s="19">
        <v>794.5</v>
      </c>
      <c r="T18" s="5"/>
      <c r="U18" s="27">
        <v>7.69</v>
      </c>
      <c r="V18" s="19">
        <v>801.58</v>
      </c>
      <c r="W18" s="5"/>
      <c r="X18" s="27">
        <v>7.69</v>
      </c>
      <c r="Y18" s="19">
        <v>804.8</v>
      </c>
      <c r="Z18" s="5"/>
      <c r="AA18" s="27">
        <v>7.81</v>
      </c>
      <c r="AB18" s="19">
        <v>815.47</v>
      </c>
      <c r="AC18" s="5"/>
      <c r="AD18" s="27">
        <v>7.75</v>
      </c>
      <c r="AE18" s="19">
        <v>811.57</v>
      </c>
      <c r="AF18" s="5"/>
      <c r="AG18" s="27">
        <v>7.74</v>
      </c>
      <c r="AH18" s="19">
        <v>810.47</v>
      </c>
      <c r="AI18" s="5"/>
      <c r="AJ18" s="27">
        <v>8.04</v>
      </c>
      <c r="AK18" s="19">
        <v>842.76</v>
      </c>
      <c r="AL18" s="5"/>
      <c r="AM18" s="27">
        <v>8.14</v>
      </c>
      <c r="AN18" s="19">
        <v>852.82</v>
      </c>
      <c r="AO18" s="5"/>
      <c r="AP18" s="27">
        <v>8.1</v>
      </c>
      <c r="AQ18" s="19">
        <v>842.64</v>
      </c>
      <c r="AR18" s="5"/>
      <c r="AS18" s="27">
        <v>8.19</v>
      </c>
      <c r="AT18" s="19">
        <v>857.31</v>
      </c>
      <c r="AU18" s="5"/>
      <c r="AV18" s="27">
        <v>8.04</v>
      </c>
      <c r="AW18" s="19">
        <v>837.18</v>
      </c>
      <c r="AX18" s="5"/>
      <c r="AY18" s="27">
        <v>8.12</v>
      </c>
      <c r="AZ18" s="19">
        <v>845.84</v>
      </c>
      <c r="BA18" s="5"/>
      <c r="BB18" s="27">
        <v>8.17</v>
      </c>
      <c r="BC18" s="19">
        <v>852.68</v>
      </c>
      <c r="BD18" s="5"/>
      <c r="BE18" s="27">
        <v>8.18</v>
      </c>
      <c r="BF18" s="19">
        <v>852.87</v>
      </c>
      <c r="BG18" s="31"/>
      <c r="BH18" s="27">
        <f t="shared" si="0"/>
        <v>7.830526315789473</v>
      </c>
      <c r="BI18" s="19">
        <f t="shared" si="1"/>
        <v>814.9521052631579</v>
      </c>
      <c r="BJ18" s="31"/>
      <c r="BK18" s="31"/>
      <c r="BL18" s="32"/>
      <c r="BM18" s="32"/>
      <c r="BN18" s="31"/>
      <c r="BO18" s="32"/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1/0.7445</f>
        <v>1.3431833445265278</v>
      </c>
      <c r="D19" s="19">
        <v>76.15</v>
      </c>
      <c r="E19" s="5"/>
      <c r="F19" s="27">
        <f>1/0.7417</f>
        <v>1.3482540110556829</v>
      </c>
      <c r="G19" s="19">
        <v>75.87</v>
      </c>
      <c r="H19" s="5"/>
      <c r="I19" s="27">
        <f>1/0.737</f>
        <v>1.3568521031207599</v>
      </c>
      <c r="J19" s="19">
        <v>75.7</v>
      </c>
      <c r="K19" s="5"/>
      <c r="L19" s="27">
        <f>1/0.732</f>
        <v>1.366120218579235</v>
      </c>
      <c r="M19" s="19">
        <v>75.75</v>
      </c>
      <c r="N19" s="5"/>
      <c r="O19" s="27">
        <f>1/0.7313</f>
        <v>1.3674278681799537</v>
      </c>
      <c r="P19" s="19">
        <v>76.22</v>
      </c>
      <c r="Q19" s="5"/>
      <c r="R19" s="27">
        <f>1/0.7334</f>
        <v>1.3635124079629124</v>
      </c>
      <c r="S19" s="19">
        <v>76.37</v>
      </c>
      <c r="T19" s="5"/>
      <c r="U19" s="27">
        <f>1/0.7342</f>
        <v>1.3620266957232363</v>
      </c>
      <c r="V19" s="19">
        <v>76.53</v>
      </c>
      <c r="W19" s="5"/>
      <c r="X19" s="27">
        <f>1/0.7317</f>
        <v>1.3666803334700013</v>
      </c>
      <c r="Y19" s="19">
        <v>76.58</v>
      </c>
      <c r="Z19" s="5"/>
      <c r="AA19" s="27">
        <f>1/0.7322</f>
        <v>1.3657470636438132</v>
      </c>
      <c r="AB19" s="19">
        <v>76.45</v>
      </c>
      <c r="AC19" s="5"/>
      <c r="AD19" s="27">
        <f>1/0.7284</f>
        <v>1.372872048325096</v>
      </c>
      <c r="AE19" s="19">
        <v>76.28</v>
      </c>
      <c r="AF19" s="5"/>
      <c r="AG19" s="27">
        <f>1/0.7292</f>
        <v>1.3713658804168953</v>
      </c>
      <c r="AH19" s="19">
        <v>76.36</v>
      </c>
      <c r="AI19" s="5"/>
      <c r="AJ19" s="27">
        <f>1/0.7311</f>
        <v>1.3678019422787582</v>
      </c>
      <c r="AK19" s="19">
        <v>76.63</v>
      </c>
      <c r="AL19" s="5"/>
      <c r="AM19" s="27">
        <f>1/0.7312</f>
        <v>1.3676148796498906</v>
      </c>
      <c r="AN19" s="19">
        <v>76.61</v>
      </c>
      <c r="AO19" s="5"/>
      <c r="AP19" s="27">
        <f>1/0.7363</f>
        <v>1.3581420616596498</v>
      </c>
      <c r="AQ19" s="19">
        <v>76.6</v>
      </c>
      <c r="AR19" s="5"/>
      <c r="AS19" s="27">
        <f>1/0.7336</f>
        <v>1.3631406761177753</v>
      </c>
      <c r="AT19" s="19">
        <v>76.79</v>
      </c>
      <c r="AU19" s="5"/>
      <c r="AV19" s="27">
        <f>1/0.7378</f>
        <v>1.3553808620222283</v>
      </c>
      <c r="AW19" s="19">
        <v>76.82</v>
      </c>
      <c r="AX19" s="18"/>
      <c r="AY19" s="27">
        <f>1/0.7398</f>
        <v>1.3517166801838334</v>
      </c>
      <c r="AZ19" s="19">
        <v>77.06</v>
      </c>
      <c r="BA19" s="18"/>
      <c r="BB19" s="27">
        <f>1/0.7364</f>
        <v>1.3579576317218902</v>
      </c>
      <c r="BC19" s="19">
        <v>76.86</v>
      </c>
      <c r="BD19" s="18"/>
      <c r="BE19" s="27">
        <v>1.3526308670363858</v>
      </c>
      <c r="BF19" s="19">
        <v>77.08</v>
      </c>
      <c r="BG19" s="31"/>
      <c r="BH19" s="27">
        <f t="shared" si="0"/>
        <v>1.3609698724039225</v>
      </c>
      <c r="BI19" s="19">
        <f t="shared" si="1"/>
        <v>76.45842105263156</v>
      </c>
      <c r="BJ19" s="31"/>
      <c r="BK19" s="31"/>
      <c r="BL19" s="32"/>
      <c r="BM19" s="32"/>
      <c r="BN19" s="31"/>
      <c r="BO19" s="32"/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1.1793</v>
      </c>
      <c r="D20" s="19">
        <v>86.73</v>
      </c>
      <c r="E20" s="5"/>
      <c r="F20" s="27">
        <v>1.1777</v>
      </c>
      <c r="G20" s="19">
        <v>86.86</v>
      </c>
      <c r="H20" s="5"/>
      <c r="I20" s="27">
        <v>1.1822</v>
      </c>
      <c r="J20" s="19">
        <v>86.89</v>
      </c>
      <c r="K20" s="5"/>
      <c r="L20" s="27">
        <v>1.1853</v>
      </c>
      <c r="M20" s="19">
        <v>87.31</v>
      </c>
      <c r="N20" s="5"/>
      <c r="O20" s="27">
        <v>1.1938</v>
      </c>
      <c r="P20" s="19">
        <v>87.31</v>
      </c>
      <c r="Q20" s="5"/>
      <c r="R20" s="27">
        <v>1.1899</v>
      </c>
      <c r="S20" s="19">
        <v>87.51</v>
      </c>
      <c r="T20" s="5"/>
      <c r="U20" s="27">
        <v>1.1864</v>
      </c>
      <c r="V20" s="19">
        <v>87.86</v>
      </c>
      <c r="W20" s="5"/>
      <c r="X20" s="27">
        <v>1.1897</v>
      </c>
      <c r="Y20" s="19">
        <v>87.97</v>
      </c>
      <c r="Z20" s="5"/>
      <c r="AA20" s="27">
        <v>1.1918</v>
      </c>
      <c r="AB20" s="19">
        <v>87.61</v>
      </c>
      <c r="AC20" s="5"/>
      <c r="AD20" s="27">
        <v>1.194</v>
      </c>
      <c r="AE20" s="19">
        <v>87.7</v>
      </c>
      <c r="AF20" s="5"/>
      <c r="AG20" s="27">
        <v>1.1949</v>
      </c>
      <c r="AH20" s="19">
        <v>87.63</v>
      </c>
      <c r="AI20" s="5"/>
      <c r="AJ20" s="27">
        <v>1.1923</v>
      </c>
      <c r="AK20" s="19">
        <v>87.92</v>
      </c>
      <c r="AL20" s="5"/>
      <c r="AM20" s="27">
        <v>1.1895</v>
      </c>
      <c r="AN20" s="19">
        <v>88.08</v>
      </c>
      <c r="AO20" s="5"/>
      <c r="AP20" s="27">
        <v>1.1879</v>
      </c>
      <c r="AQ20" s="19">
        <v>87.57</v>
      </c>
      <c r="AR20" s="5"/>
      <c r="AS20" s="27">
        <v>1.1841</v>
      </c>
      <c r="AT20" s="19">
        <v>88.4</v>
      </c>
      <c r="AU20" s="5"/>
      <c r="AV20" s="27">
        <v>1.1732</v>
      </c>
      <c r="AW20" s="19">
        <v>88.75</v>
      </c>
      <c r="AX20" s="5"/>
      <c r="AY20" s="27">
        <v>1.171</v>
      </c>
      <c r="AZ20" s="19">
        <v>88.96</v>
      </c>
      <c r="BA20" s="5"/>
      <c r="BB20" s="27">
        <v>1.1721</v>
      </c>
      <c r="BC20" s="19">
        <v>89.04</v>
      </c>
      <c r="BD20" s="5"/>
      <c r="BE20" s="27">
        <v>1.1683</v>
      </c>
      <c r="BF20" s="19">
        <v>89.24</v>
      </c>
      <c r="BG20" s="31"/>
      <c r="BH20" s="27">
        <f t="shared" si="0"/>
        <v>1.1843894736842107</v>
      </c>
      <c r="BI20" s="19">
        <f t="shared" si="1"/>
        <v>87.86000000000001</v>
      </c>
      <c r="BJ20" s="31"/>
      <c r="BK20" s="31"/>
      <c r="BL20" s="32"/>
      <c r="BM20" s="32"/>
      <c r="BN20" s="31"/>
      <c r="BO20" s="32"/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7.9753</v>
      </c>
      <c r="D21" s="19">
        <v>12.83</v>
      </c>
      <c r="E21" s="5"/>
      <c r="F21" s="27">
        <v>7.984</v>
      </c>
      <c r="G21" s="19">
        <v>12.81</v>
      </c>
      <c r="H21" s="5"/>
      <c r="I21" s="27">
        <v>8.0322</v>
      </c>
      <c r="J21" s="19">
        <v>12.79</v>
      </c>
      <c r="K21" s="5"/>
      <c r="L21" s="27">
        <v>8.129</v>
      </c>
      <c r="M21" s="19">
        <v>12.73</v>
      </c>
      <c r="N21" s="5"/>
      <c r="O21" s="27">
        <v>8.1579</v>
      </c>
      <c r="P21" s="19">
        <v>12.78</v>
      </c>
      <c r="Q21" s="5"/>
      <c r="R21" s="27">
        <v>8.1223</v>
      </c>
      <c r="S21" s="19">
        <v>12.82</v>
      </c>
      <c r="T21" s="5"/>
      <c r="U21" s="27">
        <v>8.1566</v>
      </c>
      <c r="V21" s="19">
        <v>12.78</v>
      </c>
      <c r="W21" s="5"/>
      <c r="X21" s="27">
        <v>8.193</v>
      </c>
      <c r="Y21" s="19">
        <v>12.77</v>
      </c>
      <c r="Z21" s="5"/>
      <c r="AA21" s="27">
        <v>8.1292</v>
      </c>
      <c r="AB21" s="19">
        <v>12.84</v>
      </c>
      <c r="AC21" s="5"/>
      <c r="AD21" s="27">
        <v>8.2358</v>
      </c>
      <c r="AE21" s="19">
        <v>12.72</v>
      </c>
      <c r="AF21" s="5"/>
      <c r="AG21" s="27">
        <v>8.2175</v>
      </c>
      <c r="AH21" s="19">
        <v>12.74</v>
      </c>
      <c r="AI21" s="5"/>
      <c r="AJ21" s="27">
        <v>8.2412</v>
      </c>
      <c r="AK21" s="19">
        <v>12.72</v>
      </c>
      <c r="AL21" s="5"/>
      <c r="AM21" s="27">
        <v>8.2083</v>
      </c>
      <c r="AN21" s="19">
        <v>12.76</v>
      </c>
      <c r="AO21" s="5"/>
      <c r="AP21" s="27">
        <v>8.0968</v>
      </c>
      <c r="AQ21" s="19">
        <v>12.85</v>
      </c>
      <c r="AR21" s="5"/>
      <c r="AS21" s="27">
        <v>8.1515</v>
      </c>
      <c r="AT21" s="19">
        <v>12.84</v>
      </c>
      <c r="AU21" s="5"/>
      <c r="AV21" s="27">
        <v>8.0603</v>
      </c>
      <c r="AW21" s="19">
        <v>12.92</v>
      </c>
      <c r="AX21" s="5"/>
      <c r="AY21" s="27">
        <v>8.0422</v>
      </c>
      <c r="AZ21" s="19">
        <v>12.95</v>
      </c>
      <c r="BA21" s="5"/>
      <c r="BB21" s="27">
        <v>8.0785</v>
      </c>
      <c r="BC21" s="19">
        <v>12.92</v>
      </c>
      <c r="BD21" s="5"/>
      <c r="BE21" s="27">
        <v>8.0786</v>
      </c>
      <c r="BF21" s="19">
        <v>12.91</v>
      </c>
      <c r="BG21" s="31"/>
      <c r="BH21" s="27">
        <f t="shared" si="0"/>
        <v>8.120536842105261</v>
      </c>
      <c r="BI21" s="19">
        <f t="shared" si="1"/>
        <v>12.81473684210526</v>
      </c>
      <c r="BJ21" s="31"/>
      <c r="BK21" s="31"/>
      <c r="BL21" s="32"/>
      <c r="BM21" s="32"/>
      <c r="BN21" s="31"/>
      <c r="BO21" s="32"/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6.4796</v>
      </c>
      <c r="D22" s="19">
        <v>15.79</v>
      </c>
      <c r="E22" s="5"/>
      <c r="F22" s="27">
        <v>6.4649</v>
      </c>
      <c r="G22" s="19">
        <v>15.82</v>
      </c>
      <c r="H22" s="5"/>
      <c r="I22" s="27">
        <v>6.5147</v>
      </c>
      <c r="J22" s="19">
        <v>15.77</v>
      </c>
      <c r="K22" s="5"/>
      <c r="L22" s="27">
        <v>6.579</v>
      </c>
      <c r="M22" s="19">
        <v>15.73</v>
      </c>
      <c r="N22" s="5"/>
      <c r="O22" s="27">
        <v>6.635</v>
      </c>
      <c r="P22" s="19">
        <v>15.71</v>
      </c>
      <c r="Q22" s="5"/>
      <c r="R22" s="27">
        <v>6.6153</v>
      </c>
      <c r="S22" s="19">
        <v>15.74</v>
      </c>
      <c r="T22" s="5"/>
      <c r="U22" s="27">
        <v>6.5814</v>
      </c>
      <c r="V22" s="19">
        <v>15.84</v>
      </c>
      <c r="W22" s="5"/>
      <c r="X22" s="27">
        <v>6.6069</v>
      </c>
      <c r="Y22" s="19">
        <v>15.84</v>
      </c>
      <c r="Z22" s="5"/>
      <c r="AA22" s="27">
        <v>6.6193</v>
      </c>
      <c r="AB22" s="19">
        <v>15.77</v>
      </c>
      <c r="AC22" s="5"/>
      <c r="AD22" s="27">
        <v>6.674</v>
      </c>
      <c r="AE22" s="19">
        <v>15.69</v>
      </c>
      <c r="AF22" s="5"/>
      <c r="AG22" s="27">
        <v>6.685</v>
      </c>
      <c r="AH22" s="19">
        <v>15.66</v>
      </c>
      <c r="AI22" s="5"/>
      <c r="AJ22" s="27">
        <v>6.7045</v>
      </c>
      <c r="AK22" s="19">
        <v>15.63</v>
      </c>
      <c r="AL22" s="5"/>
      <c r="AM22" s="27">
        <v>6.7337</v>
      </c>
      <c r="AN22" s="19">
        <v>15.56</v>
      </c>
      <c r="AO22" s="5"/>
      <c r="AP22" s="27">
        <v>6.6668</v>
      </c>
      <c r="AQ22" s="19">
        <v>15.6</v>
      </c>
      <c r="AR22" s="5"/>
      <c r="AS22" s="27">
        <v>6.7068</v>
      </c>
      <c r="AT22" s="19">
        <v>15.61</v>
      </c>
      <c r="AU22" s="5"/>
      <c r="AV22" s="27">
        <v>6.653</v>
      </c>
      <c r="AW22" s="19">
        <v>15.65</v>
      </c>
      <c r="AX22" s="5"/>
      <c r="AY22" s="27">
        <v>6.6647</v>
      </c>
      <c r="AZ22" s="19">
        <v>15.63</v>
      </c>
      <c r="BA22" s="5"/>
      <c r="BB22" s="27">
        <v>6.6963</v>
      </c>
      <c r="BC22" s="19">
        <v>15.59</v>
      </c>
      <c r="BD22" s="5"/>
      <c r="BE22" s="27">
        <v>6.7511</v>
      </c>
      <c r="BF22" s="19">
        <v>15.44</v>
      </c>
      <c r="BG22" s="31"/>
      <c r="BH22" s="27">
        <f t="shared" si="0"/>
        <v>6.633263157894737</v>
      </c>
      <c r="BI22" s="19">
        <f t="shared" si="1"/>
        <v>15.687894736842106</v>
      </c>
      <c r="BJ22" s="31"/>
      <c r="BK22" s="31"/>
      <c r="BL22" s="32"/>
      <c r="BM22" s="32"/>
      <c r="BN22" s="31"/>
      <c r="BO22" s="32"/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6.213</v>
      </c>
      <c r="D23" s="19">
        <v>16.46</v>
      </c>
      <c r="E23" s="5"/>
      <c r="F23" s="27">
        <v>6.2105</v>
      </c>
      <c r="G23" s="19">
        <v>16.47</v>
      </c>
      <c r="H23" s="5"/>
      <c r="I23" s="27">
        <v>6.2484</v>
      </c>
      <c r="J23" s="19">
        <v>16.44</v>
      </c>
      <c r="K23" s="5"/>
      <c r="L23" s="27">
        <v>6.3136</v>
      </c>
      <c r="M23" s="19">
        <v>16.39</v>
      </c>
      <c r="N23" s="5"/>
      <c r="O23" s="27">
        <v>6.3603</v>
      </c>
      <c r="P23" s="19">
        <v>16.39</v>
      </c>
      <c r="Q23" s="5"/>
      <c r="R23" s="27">
        <v>6.3442</v>
      </c>
      <c r="S23" s="19">
        <v>16.41</v>
      </c>
      <c r="T23" s="5"/>
      <c r="U23" s="27">
        <v>6.3342</v>
      </c>
      <c r="V23" s="19">
        <v>16.46</v>
      </c>
      <c r="W23" s="5"/>
      <c r="X23" s="27">
        <v>6.3701</v>
      </c>
      <c r="Y23" s="19">
        <v>16.43</v>
      </c>
      <c r="Z23" s="5"/>
      <c r="AA23" s="27">
        <v>6.3479</v>
      </c>
      <c r="AB23" s="19">
        <v>16.45</v>
      </c>
      <c r="AC23" s="5"/>
      <c r="AD23" s="27">
        <v>6.3871</v>
      </c>
      <c r="AE23" s="19">
        <v>16.4</v>
      </c>
      <c r="AF23" s="5"/>
      <c r="AG23" s="27">
        <v>6.3767</v>
      </c>
      <c r="AH23" s="19">
        <v>16.42</v>
      </c>
      <c r="AI23" s="5"/>
      <c r="AJ23" s="27">
        <v>6.3831</v>
      </c>
      <c r="AK23" s="19">
        <v>16.42</v>
      </c>
      <c r="AL23" s="5"/>
      <c r="AM23" s="27">
        <v>6.3829</v>
      </c>
      <c r="AN23" s="19">
        <v>16.41</v>
      </c>
      <c r="AO23" s="5"/>
      <c r="AP23" s="27">
        <v>6.313</v>
      </c>
      <c r="AQ23" s="19">
        <v>16.48</v>
      </c>
      <c r="AR23" s="5"/>
      <c r="AS23" s="27">
        <v>6.3719</v>
      </c>
      <c r="AT23" s="19">
        <v>16.43</v>
      </c>
      <c r="AU23" s="5"/>
      <c r="AV23" s="27">
        <v>6.3185</v>
      </c>
      <c r="AW23" s="19">
        <v>16.48</v>
      </c>
      <c r="AX23" s="5"/>
      <c r="AY23" s="27">
        <v>6.3207</v>
      </c>
      <c r="AZ23" s="19">
        <v>16.48</v>
      </c>
      <c r="BA23" s="5"/>
      <c r="BB23" s="27">
        <v>6.3428</v>
      </c>
      <c r="BC23" s="19">
        <v>16.45</v>
      </c>
      <c r="BD23" s="5"/>
      <c r="BE23" s="27">
        <v>6.3276</v>
      </c>
      <c r="BF23" s="19">
        <v>16.48</v>
      </c>
      <c r="BG23" s="31"/>
      <c r="BH23" s="27">
        <f t="shared" si="0"/>
        <v>6.329815789473685</v>
      </c>
      <c r="BI23" s="19">
        <f t="shared" si="1"/>
        <v>16.43947368421053</v>
      </c>
      <c r="BJ23" s="31"/>
      <c r="BK23" s="31"/>
      <c r="BL23" s="32"/>
      <c r="BM23" s="32"/>
      <c r="BN23" s="31"/>
      <c r="BO23" s="32"/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1/1.4458</f>
        <v>0.6916585973163647</v>
      </c>
      <c r="D24" s="19">
        <v>147.89</v>
      </c>
      <c r="E24" s="5"/>
      <c r="F24" s="27">
        <f>1/1.44308</f>
        <v>0.6929622751337418</v>
      </c>
      <c r="G24" s="19">
        <v>147.62</v>
      </c>
      <c r="H24" s="5"/>
      <c r="I24" s="27">
        <f>1/1.44509</f>
        <v>0.6919984222435973</v>
      </c>
      <c r="J24" s="19">
        <v>148.43</v>
      </c>
      <c r="K24" s="5"/>
      <c r="L24" s="27">
        <f>1/1.43754</f>
        <v>0.695632817173783</v>
      </c>
      <c r="M24" s="19">
        <v>148.76</v>
      </c>
      <c r="N24" s="5"/>
      <c r="O24" s="27">
        <f>1/1.43086</f>
        <v>0.6988803936094377</v>
      </c>
      <c r="P24" s="19">
        <v>149.13</v>
      </c>
      <c r="Q24" s="5"/>
      <c r="R24" s="27">
        <f>1/1.42539</f>
        <v>0.701562379418966</v>
      </c>
      <c r="S24" s="19">
        <v>148.42</v>
      </c>
      <c r="T24" s="5"/>
      <c r="U24" s="27">
        <f>1/1.42669</f>
        <v>0.7009231157434341</v>
      </c>
      <c r="V24" s="19">
        <v>148.71</v>
      </c>
      <c r="W24" s="5"/>
      <c r="X24" s="27">
        <f>1/1.42914</f>
        <v>0.6997215108386862</v>
      </c>
      <c r="Y24" s="19">
        <v>149.57</v>
      </c>
      <c r="Z24" s="5"/>
      <c r="AA24" s="27">
        <f>1/1.42399</f>
        <v>0.7022521225570404</v>
      </c>
      <c r="AB24" s="19">
        <v>148.68</v>
      </c>
      <c r="AC24" s="5"/>
      <c r="AD24" s="27">
        <f>1/1.42535</f>
        <v>0.7015820675623532</v>
      </c>
      <c r="AE24" s="19">
        <v>149.26</v>
      </c>
      <c r="AF24" s="5"/>
      <c r="AG24" s="27">
        <f>1/1.42001</f>
        <v>0.7042203928141351</v>
      </c>
      <c r="AH24" s="19">
        <v>148.69</v>
      </c>
      <c r="AI24" s="5"/>
      <c r="AJ24" s="27">
        <f>1/1.42002</f>
        <v>0.7042154335854425</v>
      </c>
      <c r="AK24" s="19">
        <v>148.85</v>
      </c>
      <c r="AL24" s="5"/>
      <c r="AM24" s="27">
        <f>1/1.42073</f>
        <v>0.7038635067887635</v>
      </c>
      <c r="AN24" s="19">
        <v>148.85</v>
      </c>
      <c r="AO24" s="5"/>
      <c r="AP24" s="27">
        <f>1/1.41932</f>
        <v>0.7045627483583689</v>
      </c>
      <c r="AQ24" s="19">
        <v>147.65</v>
      </c>
      <c r="AR24" s="5"/>
      <c r="AS24" s="27">
        <f>1/1.42601</f>
        <v>0.7012573544365046</v>
      </c>
      <c r="AT24" s="19">
        <v>149.27</v>
      </c>
      <c r="AU24" s="5"/>
      <c r="AV24" s="27">
        <f>1/1.41983</f>
        <v>0.7043096708760909</v>
      </c>
      <c r="AW24" s="19">
        <v>147.84</v>
      </c>
      <c r="AX24" s="5"/>
      <c r="AY24" s="27">
        <f>1/1.42469</f>
        <v>0.7019070815405457</v>
      </c>
      <c r="AZ24" s="19">
        <v>148.41</v>
      </c>
      <c r="BA24" s="5"/>
      <c r="BB24" s="27">
        <f>1/1.42469</f>
        <v>0.7019070815405457</v>
      </c>
      <c r="BC24" s="19">
        <v>148.69</v>
      </c>
      <c r="BD24" s="5"/>
      <c r="BE24" s="27">
        <v>0.7010312169200895</v>
      </c>
      <c r="BF24" s="19">
        <v>148.73</v>
      </c>
      <c r="BG24" s="31"/>
      <c r="BH24" s="27">
        <f t="shared" si="0"/>
        <v>0.7002341151819942</v>
      </c>
      <c r="BI24" s="19">
        <f t="shared" si="1"/>
        <v>148.60263157894735</v>
      </c>
      <c r="BJ24" s="31"/>
      <c r="BK24" s="31"/>
      <c r="BL24" s="32"/>
      <c r="BM24" s="32"/>
      <c r="BN24" s="31"/>
      <c r="BO24" s="32"/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102.29</v>
      </c>
      <c r="E25" s="21"/>
      <c r="F25" s="28">
        <v>1</v>
      </c>
      <c r="G25" s="22">
        <v>102.3</v>
      </c>
      <c r="H25" s="21"/>
      <c r="I25" s="28">
        <v>1</v>
      </c>
      <c r="J25" s="22">
        <v>102.72</v>
      </c>
      <c r="K25" s="21"/>
      <c r="L25" s="28">
        <v>1</v>
      </c>
      <c r="M25" s="22">
        <v>103.49</v>
      </c>
      <c r="N25" s="21"/>
      <c r="O25" s="28">
        <v>1</v>
      </c>
      <c r="P25" s="22">
        <v>104.23</v>
      </c>
      <c r="Q25" s="21"/>
      <c r="R25" s="28">
        <v>1</v>
      </c>
      <c r="S25" s="22">
        <v>104.13</v>
      </c>
      <c r="T25" s="21"/>
      <c r="U25" s="28">
        <v>1</v>
      </c>
      <c r="V25" s="22">
        <v>104.24</v>
      </c>
      <c r="W25" s="21"/>
      <c r="X25" s="28">
        <v>1</v>
      </c>
      <c r="Y25" s="22">
        <v>104.66</v>
      </c>
      <c r="Z25" s="21"/>
      <c r="AA25" s="28">
        <v>1</v>
      </c>
      <c r="AB25" s="22">
        <v>104.41</v>
      </c>
      <c r="AC25" s="21"/>
      <c r="AD25" s="28">
        <v>1</v>
      </c>
      <c r="AE25" s="22">
        <v>104.72</v>
      </c>
      <c r="AF25" s="21"/>
      <c r="AG25" s="28">
        <v>1</v>
      </c>
      <c r="AH25" s="22">
        <v>104.71</v>
      </c>
      <c r="AI25" s="21"/>
      <c r="AJ25" s="28">
        <v>1</v>
      </c>
      <c r="AK25" s="22">
        <v>104.82</v>
      </c>
      <c r="AL25" s="21"/>
      <c r="AM25" s="28">
        <v>1</v>
      </c>
      <c r="AN25" s="22">
        <v>104.77</v>
      </c>
      <c r="AO25" s="21"/>
      <c r="AP25" s="28">
        <v>1</v>
      </c>
      <c r="AQ25" s="22">
        <v>104.03</v>
      </c>
      <c r="AR25" s="21"/>
      <c r="AS25" s="28">
        <v>1</v>
      </c>
      <c r="AT25" s="22">
        <v>104.68</v>
      </c>
      <c r="AU25" s="21"/>
      <c r="AV25" s="28">
        <v>1</v>
      </c>
      <c r="AW25" s="22">
        <v>104.13</v>
      </c>
      <c r="AX25" s="21"/>
      <c r="AY25" s="28">
        <v>1</v>
      </c>
      <c r="AZ25" s="22">
        <v>104.17</v>
      </c>
      <c r="BA25" s="21"/>
      <c r="BB25" s="28">
        <v>1</v>
      </c>
      <c r="BC25" s="22">
        <v>104.37</v>
      </c>
      <c r="BD25" s="21"/>
      <c r="BE25" s="28">
        <v>1</v>
      </c>
      <c r="BF25" s="22">
        <v>104.26</v>
      </c>
      <c r="BG25" s="28"/>
      <c r="BH25" s="28">
        <f t="shared" si="0"/>
        <v>1</v>
      </c>
      <c r="BI25" s="22">
        <f t="shared" si="1"/>
        <v>104.05947368421052</v>
      </c>
      <c r="BJ25" s="31"/>
      <c r="BK25" s="31"/>
      <c r="BL25" s="32"/>
      <c r="BM25" s="32"/>
      <c r="BN25" s="31"/>
      <c r="BO25" s="32"/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31"/>
      <c r="BF26" s="32"/>
      <c r="BG26" s="31"/>
      <c r="BH26" s="31"/>
      <c r="BI26" s="32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8" r:id="rId1"/>
  <headerFooter alignWithMargins="0">
    <oddHeader>&amp;LBanka e Shqiperise
Sektori i Statistikave Monetare dhe Financiare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2"/>
  <sheetViews>
    <sheetView zoomScale="75" zoomScaleNormal="75" zoomScalePageLayoutView="0" workbookViewId="0" topLeftCell="A1">
      <pane xSplit="2" ySplit="11" topLeftCell="B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I37" sqref="BI37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hidden="1" customWidth="1"/>
    <col min="5" max="5" width="6.421875" style="0" hidden="1" customWidth="1"/>
    <col min="6" max="7" width="13.28125" style="0" hidden="1" customWidth="1"/>
    <col min="8" max="8" width="5.421875" style="0" hidden="1" customWidth="1"/>
    <col min="9" max="10" width="13.28125" style="0" hidden="1" customWidth="1"/>
    <col min="11" max="11" width="5.421875" style="0" hidden="1" customWidth="1"/>
    <col min="12" max="13" width="13.28125" style="0" hidden="1" customWidth="1"/>
    <col min="14" max="14" width="5.57421875" style="0" hidden="1" customWidth="1"/>
    <col min="15" max="16" width="13.28125" style="0" hidden="1" customWidth="1"/>
    <col min="17" max="17" width="5.7109375" style="0" hidden="1" customWidth="1"/>
    <col min="18" max="19" width="13.28125" style="0" hidden="1" customWidth="1"/>
    <col min="20" max="20" width="5.7109375" style="0" hidden="1" customWidth="1"/>
    <col min="21" max="22" width="13.28125" style="0" hidden="1" customWidth="1"/>
    <col min="23" max="23" width="5.7109375" style="0" hidden="1" customWidth="1"/>
    <col min="24" max="25" width="13.28125" style="0" hidden="1" customWidth="1"/>
    <col min="26" max="26" width="5.7109375" style="0" hidden="1" customWidth="1"/>
    <col min="27" max="28" width="13.28125" style="0" hidden="1" customWidth="1"/>
    <col min="29" max="29" width="5.7109375" style="0" hidden="1" customWidth="1"/>
    <col min="30" max="31" width="13.28125" style="0" hidden="1" customWidth="1"/>
    <col min="32" max="32" width="5.7109375" style="0" hidden="1" customWidth="1"/>
    <col min="33" max="34" width="13.28125" style="0" hidden="1" customWidth="1"/>
    <col min="35" max="35" width="5.7109375" style="0" hidden="1" customWidth="1"/>
    <col min="36" max="37" width="13.28125" style="0" hidden="1" customWidth="1"/>
    <col min="38" max="38" width="5.7109375" style="0" hidden="1" customWidth="1"/>
    <col min="39" max="40" width="13.28125" style="0" hidden="1" customWidth="1"/>
    <col min="41" max="41" width="5.7109375" style="0" hidden="1" customWidth="1"/>
    <col min="42" max="43" width="13.28125" style="0" hidden="1" customWidth="1"/>
    <col min="44" max="44" width="5.7109375" style="0" hidden="1" customWidth="1"/>
    <col min="45" max="46" width="13.28125" style="0" hidden="1" customWidth="1"/>
    <col min="47" max="47" width="5.7109375" style="0" hidden="1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6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0" ht="15.75" customHeight="1">
      <c r="A4" s="6" t="s">
        <v>2</v>
      </c>
      <c r="B4" s="5"/>
      <c r="C4" s="4" t="s">
        <v>265</v>
      </c>
      <c r="D4" s="4"/>
      <c r="E4" s="10"/>
      <c r="F4" s="4" t="s">
        <v>266</v>
      </c>
      <c r="G4" s="4"/>
      <c r="H4" s="10"/>
      <c r="I4" s="4" t="s">
        <v>267</v>
      </c>
      <c r="J4" s="4"/>
      <c r="K4" s="10"/>
      <c r="L4" s="4" t="s">
        <v>286</v>
      </c>
      <c r="M4" s="4"/>
      <c r="N4" s="10"/>
      <c r="O4" s="4" t="s">
        <v>285</v>
      </c>
      <c r="P4" s="4"/>
      <c r="Q4" s="10"/>
      <c r="R4" s="4" t="s">
        <v>284</v>
      </c>
      <c r="S4" s="4"/>
      <c r="T4" s="10"/>
      <c r="U4" s="4" t="s">
        <v>283</v>
      </c>
      <c r="V4" s="4"/>
      <c r="W4" s="10"/>
      <c r="X4" s="4" t="s">
        <v>282</v>
      </c>
      <c r="Y4" s="4"/>
      <c r="Z4" s="10"/>
      <c r="AA4" s="4" t="s">
        <v>281</v>
      </c>
      <c r="AB4" s="4"/>
      <c r="AC4" s="10"/>
      <c r="AD4" s="4" t="s">
        <v>280</v>
      </c>
      <c r="AE4" s="4"/>
      <c r="AF4" s="10"/>
      <c r="AG4" s="4" t="s">
        <v>279</v>
      </c>
      <c r="AH4" s="4"/>
      <c r="AI4" s="10"/>
      <c r="AJ4" s="4" t="s">
        <v>278</v>
      </c>
      <c r="AK4" s="4"/>
      <c r="AL4" s="10"/>
      <c r="AM4" s="4" t="s">
        <v>277</v>
      </c>
      <c r="AN4" s="4"/>
      <c r="AO4" s="10"/>
      <c r="AP4" s="4" t="s">
        <v>276</v>
      </c>
      <c r="AQ4" s="4"/>
      <c r="AR4" s="10"/>
      <c r="AS4" s="4" t="s">
        <v>275</v>
      </c>
      <c r="AT4" s="4"/>
      <c r="AU4" s="10"/>
      <c r="AV4" s="4" t="s">
        <v>274</v>
      </c>
      <c r="AW4" s="4"/>
      <c r="AX4" s="26"/>
      <c r="AY4" s="4" t="s">
        <v>273</v>
      </c>
      <c r="AZ4" s="4"/>
      <c r="BA4" s="26"/>
      <c r="BB4" s="4" t="s">
        <v>272</v>
      </c>
      <c r="BC4" s="4"/>
      <c r="BD4" s="26"/>
      <c r="BE4" s="4" t="s">
        <v>271</v>
      </c>
      <c r="BF4" s="4"/>
      <c r="BG4" s="26"/>
      <c r="BH4" s="4" t="s">
        <v>270</v>
      </c>
      <c r="BI4" s="4"/>
      <c r="BJ4" s="26"/>
      <c r="BK4" s="4" t="s">
        <v>269</v>
      </c>
      <c r="BL4" s="4"/>
      <c r="BM4" s="26"/>
      <c r="BN4" s="4" t="s">
        <v>3</v>
      </c>
      <c r="BO4" s="4"/>
      <c r="BP4" s="37"/>
      <c r="BQ4" s="37"/>
      <c r="BR4" s="37"/>
    </row>
    <row r="5" spans="1:70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38"/>
      <c r="BQ5" s="38"/>
      <c r="BR5" s="38"/>
    </row>
    <row r="6" spans="1:70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9"/>
      <c r="BR6" s="9"/>
    </row>
    <row r="7" spans="1:70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39"/>
      <c r="BR7" s="39"/>
    </row>
    <row r="8" spans="1:70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39"/>
      <c r="BR8" s="39"/>
    </row>
    <row r="9" spans="1:70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39"/>
      <c r="BR9" s="39"/>
    </row>
    <row r="10" spans="1:70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39"/>
      <c r="BR10" s="39"/>
    </row>
    <row r="11" spans="1:76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9"/>
      <c r="BS11" s="40"/>
      <c r="BT11" s="40"/>
      <c r="BU11" s="40"/>
      <c r="BV11" s="40"/>
      <c r="BW11" s="40"/>
      <c r="BX11" s="40"/>
    </row>
    <row r="12" spans="1:76" ht="15.75" customHeight="1" thickTop="1">
      <c r="A12" s="14" t="s">
        <v>2</v>
      </c>
      <c r="B12" s="11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8"/>
      <c r="BQ12" s="58"/>
      <c r="BR12" s="58"/>
      <c r="BS12" s="59"/>
      <c r="BT12" s="59"/>
      <c r="BU12" s="59"/>
      <c r="BV12" s="59"/>
      <c r="BW12" s="59"/>
      <c r="BX12" s="40"/>
    </row>
    <row r="13" spans="1:75" ht="15.75" customHeight="1">
      <c r="A13" s="16">
        <v>1</v>
      </c>
      <c r="B13" s="17" t="s">
        <v>14</v>
      </c>
      <c r="C13" s="60">
        <v>119.94</v>
      </c>
      <c r="D13" s="60">
        <v>86.87</v>
      </c>
      <c r="E13" s="60"/>
      <c r="F13" s="60">
        <v>120.72</v>
      </c>
      <c r="G13" s="60">
        <v>86.65</v>
      </c>
      <c r="H13" s="60"/>
      <c r="I13" s="60">
        <v>121.18</v>
      </c>
      <c r="J13" s="60">
        <v>86.33</v>
      </c>
      <c r="K13" s="60"/>
      <c r="L13" s="60">
        <v>121.21</v>
      </c>
      <c r="M13" s="60">
        <v>86.96</v>
      </c>
      <c r="N13" s="60"/>
      <c r="O13" s="60">
        <v>120.99</v>
      </c>
      <c r="P13" s="60">
        <v>86.33</v>
      </c>
      <c r="Q13" s="60"/>
      <c r="R13" s="60">
        <v>120.38</v>
      </c>
      <c r="S13" s="60">
        <v>86.57</v>
      </c>
      <c r="T13" s="60"/>
      <c r="U13" s="60">
        <v>120.39</v>
      </c>
      <c r="V13" s="60">
        <v>86.5</v>
      </c>
      <c r="W13" s="60"/>
      <c r="X13" s="60">
        <v>120.62</v>
      </c>
      <c r="Y13" s="60">
        <v>85.74</v>
      </c>
      <c r="Z13" s="60"/>
      <c r="AA13" s="60">
        <v>120.24</v>
      </c>
      <c r="AB13" s="60">
        <v>85.55</v>
      </c>
      <c r="AC13" s="60"/>
      <c r="AD13" s="60">
        <v>118.6</v>
      </c>
      <c r="AE13" s="60">
        <v>86.11</v>
      </c>
      <c r="AF13" s="60"/>
      <c r="AG13" s="60">
        <v>116.02</v>
      </c>
      <c r="AH13" s="60">
        <v>88.01</v>
      </c>
      <c r="AI13" s="60"/>
      <c r="AJ13" s="60">
        <v>116.13</v>
      </c>
      <c r="AK13" s="60">
        <v>88.14</v>
      </c>
      <c r="AL13" s="60"/>
      <c r="AM13" s="60">
        <v>116.33</v>
      </c>
      <c r="AN13" s="60">
        <v>87.69</v>
      </c>
      <c r="AO13" s="60"/>
      <c r="AP13" s="60">
        <v>116.41</v>
      </c>
      <c r="AQ13" s="60">
        <v>87.82</v>
      </c>
      <c r="AR13" s="60"/>
      <c r="AS13" s="60">
        <v>117.06</v>
      </c>
      <c r="AT13" s="60">
        <v>87.91</v>
      </c>
      <c r="AU13" s="60"/>
      <c r="AV13" s="60">
        <v>117.38</v>
      </c>
      <c r="AW13" s="60">
        <v>88.08</v>
      </c>
      <c r="AX13" s="60"/>
      <c r="AY13" s="60">
        <v>116.64</v>
      </c>
      <c r="AZ13" s="60">
        <v>88.36</v>
      </c>
      <c r="BA13" s="60"/>
      <c r="BB13" s="60">
        <v>117.09</v>
      </c>
      <c r="BC13" s="60">
        <v>88.07</v>
      </c>
      <c r="BD13" s="60"/>
      <c r="BE13" s="60">
        <v>117.15</v>
      </c>
      <c r="BF13" s="60">
        <v>87.8</v>
      </c>
      <c r="BG13" s="60"/>
      <c r="BH13" s="60">
        <v>117.92</v>
      </c>
      <c r="BI13" s="60">
        <v>87.79</v>
      </c>
      <c r="BJ13" s="60"/>
      <c r="BK13" s="60">
        <v>117.36</v>
      </c>
      <c r="BL13" s="60">
        <v>88.26</v>
      </c>
      <c r="BM13" s="60"/>
      <c r="BN13" s="60">
        <f>(+C13+F13+I13+L13+O13+R13+U13+X13+AA13+AD13+AG13+AJ13+AM13+AP13+AS13+AV13+AY13+BB13+BE13+BH13+BK13)/21</f>
        <v>118.55999999999999</v>
      </c>
      <c r="BO13" s="54">
        <f>(+D13+G13+J13+M13+P13+S13+V13+Y13+AB13+AE13+AH13+AK13+AN13+AQ13+AT13+AW13+AZ13+BC13+BF13+BI13+BL13)/21</f>
        <v>87.21619047619046</v>
      </c>
      <c r="BP13" s="58"/>
      <c r="BQ13" s="58"/>
      <c r="BR13" s="58"/>
      <c r="BS13" s="61"/>
      <c r="BT13" s="61"/>
      <c r="BU13" s="61"/>
      <c r="BV13" s="61"/>
      <c r="BW13" s="61"/>
    </row>
    <row r="14" spans="1:75" ht="15.75" customHeight="1">
      <c r="A14" s="16">
        <v>2</v>
      </c>
      <c r="B14" s="17" t="s">
        <v>15</v>
      </c>
      <c r="C14" s="60">
        <f>1/1.7311</f>
        <v>0.5776673791231008</v>
      </c>
      <c r="D14" s="60">
        <v>180.36</v>
      </c>
      <c r="E14" s="60"/>
      <c r="F14" s="60">
        <f>1/1.7284</f>
        <v>0.5785697755149272</v>
      </c>
      <c r="G14" s="60">
        <v>180.79</v>
      </c>
      <c r="H14" s="60"/>
      <c r="I14" s="60">
        <f>1/1.7308</f>
        <v>0.5777675063554426</v>
      </c>
      <c r="J14" s="60">
        <v>181.06</v>
      </c>
      <c r="K14" s="60"/>
      <c r="L14" s="60">
        <f>1/1.7319</f>
        <v>0.5774005427565102</v>
      </c>
      <c r="M14" s="60">
        <v>180.45</v>
      </c>
      <c r="N14" s="60"/>
      <c r="O14" s="60">
        <f>1/1.7314</f>
        <v>0.5775672865888876</v>
      </c>
      <c r="P14" s="60">
        <v>180.85</v>
      </c>
      <c r="Q14" s="60"/>
      <c r="R14" s="60">
        <f>1/1.743</f>
        <v>0.5737234652897303</v>
      </c>
      <c r="S14" s="60">
        <v>181.65</v>
      </c>
      <c r="T14" s="60"/>
      <c r="U14" s="60">
        <f>1/1.7488</f>
        <v>0.5718206770356816</v>
      </c>
      <c r="V14" s="60">
        <v>182.11</v>
      </c>
      <c r="W14" s="60"/>
      <c r="X14" s="60">
        <f>1/1.7639</f>
        <v>0.5669255626736209</v>
      </c>
      <c r="Y14" s="60">
        <v>182.42</v>
      </c>
      <c r="Z14" s="60"/>
      <c r="AA14" s="60">
        <f>1/1.7673</f>
        <v>0.5658348893792791</v>
      </c>
      <c r="AB14" s="60">
        <v>181.79</v>
      </c>
      <c r="AC14" s="60"/>
      <c r="AD14" s="60">
        <f>1/1.7705</f>
        <v>0.5648121999435188</v>
      </c>
      <c r="AE14" s="60">
        <v>180.81</v>
      </c>
      <c r="AF14" s="60"/>
      <c r="AG14" s="60">
        <f>1/1.7713</f>
        <v>0.5645571049511657</v>
      </c>
      <c r="AH14" s="60">
        <v>180.88</v>
      </c>
      <c r="AI14" s="60"/>
      <c r="AJ14" s="60">
        <f>1/1.7702</f>
        <v>0.5649079200090386</v>
      </c>
      <c r="AK14" s="60">
        <v>181.19</v>
      </c>
      <c r="AL14" s="60"/>
      <c r="AM14" s="60">
        <f>1/1.7642</f>
        <v>0.5668291576918717</v>
      </c>
      <c r="AN14" s="60">
        <v>179.96</v>
      </c>
      <c r="AO14" s="60"/>
      <c r="AP14" s="60">
        <f>1/1.7655</f>
        <v>0.5664117813650523</v>
      </c>
      <c r="AQ14" s="60">
        <v>180.49</v>
      </c>
      <c r="AR14" s="60"/>
      <c r="AS14" s="60">
        <f>1/1.7518</f>
        <v>0.5708414202534536</v>
      </c>
      <c r="AT14" s="60">
        <v>180.27</v>
      </c>
      <c r="AU14" s="60"/>
      <c r="AV14" s="60">
        <f>1/1.7369</f>
        <v>0.5757383844780931</v>
      </c>
      <c r="AW14" s="60">
        <v>179.58</v>
      </c>
      <c r="AX14" s="60"/>
      <c r="AY14" s="60">
        <f>1/1.7365</f>
        <v>0.5758710048949036</v>
      </c>
      <c r="AZ14" s="60">
        <v>178.97</v>
      </c>
      <c r="BA14" s="60"/>
      <c r="BB14" s="60">
        <f>1/1.7369</f>
        <v>0.5757383844780931</v>
      </c>
      <c r="BC14" s="60">
        <v>179.1</v>
      </c>
      <c r="BD14" s="60"/>
      <c r="BE14" s="60">
        <f>1/1.7367</f>
        <v>0.5758046870501526</v>
      </c>
      <c r="BF14" s="60">
        <v>178.62</v>
      </c>
      <c r="BG14" s="60"/>
      <c r="BH14" s="60">
        <f>1/1.7215</f>
        <v>0.5808887598024978</v>
      </c>
      <c r="BI14" s="60">
        <v>178.21</v>
      </c>
      <c r="BJ14" s="60"/>
      <c r="BK14" s="60">
        <f>1/1.7248</f>
        <v>0.5797773654916512</v>
      </c>
      <c r="BL14" s="60">
        <v>178.65</v>
      </c>
      <c r="BM14" s="60"/>
      <c r="BN14" s="60">
        <f aca="true" t="shared" si="0" ref="BN14:BN23">(+C14+F14+I14+L14+O14+R14+U14+X14+AA14+AD14+AG14+AJ14+AM14+AP14+AS14+AV14+AY14+BB14+BE14+BH14+BK14)/21</f>
        <v>0.5728312026250796</v>
      </c>
      <c r="BO14" s="54">
        <f aca="true" t="shared" si="1" ref="BO14:BO24">(+D14+G14+J14+M14+P14+S14+V14+Y14+AB14+AE14+AH14+AK14+AN14+AQ14+AT14+AW14+AZ14+BC14+BF14+BI14+BL14)/21</f>
        <v>180.39095238095237</v>
      </c>
      <c r="BP14" s="58"/>
      <c r="BQ14" s="58"/>
      <c r="BR14" s="58"/>
      <c r="BS14" s="61"/>
      <c r="BT14" s="61"/>
      <c r="BU14" s="61"/>
      <c r="BV14" s="61"/>
      <c r="BW14" s="61"/>
    </row>
    <row r="15" spans="1:75" ht="15.75" customHeight="1">
      <c r="A15" s="16">
        <v>3</v>
      </c>
      <c r="B15" s="17" t="s">
        <v>16</v>
      </c>
      <c r="C15" s="60">
        <v>1.3138</v>
      </c>
      <c r="D15" s="60">
        <v>79.3</v>
      </c>
      <c r="E15" s="60"/>
      <c r="F15" s="60">
        <v>1.3182</v>
      </c>
      <c r="G15" s="60">
        <v>79.35</v>
      </c>
      <c r="H15" s="60"/>
      <c r="I15" s="60">
        <v>1.3199</v>
      </c>
      <c r="J15" s="60">
        <v>79.26</v>
      </c>
      <c r="K15" s="60"/>
      <c r="L15" s="60">
        <v>1.3102</v>
      </c>
      <c r="M15" s="60">
        <v>79.52</v>
      </c>
      <c r="N15" s="60"/>
      <c r="O15" s="60">
        <v>1.3133</v>
      </c>
      <c r="P15" s="60">
        <v>79.53</v>
      </c>
      <c r="Q15" s="60"/>
      <c r="R15" s="60">
        <v>1.3078</v>
      </c>
      <c r="S15" s="60">
        <v>79.69</v>
      </c>
      <c r="T15" s="60"/>
      <c r="U15" s="60">
        <v>1.3056</v>
      </c>
      <c r="V15" s="60">
        <v>79.76</v>
      </c>
      <c r="W15" s="60"/>
      <c r="X15" s="60">
        <v>1.2958</v>
      </c>
      <c r="Y15" s="60">
        <v>79.81</v>
      </c>
      <c r="Z15" s="60"/>
      <c r="AA15" s="60">
        <v>1.2951</v>
      </c>
      <c r="AB15" s="60">
        <v>79.43</v>
      </c>
      <c r="AC15" s="60"/>
      <c r="AD15" s="60">
        <v>1.2837</v>
      </c>
      <c r="AE15" s="60">
        <v>79.56</v>
      </c>
      <c r="AF15" s="60"/>
      <c r="AG15" s="60">
        <v>1.283</v>
      </c>
      <c r="AH15" s="60">
        <v>79.59</v>
      </c>
      <c r="AI15" s="60"/>
      <c r="AJ15" s="60">
        <v>1.2881</v>
      </c>
      <c r="AK15" s="60">
        <v>79.46</v>
      </c>
      <c r="AL15" s="60"/>
      <c r="AM15" s="60">
        <v>1.2912</v>
      </c>
      <c r="AN15" s="60">
        <v>79</v>
      </c>
      <c r="AO15" s="60"/>
      <c r="AP15" s="60">
        <v>1.2936</v>
      </c>
      <c r="AQ15" s="60">
        <v>79.03</v>
      </c>
      <c r="AR15" s="60"/>
      <c r="AS15" s="60">
        <v>1.3071</v>
      </c>
      <c r="AT15" s="60">
        <v>78.73</v>
      </c>
      <c r="AU15" s="60"/>
      <c r="AV15" s="60">
        <v>1.3144</v>
      </c>
      <c r="AW15" s="60">
        <v>78.66</v>
      </c>
      <c r="AX15" s="60"/>
      <c r="AY15" s="60">
        <v>1.3104</v>
      </c>
      <c r="AZ15" s="60">
        <v>78.65</v>
      </c>
      <c r="BA15" s="60"/>
      <c r="BB15" s="60">
        <v>1.3127</v>
      </c>
      <c r="BC15" s="60">
        <v>78.55</v>
      </c>
      <c r="BD15" s="60"/>
      <c r="BE15" s="60">
        <v>1.3078</v>
      </c>
      <c r="BF15" s="60">
        <v>78.65</v>
      </c>
      <c r="BG15" s="60"/>
      <c r="BH15" s="60">
        <v>1.3161</v>
      </c>
      <c r="BI15" s="60">
        <v>78.66</v>
      </c>
      <c r="BJ15" s="60"/>
      <c r="BK15" s="60">
        <v>1.3135</v>
      </c>
      <c r="BL15" s="60">
        <v>78.86</v>
      </c>
      <c r="BM15" s="60"/>
      <c r="BN15" s="60">
        <f t="shared" si="0"/>
        <v>1.3048238095238094</v>
      </c>
      <c r="BO15" s="54">
        <f t="shared" si="1"/>
        <v>79.19285714285716</v>
      </c>
      <c r="BP15" s="58"/>
      <c r="BQ15" s="58"/>
      <c r="BR15" s="58"/>
      <c r="BS15" s="61"/>
      <c r="BT15" s="61"/>
      <c r="BU15" s="61"/>
      <c r="BV15" s="61"/>
      <c r="BW15" s="61"/>
    </row>
    <row r="16" spans="1:75" ht="15.75" customHeight="1">
      <c r="A16" s="16">
        <v>4</v>
      </c>
      <c r="B16" s="17" t="s">
        <v>17</v>
      </c>
      <c r="C16" s="60">
        <f>1/1.1782</f>
        <v>0.8487523340689187</v>
      </c>
      <c r="D16" s="60">
        <v>122.71</v>
      </c>
      <c r="E16" s="60"/>
      <c r="F16" s="60">
        <f>1/1.1709</f>
        <v>0.8540438978563498</v>
      </c>
      <c r="G16" s="60">
        <v>122.56</v>
      </c>
      <c r="H16" s="60"/>
      <c r="I16" s="60">
        <f>1/1.1699</f>
        <v>0.8547739123001966</v>
      </c>
      <c r="J16" s="60">
        <v>122.49</v>
      </c>
      <c r="K16" s="60"/>
      <c r="L16" s="60">
        <f>1/1.1763</f>
        <v>0.8501232678738417</v>
      </c>
      <c r="M16" s="60">
        <v>122.61</v>
      </c>
      <c r="N16" s="60"/>
      <c r="O16" s="60">
        <f>1/1.1727</f>
        <v>0.8527330092947898</v>
      </c>
      <c r="P16" s="60">
        <v>122.59</v>
      </c>
      <c r="Q16" s="60"/>
      <c r="R16" s="60">
        <f>1/1.1764</f>
        <v>0.8500510030601837</v>
      </c>
      <c r="S16" s="60">
        <v>122.58</v>
      </c>
      <c r="T16" s="60"/>
      <c r="U16" s="60">
        <f>1/1.1788</f>
        <v>0.848320325755005</v>
      </c>
      <c r="V16" s="60">
        <v>122.66</v>
      </c>
      <c r="W16" s="60"/>
      <c r="X16" s="60">
        <f>1/1.1882</f>
        <v>0.841609156707625</v>
      </c>
      <c r="Y16" s="60">
        <v>122.69</v>
      </c>
      <c r="Z16" s="60"/>
      <c r="AA16" s="60">
        <f>1/1.1913</f>
        <v>0.8394191219675984</v>
      </c>
      <c r="AB16" s="60">
        <v>122.59</v>
      </c>
      <c r="AC16" s="60"/>
      <c r="AD16" s="60">
        <f>1/1.2017</f>
        <v>0.8321544478655238</v>
      </c>
      <c r="AE16" s="60">
        <v>122.67</v>
      </c>
      <c r="AF16" s="60"/>
      <c r="AG16" s="60">
        <f>1/1.2014</f>
        <v>0.8323622440486099</v>
      </c>
      <c r="AH16" s="60">
        <v>122.68</v>
      </c>
      <c r="AI16" s="60"/>
      <c r="AJ16" s="60">
        <f>1/1.2001</f>
        <v>0.8332638946754437</v>
      </c>
      <c r="AK16" s="60">
        <v>122.76</v>
      </c>
      <c r="AL16" s="60"/>
      <c r="AM16" s="60">
        <f>1/1.2005</f>
        <v>0.8329862557267805</v>
      </c>
      <c r="AN16" s="60">
        <v>122.47</v>
      </c>
      <c r="AO16" s="60"/>
      <c r="AP16" s="60">
        <f>1/1.1974</f>
        <v>0.8351428094204109</v>
      </c>
      <c r="AQ16" s="60">
        <v>122.39</v>
      </c>
      <c r="AR16" s="60"/>
      <c r="AS16" s="60">
        <f>1/1.1889</f>
        <v>0.8411136344520144</v>
      </c>
      <c r="AT16" s="60">
        <v>122.38</v>
      </c>
      <c r="AU16" s="60"/>
      <c r="AV16" s="60">
        <f>1/1.1826</f>
        <v>0.8455944529003889</v>
      </c>
      <c r="AW16" s="60">
        <v>122.38</v>
      </c>
      <c r="AX16" s="60"/>
      <c r="AY16" s="60">
        <f>1/1.1872</f>
        <v>0.8423180592991913</v>
      </c>
      <c r="AZ16" s="60">
        <v>122.29</v>
      </c>
      <c r="BA16" s="60"/>
      <c r="BB16" s="60">
        <f>1/1.1862</f>
        <v>0.8430281571404485</v>
      </c>
      <c r="BC16" s="60">
        <v>122.27</v>
      </c>
      <c r="BD16" s="60"/>
      <c r="BE16" s="60">
        <f>1/1.1909</f>
        <v>0.8397010664203544</v>
      </c>
      <c r="BF16" s="60">
        <v>122.36</v>
      </c>
      <c r="BG16" s="60"/>
      <c r="BH16" s="60">
        <f>1/1.1842</f>
        <v>0.8444519506840061</v>
      </c>
      <c r="BI16" s="60">
        <v>122.6</v>
      </c>
      <c r="BJ16" s="60"/>
      <c r="BK16" s="60">
        <f>1/1.1836</f>
        <v>0.8448800270361608</v>
      </c>
      <c r="BL16" s="60">
        <v>122.58</v>
      </c>
      <c r="BM16" s="60"/>
      <c r="BN16" s="60">
        <f t="shared" si="0"/>
        <v>0.8431820489787546</v>
      </c>
      <c r="BO16" s="54">
        <f>(+D16+G16+J16+M16+P16+S16+V16+Y16+AB16+AE16+AH16+AK16+AN16+AQ16+AT16+AW16+AZ16+BC16+BF16+BI16+BL16)/21</f>
        <v>122.53857142857144</v>
      </c>
      <c r="BP16" s="58"/>
      <c r="BQ16" s="58"/>
      <c r="BR16" s="58"/>
      <c r="BS16" s="61"/>
      <c r="BT16" s="61"/>
      <c r="BU16" s="61"/>
      <c r="BV16" s="61"/>
      <c r="BW16" s="61"/>
    </row>
    <row r="17" spans="1:75" ht="15.75" customHeight="1">
      <c r="A17" s="16">
        <v>5</v>
      </c>
      <c r="B17" s="17" t="s">
        <v>18</v>
      </c>
      <c r="C17" s="60">
        <v>494.5</v>
      </c>
      <c r="D17" s="60">
        <v>51522.26</v>
      </c>
      <c r="E17" s="60"/>
      <c r="F17" s="60">
        <v>504.5</v>
      </c>
      <c r="G17" s="60">
        <v>52770.7</v>
      </c>
      <c r="H17" s="60"/>
      <c r="I17" s="60">
        <v>505.4</v>
      </c>
      <c r="J17" s="60">
        <v>52871.47</v>
      </c>
      <c r="K17" s="60"/>
      <c r="L17" s="60">
        <v>508.1</v>
      </c>
      <c r="M17" s="60">
        <v>52938.62</v>
      </c>
      <c r="N17" s="60"/>
      <c r="O17" s="60">
        <v>512</v>
      </c>
      <c r="P17" s="60">
        <v>53479.04</v>
      </c>
      <c r="Q17" s="60"/>
      <c r="R17" s="60">
        <v>514.6</v>
      </c>
      <c r="S17" s="60">
        <v>53628.72</v>
      </c>
      <c r="T17" s="60"/>
      <c r="U17" s="60">
        <v>524.2</v>
      </c>
      <c r="V17" s="60">
        <v>54586.26</v>
      </c>
      <c r="W17" s="60"/>
      <c r="X17" s="60">
        <v>537.1</v>
      </c>
      <c r="Y17" s="60">
        <v>55546.21</v>
      </c>
      <c r="Z17" s="60"/>
      <c r="AA17" s="60">
        <v>522.5</v>
      </c>
      <c r="AB17" s="60">
        <v>53746.96</v>
      </c>
      <c r="AC17" s="60"/>
      <c r="AD17" s="60">
        <v>512.6</v>
      </c>
      <c r="AE17" s="60">
        <v>52349.6</v>
      </c>
      <c r="AF17" s="60"/>
      <c r="AG17" s="60">
        <v>501.5</v>
      </c>
      <c r="AH17" s="60">
        <v>51210.67</v>
      </c>
      <c r="AI17" s="60"/>
      <c r="AJ17" s="60">
        <v>503.25</v>
      </c>
      <c r="AK17" s="60">
        <v>51509.21</v>
      </c>
      <c r="AL17" s="60"/>
      <c r="AM17" s="60">
        <v>507.3</v>
      </c>
      <c r="AN17" s="60">
        <v>51749.04</v>
      </c>
      <c r="AO17" s="60"/>
      <c r="AP17" s="60">
        <v>505.4</v>
      </c>
      <c r="AQ17" s="60">
        <v>51668.62</v>
      </c>
      <c r="AR17" s="60"/>
      <c r="AS17" s="60">
        <v>494</v>
      </c>
      <c r="AT17" s="60">
        <v>50835.07</v>
      </c>
      <c r="AU17" s="60"/>
      <c r="AV17" s="60">
        <v>494.8</v>
      </c>
      <c r="AW17" s="60">
        <v>51158.61</v>
      </c>
      <c r="AX17" s="60"/>
      <c r="AY17" s="60">
        <v>503.6</v>
      </c>
      <c r="AZ17" s="60">
        <v>51902.28</v>
      </c>
      <c r="BA17" s="60"/>
      <c r="BB17" s="60">
        <v>507.2</v>
      </c>
      <c r="BC17" s="60">
        <v>52300.25</v>
      </c>
      <c r="BD17" s="60"/>
      <c r="BE17" s="60">
        <v>509.3</v>
      </c>
      <c r="BF17" s="60">
        <v>52382.78</v>
      </c>
      <c r="BG17" s="60"/>
      <c r="BH17" s="60">
        <v>517</v>
      </c>
      <c r="BI17" s="60">
        <v>53521.13</v>
      </c>
      <c r="BJ17" s="60"/>
      <c r="BK17" s="60">
        <v>512.8</v>
      </c>
      <c r="BL17" s="60">
        <v>53115.5</v>
      </c>
      <c r="BM17" s="60"/>
      <c r="BN17" s="60">
        <f t="shared" si="0"/>
        <v>509.12619047619046</v>
      </c>
      <c r="BO17" s="54">
        <f t="shared" si="1"/>
        <v>52609.19047619047</v>
      </c>
      <c r="BP17" s="58"/>
      <c r="BQ17" s="58"/>
      <c r="BR17" s="58"/>
      <c r="BS17" s="61"/>
      <c r="BT17" s="61"/>
      <c r="BU17" s="61"/>
      <c r="BV17" s="61"/>
      <c r="BW17" s="61"/>
    </row>
    <row r="18" spans="1:75" ht="15.75" customHeight="1">
      <c r="A18" s="16">
        <v>6</v>
      </c>
      <c r="B18" s="20" t="s">
        <v>19</v>
      </c>
      <c r="C18" s="60">
        <v>8.24</v>
      </c>
      <c r="D18" s="60">
        <v>858.53</v>
      </c>
      <c r="E18" s="60"/>
      <c r="F18" s="60">
        <v>8.55</v>
      </c>
      <c r="G18" s="60">
        <v>894.33</v>
      </c>
      <c r="H18" s="60"/>
      <c r="I18" s="60">
        <v>8.57</v>
      </c>
      <c r="J18" s="60">
        <v>896.53</v>
      </c>
      <c r="K18" s="60"/>
      <c r="L18" s="60">
        <v>8.59</v>
      </c>
      <c r="M18" s="60">
        <v>894.99</v>
      </c>
      <c r="N18" s="60"/>
      <c r="O18" s="60">
        <v>8.74</v>
      </c>
      <c r="P18" s="60">
        <v>912.9</v>
      </c>
      <c r="Q18" s="60"/>
      <c r="R18" s="60">
        <v>8.74</v>
      </c>
      <c r="S18" s="60">
        <v>910.83</v>
      </c>
      <c r="T18" s="60"/>
      <c r="U18" s="60">
        <v>8.94</v>
      </c>
      <c r="V18" s="60">
        <v>930.94</v>
      </c>
      <c r="W18" s="60"/>
      <c r="X18" s="60">
        <v>9.1</v>
      </c>
      <c r="Y18" s="60">
        <v>941.11</v>
      </c>
      <c r="Z18" s="60"/>
      <c r="AA18" s="60">
        <v>8.68</v>
      </c>
      <c r="AB18" s="60">
        <v>892.87</v>
      </c>
      <c r="AC18" s="60"/>
      <c r="AD18" s="60">
        <v>8.38</v>
      </c>
      <c r="AE18" s="60">
        <v>855.81</v>
      </c>
      <c r="AF18" s="60"/>
      <c r="AG18" s="60">
        <v>8.34</v>
      </c>
      <c r="AH18" s="60">
        <v>851.64</v>
      </c>
      <c r="AI18" s="60"/>
      <c r="AJ18" s="60">
        <v>8.52</v>
      </c>
      <c r="AK18" s="60">
        <v>872.05</v>
      </c>
      <c r="AL18" s="60"/>
      <c r="AM18" s="60">
        <v>8.58</v>
      </c>
      <c r="AN18" s="60">
        <v>875.24</v>
      </c>
      <c r="AO18" s="60"/>
      <c r="AP18" s="60">
        <v>8.57</v>
      </c>
      <c r="AQ18" s="60">
        <v>876.14</v>
      </c>
      <c r="AR18" s="60"/>
      <c r="AS18" s="60">
        <v>8.28</v>
      </c>
      <c r="AT18" s="60">
        <v>852.05</v>
      </c>
      <c r="AU18" s="60"/>
      <c r="AV18" s="60">
        <v>8.4</v>
      </c>
      <c r="AW18" s="60">
        <v>868.5</v>
      </c>
      <c r="AX18" s="60"/>
      <c r="AY18" s="60">
        <v>8.52</v>
      </c>
      <c r="AZ18" s="60">
        <v>878.09</v>
      </c>
      <c r="BA18" s="60"/>
      <c r="BB18" s="60">
        <v>8.68</v>
      </c>
      <c r="BC18" s="60">
        <v>895.04</v>
      </c>
      <c r="BD18" s="60"/>
      <c r="BE18" s="60">
        <v>8.73</v>
      </c>
      <c r="BF18" s="60">
        <v>897.9</v>
      </c>
      <c r="BG18" s="60"/>
      <c r="BH18" s="60">
        <v>8.92</v>
      </c>
      <c r="BI18" s="60">
        <v>923.42</v>
      </c>
      <c r="BJ18" s="60"/>
      <c r="BK18" s="60">
        <v>8.8</v>
      </c>
      <c r="BL18" s="60">
        <v>911.5</v>
      </c>
      <c r="BM18" s="60"/>
      <c r="BN18" s="60">
        <f t="shared" si="0"/>
        <v>8.612857142857143</v>
      </c>
      <c r="BO18" s="54">
        <f t="shared" si="1"/>
        <v>890.0195238095237</v>
      </c>
      <c r="BP18" s="58"/>
      <c r="BQ18" s="58"/>
      <c r="BR18" s="58"/>
      <c r="BS18" s="61"/>
      <c r="BT18" s="61"/>
      <c r="BU18" s="61"/>
      <c r="BV18" s="61"/>
      <c r="BW18" s="61"/>
    </row>
    <row r="19" spans="1:75" ht="15.75" customHeight="1">
      <c r="A19" s="16">
        <v>7</v>
      </c>
      <c r="B19" s="17" t="s">
        <v>20</v>
      </c>
      <c r="C19" s="60">
        <f>1/0.7408</f>
        <v>1.349892008639309</v>
      </c>
      <c r="D19" s="60">
        <v>77.18</v>
      </c>
      <c r="E19" s="60"/>
      <c r="F19" s="60">
        <f>1/0.7435</f>
        <v>1.3449899125756557</v>
      </c>
      <c r="G19" s="60">
        <v>77.77</v>
      </c>
      <c r="H19" s="60"/>
      <c r="I19" s="60">
        <f>1/0.7478</f>
        <v>1.337255950788981</v>
      </c>
      <c r="J19" s="60">
        <v>78.23</v>
      </c>
      <c r="K19" s="60"/>
      <c r="L19" s="60">
        <f>1/0.7515</f>
        <v>1.3306719893546242</v>
      </c>
      <c r="M19" s="60">
        <v>78.3</v>
      </c>
      <c r="N19" s="60"/>
      <c r="O19" s="60">
        <f>1/0.7472</f>
        <v>1.3383297644539616</v>
      </c>
      <c r="P19" s="60">
        <v>78.05</v>
      </c>
      <c r="Q19" s="60"/>
      <c r="R19" s="60">
        <f>1/0.7475</f>
        <v>1.3377926421404682</v>
      </c>
      <c r="S19" s="60">
        <v>77.9</v>
      </c>
      <c r="T19" s="60"/>
      <c r="U19" s="60">
        <f>1/0.7497</f>
        <v>1.3338668800853675</v>
      </c>
      <c r="V19" s="60">
        <v>78.07</v>
      </c>
      <c r="W19" s="60"/>
      <c r="X19" s="60">
        <f>1/0.7511</f>
        <v>1.3313806417254694</v>
      </c>
      <c r="Y19" s="60">
        <v>77.68</v>
      </c>
      <c r="Z19" s="60"/>
      <c r="AA19" s="60">
        <f>1/0.7537</f>
        <v>1.326787846623325</v>
      </c>
      <c r="AB19" s="60">
        <v>77.53</v>
      </c>
      <c r="AC19" s="60"/>
      <c r="AD19" s="60">
        <f>1/0.7558</f>
        <v>1.3231013495633765</v>
      </c>
      <c r="AE19" s="60">
        <v>77.19</v>
      </c>
      <c r="AF19" s="60"/>
      <c r="AG19" s="60">
        <f>1/0.7496</f>
        <v>1.3340448239060831</v>
      </c>
      <c r="AH19" s="60">
        <v>76.55</v>
      </c>
      <c r="AI19" s="60"/>
      <c r="AJ19" s="60">
        <f>1/0.746</f>
        <v>1.3404825737265416</v>
      </c>
      <c r="AK19" s="60">
        <v>76.36</v>
      </c>
      <c r="AL19" s="60"/>
      <c r="AM19" s="60">
        <f>1/0.7435</f>
        <v>1.3449899125756557</v>
      </c>
      <c r="AN19" s="60">
        <v>75.84</v>
      </c>
      <c r="AO19" s="60"/>
      <c r="AP19" s="60">
        <f>1/0.739</f>
        <v>1.3531799729364005</v>
      </c>
      <c r="AQ19" s="60">
        <v>75.55</v>
      </c>
      <c r="AR19" s="60"/>
      <c r="AS19" s="60">
        <f>1/0.7349</f>
        <v>1.3607293509320997</v>
      </c>
      <c r="AT19" s="60">
        <v>75.62</v>
      </c>
      <c r="AU19" s="60"/>
      <c r="AV19" s="60">
        <f>1/0.7314</f>
        <v>1.3672409078479628</v>
      </c>
      <c r="AW19" s="60">
        <v>75.62</v>
      </c>
      <c r="AX19" s="60"/>
      <c r="AY19" s="60">
        <f>1/0.7305</f>
        <v>1.3689253935660506</v>
      </c>
      <c r="AZ19" s="60">
        <v>75.29</v>
      </c>
      <c r="BA19" s="60"/>
      <c r="BB19" s="60">
        <f>1/0.7291</f>
        <v>1.3715539706487452</v>
      </c>
      <c r="BC19" s="60">
        <v>75.18</v>
      </c>
      <c r="BD19" s="60"/>
      <c r="BE19" s="60">
        <f>1/0.729</f>
        <v>1.3717421124828533</v>
      </c>
      <c r="BF19" s="60">
        <v>74.98</v>
      </c>
      <c r="BG19" s="60"/>
      <c r="BH19" s="60">
        <f>1/0.7301</f>
        <v>1.369675386933297</v>
      </c>
      <c r="BI19" s="60">
        <v>75.58</v>
      </c>
      <c r="BJ19" s="60"/>
      <c r="BK19" s="60">
        <f>1/0.7335</f>
        <v>1.3633265167007498</v>
      </c>
      <c r="BL19" s="60">
        <v>75.98</v>
      </c>
      <c r="BM19" s="60"/>
      <c r="BN19" s="60">
        <f t="shared" si="0"/>
        <v>1.3476171384860465</v>
      </c>
      <c r="BO19" s="54">
        <f t="shared" si="1"/>
        <v>76.68809523809524</v>
      </c>
      <c r="BP19" s="58"/>
      <c r="BQ19" s="58"/>
      <c r="BR19" s="58"/>
      <c r="BS19" s="61"/>
      <c r="BT19" s="61"/>
      <c r="BU19" s="61"/>
      <c r="BV19" s="61"/>
      <c r="BW19" s="61"/>
    </row>
    <row r="20" spans="1:75" ht="15.75" customHeight="1">
      <c r="A20" s="16">
        <v>8</v>
      </c>
      <c r="B20" s="17" t="s">
        <v>21</v>
      </c>
      <c r="C20" s="60">
        <v>1.1659</v>
      </c>
      <c r="D20" s="60">
        <v>89.36</v>
      </c>
      <c r="E20" s="60"/>
      <c r="F20" s="60">
        <v>1.1656</v>
      </c>
      <c r="G20" s="60">
        <v>89.74</v>
      </c>
      <c r="H20" s="60"/>
      <c r="I20" s="60">
        <v>1.1608</v>
      </c>
      <c r="J20" s="60">
        <v>90.12</v>
      </c>
      <c r="K20" s="60"/>
      <c r="L20" s="60">
        <v>1.1546</v>
      </c>
      <c r="M20" s="60">
        <v>90.24</v>
      </c>
      <c r="N20" s="60"/>
      <c r="O20" s="60">
        <v>1.1621</v>
      </c>
      <c r="P20" s="60">
        <v>89.88</v>
      </c>
      <c r="Q20" s="60"/>
      <c r="R20" s="60">
        <v>1.1602</v>
      </c>
      <c r="S20" s="60">
        <v>89.82</v>
      </c>
      <c r="T20" s="60"/>
      <c r="U20" s="60">
        <v>1.159</v>
      </c>
      <c r="V20" s="60">
        <v>89.85</v>
      </c>
      <c r="W20" s="60"/>
      <c r="X20" s="60">
        <v>1.1546</v>
      </c>
      <c r="Y20" s="60">
        <v>89.57</v>
      </c>
      <c r="Z20" s="60"/>
      <c r="AA20" s="60">
        <v>1.1528</v>
      </c>
      <c r="AB20" s="60">
        <v>89.23</v>
      </c>
      <c r="AC20" s="60"/>
      <c r="AD20" s="60">
        <v>1.1446</v>
      </c>
      <c r="AE20" s="60">
        <v>89.22</v>
      </c>
      <c r="AF20" s="60"/>
      <c r="AG20" s="60">
        <v>1.156</v>
      </c>
      <c r="AH20" s="60">
        <v>88.33</v>
      </c>
      <c r="AI20" s="60"/>
      <c r="AJ20" s="60">
        <v>1.1551</v>
      </c>
      <c r="AK20" s="60">
        <v>88.61</v>
      </c>
      <c r="AL20" s="60"/>
      <c r="AM20" s="60">
        <v>1.1586</v>
      </c>
      <c r="AN20" s="60">
        <v>88.04</v>
      </c>
      <c r="AO20" s="60"/>
      <c r="AP20" s="60">
        <v>1.1677</v>
      </c>
      <c r="AQ20" s="60">
        <v>87.55</v>
      </c>
      <c r="AR20" s="60"/>
      <c r="AS20" s="60">
        <v>1.1707</v>
      </c>
      <c r="AT20" s="60">
        <v>87.9</v>
      </c>
      <c r="AU20" s="60"/>
      <c r="AV20" s="60">
        <v>1.1665</v>
      </c>
      <c r="AW20" s="60">
        <v>88.63</v>
      </c>
      <c r="AX20" s="60"/>
      <c r="AY20" s="60">
        <v>1.1654</v>
      </c>
      <c r="AZ20" s="60">
        <v>88.44</v>
      </c>
      <c r="BA20" s="60"/>
      <c r="BB20" s="60">
        <v>1.1676</v>
      </c>
      <c r="BC20" s="60">
        <v>88.31</v>
      </c>
      <c r="BD20" s="60"/>
      <c r="BE20" s="60">
        <v>1.1683</v>
      </c>
      <c r="BF20" s="60">
        <v>88.04</v>
      </c>
      <c r="BG20" s="60"/>
      <c r="BH20" s="60">
        <v>1.1668</v>
      </c>
      <c r="BI20" s="60">
        <v>88.72</v>
      </c>
      <c r="BJ20" s="60"/>
      <c r="BK20" s="60">
        <v>1.1624</v>
      </c>
      <c r="BL20" s="60">
        <v>89.11</v>
      </c>
      <c r="BM20" s="60"/>
      <c r="BN20" s="60">
        <f t="shared" si="0"/>
        <v>1.1612047619047619</v>
      </c>
      <c r="BO20" s="54">
        <f t="shared" si="1"/>
        <v>88.98619047619047</v>
      </c>
      <c r="BP20" s="58"/>
      <c r="BQ20" s="58"/>
      <c r="BR20" s="58"/>
      <c r="BS20" s="61"/>
      <c r="BT20" s="61"/>
      <c r="BU20" s="61"/>
      <c r="BV20" s="61"/>
      <c r="BW20" s="61"/>
    </row>
    <row r="21" spans="1:75" ht="15.75" customHeight="1">
      <c r="A21" s="16">
        <v>9</v>
      </c>
      <c r="B21" s="17" t="s">
        <v>22</v>
      </c>
      <c r="C21" s="60">
        <v>8.0766</v>
      </c>
      <c r="D21" s="60">
        <v>12.9</v>
      </c>
      <c r="E21" s="60"/>
      <c r="F21" s="60">
        <v>8.04444</v>
      </c>
      <c r="G21" s="60">
        <v>13</v>
      </c>
      <c r="H21" s="60"/>
      <c r="I21" s="60">
        <v>8.04556</v>
      </c>
      <c r="J21" s="60">
        <v>13</v>
      </c>
      <c r="K21" s="60"/>
      <c r="L21" s="60">
        <v>7.9787</v>
      </c>
      <c r="M21" s="60">
        <v>13.06</v>
      </c>
      <c r="N21" s="60"/>
      <c r="O21" s="60">
        <v>8.0209</v>
      </c>
      <c r="P21" s="60">
        <v>13.02</v>
      </c>
      <c r="Q21" s="60"/>
      <c r="R21" s="60">
        <v>7.9985</v>
      </c>
      <c r="S21" s="60">
        <v>13.03</v>
      </c>
      <c r="T21" s="60"/>
      <c r="U21" s="60">
        <v>7.9785</v>
      </c>
      <c r="V21" s="60">
        <v>13.05</v>
      </c>
      <c r="W21" s="60"/>
      <c r="X21" s="60">
        <v>7.935</v>
      </c>
      <c r="Y21" s="60">
        <v>13.03</v>
      </c>
      <c r="Z21" s="60"/>
      <c r="AA21" s="60">
        <v>7.9249</v>
      </c>
      <c r="AB21" s="60">
        <v>12.98</v>
      </c>
      <c r="AC21" s="60"/>
      <c r="AD21" s="60">
        <v>7.8462</v>
      </c>
      <c r="AE21" s="60">
        <v>13.02</v>
      </c>
      <c r="AF21" s="60"/>
      <c r="AG21" s="60">
        <v>7.841</v>
      </c>
      <c r="AH21" s="60">
        <v>13.02</v>
      </c>
      <c r="AI21" s="60"/>
      <c r="AJ21" s="60">
        <v>7.9064</v>
      </c>
      <c r="AK21" s="60">
        <v>12.95</v>
      </c>
      <c r="AL21" s="60"/>
      <c r="AM21" s="60">
        <v>7.8618</v>
      </c>
      <c r="AN21" s="60">
        <v>12.98</v>
      </c>
      <c r="AO21" s="60"/>
      <c r="AP21" s="60">
        <v>7.842</v>
      </c>
      <c r="AQ21" s="60">
        <v>13.04</v>
      </c>
      <c r="AR21" s="60"/>
      <c r="AS21" s="60">
        <v>7.9243</v>
      </c>
      <c r="AT21" s="60">
        <v>12.99</v>
      </c>
      <c r="AU21" s="60"/>
      <c r="AV21" s="60">
        <v>7.953</v>
      </c>
      <c r="AW21" s="60">
        <v>13</v>
      </c>
      <c r="AX21" s="60"/>
      <c r="AY21" s="60">
        <v>7.9547</v>
      </c>
      <c r="AZ21" s="60">
        <v>12.96</v>
      </c>
      <c r="BA21" s="60"/>
      <c r="BB21" s="60">
        <v>7.9813</v>
      </c>
      <c r="BC21" s="60">
        <v>12.92</v>
      </c>
      <c r="BD21" s="60"/>
      <c r="BE21" s="60">
        <v>7.9269</v>
      </c>
      <c r="BF21" s="60">
        <v>12.98</v>
      </c>
      <c r="BG21" s="60"/>
      <c r="BH21" s="60">
        <v>7.9419</v>
      </c>
      <c r="BI21" s="60">
        <v>13.03</v>
      </c>
      <c r="BJ21" s="60"/>
      <c r="BK21" s="60">
        <v>7.9376</v>
      </c>
      <c r="BL21" s="60">
        <v>13.05</v>
      </c>
      <c r="BM21" s="60"/>
      <c r="BN21" s="60">
        <f t="shared" si="0"/>
        <v>7.9485809523809525</v>
      </c>
      <c r="BO21" s="54">
        <f t="shared" si="1"/>
        <v>13.00047619047619</v>
      </c>
      <c r="BP21" s="58"/>
      <c r="BQ21" s="58"/>
      <c r="BR21" s="58"/>
      <c r="BS21" s="61"/>
      <c r="BT21" s="61"/>
      <c r="BU21" s="61"/>
      <c r="BV21" s="61"/>
      <c r="BW21" s="61"/>
    </row>
    <row r="22" spans="1:75" ht="15.75" customHeight="1">
      <c r="A22" s="16">
        <v>10</v>
      </c>
      <c r="B22" s="17" t="s">
        <v>23</v>
      </c>
      <c r="C22" s="60">
        <v>6.7856</v>
      </c>
      <c r="D22" s="60">
        <v>15.35</v>
      </c>
      <c r="E22" s="60"/>
      <c r="F22" s="60">
        <v>6.7661</v>
      </c>
      <c r="G22" s="60">
        <v>15.46</v>
      </c>
      <c r="H22" s="60"/>
      <c r="I22" s="60">
        <v>6.7475</v>
      </c>
      <c r="J22" s="60">
        <v>15.5</v>
      </c>
      <c r="K22" s="60"/>
      <c r="L22" s="60">
        <v>6.7024</v>
      </c>
      <c r="M22" s="60">
        <v>15.55</v>
      </c>
      <c r="N22" s="60"/>
      <c r="O22" s="60">
        <v>6.7937</v>
      </c>
      <c r="P22" s="60">
        <v>15.37</v>
      </c>
      <c r="Q22" s="60"/>
      <c r="R22" s="60">
        <v>6.7429</v>
      </c>
      <c r="S22" s="60">
        <v>15.46</v>
      </c>
      <c r="T22" s="60"/>
      <c r="U22" s="60">
        <v>6.7167</v>
      </c>
      <c r="V22" s="60">
        <v>15.5</v>
      </c>
      <c r="W22" s="60"/>
      <c r="X22" s="60">
        <v>6.6812</v>
      </c>
      <c r="Y22" s="60">
        <v>15.48</v>
      </c>
      <c r="Z22" s="60"/>
      <c r="AA22" s="60">
        <v>6.6873</v>
      </c>
      <c r="AB22" s="60">
        <v>15.38</v>
      </c>
      <c r="AC22" s="60"/>
      <c r="AD22" s="60">
        <v>6.611</v>
      </c>
      <c r="AE22" s="60">
        <v>15.45</v>
      </c>
      <c r="AF22" s="60"/>
      <c r="AG22" s="60">
        <v>6.6367</v>
      </c>
      <c r="AH22" s="60">
        <v>15.39</v>
      </c>
      <c r="AI22" s="60"/>
      <c r="AJ22" s="60">
        <v>6.642</v>
      </c>
      <c r="AK22" s="60">
        <v>15.41</v>
      </c>
      <c r="AL22" s="60"/>
      <c r="AM22" s="60">
        <v>6.6656</v>
      </c>
      <c r="AN22" s="60">
        <v>15.3</v>
      </c>
      <c r="AO22" s="60"/>
      <c r="AP22" s="60">
        <v>6.709</v>
      </c>
      <c r="AQ22" s="60">
        <v>15.24</v>
      </c>
      <c r="AR22" s="60"/>
      <c r="AS22" s="60">
        <v>6.7743</v>
      </c>
      <c r="AT22" s="60">
        <v>15.19</v>
      </c>
      <c r="AU22" s="60"/>
      <c r="AV22" s="60">
        <v>6.7731</v>
      </c>
      <c r="AW22" s="60">
        <v>15.27</v>
      </c>
      <c r="AX22" s="60"/>
      <c r="AY22" s="60">
        <v>6.7775</v>
      </c>
      <c r="AZ22" s="60">
        <v>15.21</v>
      </c>
      <c r="BA22" s="60"/>
      <c r="BB22" s="60">
        <v>6.7628</v>
      </c>
      <c r="BC22" s="60">
        <v>15.25</v>
      </c>
      <c r="BD22" s="60"/>
      <c r="BE22" s="60">
        <v>6.746</v>
      </c>
      <c r="BF22" s="60">
        <v>15.25</v>
      </c>
      <c r="BG22" s="60"/>
      <c r="BH22" s="60">
        <v>6.7742</v>
      </c>
      <c r="BI22" s="60">
        <v>15.28</v>
      </c>
      <c r="BJ22" s="60"/>
      <c r="BK22" s="60">
        <v>6.7587</v>
      </c>
      <c r="BL22" s="60">
        <v>15.33</v>
      </c>
      <c r="BM22" s="60"/>
      <c r="BN22" s="60">
        <f t="shared" si="0"/>
        <v>6.726395238095238</v>
      </c>
      <c r="BO22" s="54">
        <f t="shared" si="1"/>
        <v>15.362857142857141</v>
      </c>
      <c r="BP22" s="58"/>
      <c r="BQ22" s="58"/>
      <c r="BR22" s="58"/>
      <c r="BS22" s="61"/>
      <c r="BT22" s="61"/>
      <c r="BU22" s="61"/>
      <c r="BV22" s="61"/>
      <c r="BW22" s="61"/>
    </row>
    <row r="23" spans="1:75" ht="15.75" customHeight="1">
      <c r="A23" s="16">
        <v>11</v>
      </c>
      <c r="B23" s="17" t="s">
        <v>24</v>
      </c>
      <c r="C23" s="60">
        <v>6.3262</v>
      </c>
      <c r="D23" s="60">
        <v>16.47</v>
      </c>
      <c r="E23" s="60"/>
      <c r="F23" s="60">
        <v>6.3636</v>
      </c>
      <c r="G23" s="60">
        <v>16.44</v>
      </c>
      <c r="H23" s="60"/>
      <c r="I23" s="60">
        <v>6.3697</v>
      </c>
      <c r="J23" s="60">
        <v>16.42</v>
      </c>
      <c r="K23" s="60"/>
      <c r="L23" s="60">
        <v>6.3321</v>
      </c>
      <c r="M23" s="60">
        <v>16.45</v>
      </c>
      <c r="N23" s="60"/>
      <c r="O23" s="60">
        <v>6.352</v>
      </c>
      <c r="P23" s="60">
        <v>16.44</v>
      </c>
      <c r="Q23" s="60"/>
      <c r="R23" s="60">
        <v>6.3315</v>
      </c>
      <c r="S23" s="60">
        <v>16.46</v>
      </c>
      <c r="T23" s="60"/>
      <c r="U23" s="60">
        <v>6.318</v>
      </c>
      <c r="V23" s="60">
        <v>16.48</v>
      </c>
      <c r="W23" s="60"/>
      <c r="X23" s="60">
        <v>6.267</v>
      </c>
      <c r="Y23" s="60">
        <v>16.5</v>
      </c>
      <c r="Z23" s="60"/>
      <c r="AA23" s="60">
        <v>6.2552</v>
      </c>
      <c r="AB23" s="60">
        <v>16.44</v>
      </c>
      <c r="AC23" s="60"/>
      <c r="AD23" s="60">
        <v>6.1974</v>
      </c>
      <c r="AE23" s="60">
        <v>16.48</v>
      </c>
      <c r="AF23" s="60"/>
      <c r="AG23" s="60">
        <v>6.2011</v>
      </c>
      <c r="AH23" s="60">
        <v>16.47</v>
      </c>
      <c r="AI23" s="60"/>
      <c r="AJ23" s="60">
        <v>6.2091</v>
      </c>
      <c r="AK23" s="60">
        <v>16.48</v>
      </c>
      <c r="AL23" s="60"/>
      <c r="AM23" s="60">
        <v>6.2087</v>
      </c>
      <c r="AN23" s="60">
        <v>16.43</v>
      </c>
      <c r="AO23" s="60"/>
      <c r="AP23" s="60">
        <v>6.2251</v>
      </c>
      <c r="AQ23" s="60">
        <v>16.42</v>
      </c>
      <c r="AR23" s="60"/>
      <c r="AS23" s="60">
        <v>6.2724</v>
      </c>
      <c r="AT23" s="60">
        <v>16.41</v>
      </c>
      <c r="AU23" s="60"/>
      <c r="AV23" s="60">
        <v>6.3067</v>
      </c>
      <c r="AW23" s="60">
        <v>16.39</v>
      </c>
      <c r="AX23" s="60"/>
      <c r="AY23" s="60">
        <v>6.2803</v>
      </c>
      <c r="AZ23" s="60">
        <v>16.41</v>
      </c>
      <c r="BA23" s="60"/>
      <c r="BB23" s="60">
        <v>6.2875</v>
      </c>
      <c r="BC23" s="60">
        <v>16.4</v>
      </c>
      <c r="BD23" s="60"/>
      <c r="BE23" s="60">
        <v>6.2647</v>
      </c>
      <c r="BF23" s="60">
        <v>16.42</v>
      </c>
      <c r="BG23" s="60"/>
      <c r="BH23" s="60">
        <v>6.2963</v>
      </c>
      <c r="BI23" s="60">
        <v>16.44</v>
      </c>
      <c r="BJ23" s="60"/>
      <c r="BK23" s="60">
        <v>6.3</v>
      </c>
      <c r="BL23" s="60">
        <v>16.44</v>
      </c>
      <c r="BM23" s="60"/>
      <c r="BN23" s="60">
        <f t="shared" si="0"/>
        <v>6.284028571428572</v>
      </c>
      <c r="BO23" s="54">
        <f t="shared" si="1"/>
        <v>16.442380952380955</v>
      </c>
      <c r="BP23" s="58"/>
      <c r="BQ23" s="58"/>
      <c r="BR23" s="58"/>
      <c r="BS23" s="61"/>
      <c r="BT23" s="61"/>
      <c r="BU23" s="61"/>
      <c r="BV23" s="61"/>
      <c r="BW23" s="61"/>
    </row>
    <row r="24" spans="1:75" ht="15.75" customHeight="1">
      <c r="A24" s="16">
        <v>12</v>
      </c>
      <c r="B24" s="17" t="s">
        <v>25</v>
      </c>
      <c r="C24" s="60">
        <f>1/1.42414</f>
        <v>0.7021781566419032</v>
      </c>
      <c r="D24" s="60">
        <v>148.38</v>
      </c>
      <c r="E24" s="60"/>
      <c r="F24" s="60">
        <f>1/1.42312</f>
        <v>0.7026814323458317</v>
      </c>
      <c r="G24" s="60">
        <v>148.86</v>
      </c>
      <c r="H24" s="60"/>
      <c r="I24" s="60">
        <f>1/1.41908</f>
        <v>0.7046819065873665</v>
      </c>
      <c r="J24" s="60">
        <v>148.45</v>
      </c>
      <c r="K24" s="60"/>
      <c r="L24" s="60">
        <f>1/1.42151</f>
        <v>0.7034772882357493</v>
      </c>
      <c r="M24" s="60">
        <v>148.11</v>
      </c>
      <c r="N24" s="60"/>
      <c r="O24" s="60">
        <f>1/1.42243</f>
        <v>0.7030222928369059</v>
      </c>
      <c r="P24" s="60">
        <v>148.57</v>
      </c>
      <c r="Q24" s="60"/>
      <c r="R24" s="60">
        <f>1/1.41986</f>
        <v>0.7042947896271464</v>
      </c>
      <c r="S24" s="60">
        <v>147.97</v>
      </c>
      <c r="T24" s="60"/>
      <c r="U24" s="60">
        <f>1/1.42479</f>
        <v>0.7018578176433018</v>
      </c>
      <c r="V24" s="60">
        <v>148.37</v>
      </c>
      <c r="W24" s="60"/>
      <c r="X24" s="60">
        <f>1/1.42645</f>
        <v>0.7010410459532406</v>
      </c>
      <c r="Y24" s="60">
        <v>147.52</v>
      </c>
      <c r="Z24" s="60"/>
      <c r="AA24" s="60">
        <f>1/1.43082</f>
        <v>0.6988999315078067</v>
      </c>
      <c r="AB24" s="60">
        <v>147.18</v>
      </c>
      <c r="AC24" s="60"/>
      <c r="AD24" s="60">
        <f>1/1.43294</f>
        <v>0.6978659259982971</v>
      </c>
      <c r="AE24" s="60">
        <v>146.34</v>
      </c>
      <c r="AF24" s="60"/>
      <c r="AG24" s="60">
        <f>1/1.44036</f>
        <v>0.6942708767252631</v>
      </c>
      <c r="AH24" s="60">
        <v>147.08</v>
      </c>
      <c r="AI24" s="60"/>
      <c r="AJ24" s="60">
        <f>1/1.44421</f>
        <v>0.6924200774125646</v>
      </c>
      <c r="AK24" s="60">
        <v>147.82</v>
      </c>
      <c r="AL24" s="60"/>
      <c r="AM24" s="60">
        <f>1/1.44238</f>
        <v>0.693298575964725</v>
      </c>
      <c r="AN24" s="60">
        <v>147.14</v>
      </c>
      <c r="AO24" s="60"/>
      <c r="AP24" s="60">
        <f>1/1.44347</f>
        <v>0.6927750490138347</v>
      </c>
      <c r="AQ24" s="60">
        <v>147.57</v>
      </c>
      <c r="AR24" s="60"/>
      <c r="AS24" s="60">
        <f>1/1.44099</f>
        <v>0.6939673418968904</v>
      </c>
      <c r="AT24" s="60">
        <v>148.29</v>
      </c>
      <c r="AU24" s="60"/>
      <c r="AV24" s="60">
        <f>1/1.43423</f>
        <v>0.6972382393339981</v>
      </c>
      <c r="AW24" s="60">
        <v>148.29</v>
      </c>
      <c r="AX24" s="60"/>
      <c r="AY24" s="60">
        <f>1/1.43084</f>
        <v>0.6988901624220738</v>
      </c>
      <c r="AZ24" s="60">
        <v>147.47</v>
      </c>
      <c r="BA24" s="60"/>
      <c r="BB24" s="60">
        <f>1/1.43233</f>
        <v>0.6981631327976094</v>
      </c>
      <c r="BC24" s="60">
        <v>147.7</v>
      </c>
      <c r="BD24" s="60"/>
      <c r="BE24" s="60">
        <f>1/1.43174</f>
        <v>0.6984508360456507</v>
      </c>
      <c r="BF24" s="60">
        <v>147.26</v>
      </c>
      <c r="BG24" s="60"/>
      <c r="BH24" s="60">
        <f>1/1.43472</f>
        <v>0.6970001115200178</v>
      </c>
      <c r="BI24" s="60">
        <v>148.53</v>
      </c>
      <c r="BJ24" s="60"/>
      <c r="BK24" s="60">
        <f>1/1.4291</f>
        <v>0.699741095794556</v>
      </c>
      <c r="BL24" s="60">
        <v>148.03</v>
      </c>
      <c r="BM24" s="60"/>
      <c r="BN24" s="58">
        <f>(+C24+F24+I24+L24+O24+R24+U24+X24+AA24+AD24+AG24+AJ24+AM24+AP24+AS24+AV24+AY24+BB24+BE24+BH24+BK24)/21</f>
        <v>0.6988674326811778</v>
      </c>
      <c r="BO24" s="53">
        <f t="shared" si="1"/>
        <v>147.85380952380953</v>
      </c>
      <c r="BP24" s="58"/>
      <c r="BQ24" s="58"/>
      <c r="BR24" s="58"/>
      <c r="BS24" s="61"/>
      <c r="BT24" s="61"/>
      <c r="BU24" s="61"/>
      <c r="BV24" s="61"/>
      <c r="BW24" s="61"/>
    </row>
    <row r="25" spans="1:75" ht="15.75" customHeight="1" thickBot="1">
      <c r="A25" s="35">
        <v>13</v>
      </c>
      <c r="B25" s="36" t="s">
        <v>26</v>
      </c>
      <c r="C25" s="62">
        <v>1</v>
      </c>
      <c r="D25" s="62">
        <v>104.19</v>
      </c>
      <c r="E25" s="62"/>
      <c r="F25" s="62">
        <v>1</v>
      </c>
      <c r="G25" s="62">
        <v>104.6</v>
      </c>
      <c r="H25" s="62"/>
      <c r="I25" s="62">
        <v>1</v>
      </c>
      <c r="J25" s="62">
        <v>104.61</v>
      </c>
      <c r="K25" s="62"/>
      <c r="L25" s="62">
        <v>1</v>
      </c>
      <c r="M25" s="62">
        <v>104.19</v>
      </c>
      <c r="N25" s="62"/>
      <c r="O25" s="62">
        <v>1</v>
      </c>
      <c r="P25" s="62">
        <v>104.45</v>
      </c>
      <c r="Q25" s="62"/>
      <c r="R25" s="62">
        <v>1</v>
      </c>
      <c r="S25" s="62">
        <v>104.21</v>
      </c>
      <c r="T25" s="62"/>
      <c r="U25" s="62">
        <v>1</v>
      </c>
      <c r="V25" s="62">
        <v>104.13</v>
      </c>
      <c r="W25" s="62"/>
      <c r="X25" s="62">
        <v>1</v>
      </c>
      <c r="Y25" s="62">
        <v>103.42</v>
      </c>
      <c r="Z25" s="62"/>
      <c r="AA25" s="62">
        <v>1</v>
      </c>
      <c r="AB25" s="62">
        <v>102.87</v>
      </c>
      <c r="AC25" s="62"/>
      <c r="AD25" s="62">
        <v>1</v>
      </c>
      <c r="AE25" s="62">
        <v>102.13</v>
      </c>
      <c r="AF25" s="62"/>
      <c r="AG25" s="62">
        <v>1</v>
      </c>
      <c r="AH25" s="62">
        <v>102.12</v>
      </c>
      <c r="AI25" s="62"/>
      <c r="AJ25" s="62">
        <v>1</v>
      </c>
      <c r="AK25" s="62">
        <v>102.35</v>
      </c>
      <c r="AL25" s="62"/>
      <c r="AM25" s="62">
        <v>1</v>
      </c>
      <c r="AN25" s="62">
        <v>102.01</v>
      </c>
      <c r="AO25" s="62"/>
      <c r="AP25" s="62">
        <v>1</v>
      </c>
      <c r="AQ25" s="62">
        <v>102.23</v>
      </c>
      <c r="AR25" s="62"/>
      <c r="AS25" s="62">
        <v>1</v>
      </c>
      <c r="AT25" s="62">
        <v>102.91</v>
      </c>
      <c r="AU25" s="62"/>
      <c r="AV25" s="62">
        <v>1</v>
      </c>
      <c r="AW25" s="62">
        <v>103.39</v>
      </c>
      <c r="AX25" s="62"/>
      <c r="AY25" s="62">
        <v>1</v>
      </c>
      <c r="AZ25" s="62">
        <v>103.06</v>
      </c>
      <c r="BA25" s="62"/>
      <c r="BB25" s="62">
        <v>1</v>
      </c>
      <c r="BC25" s="62">
        <v>103.12</v>
      </c>
      <c r="BD25" s="62"/>
      <c r="BE25" s="62">
        <v>1</v>
      </c>
      <c r="BF25" s="62">
        <v>102.85</v>
      </c>
      <c r="BG25" s="62"/>
      <c r="BH25" s="62">
        <v>1</v>
      </c>
      <c r="BI25" s="62">
        <v>103.52</v>
      </c>
      <c r="BJ25" s="62"/>
      <c r="BK25" s="62">
        <v>1</v>
      </c>
      <c r="BL25" s="62">
        <v>103.58</v>
      </c>
      <c r="BM25" s="62"/>
      <c r="BN25" s="62">
        <f>(+C25+F25+I25+L25+O25+R25+U25+X25+AA25+AD25+AG25+AJ25+AM25+AP25+AS25+AV25+AY25+BB25+BE25+BH25+BK25)/21</f>
        <v>1</v>
      </c>
      <c r="BO25" s="55">
        <f>(+D25+G25+J25+M25+P25+S25+V25+Y25+AB25+AE25+AH25+AK25+AN25+AQ25+AT25+AW25+AZ25+BC25+BF25+BI25+BL25)/21</f>
        <v>103.33047619047619</v>
      </c>
      <c r="BP25" s="58"/>
      <c r="BQ25" s="58"/>
      <c r="BR25" s="58"/>
      <c r="BS25" s="61"/>
      <c r="BT25" s="61"/>
      <c r="BU25" s="61"/>
      <c r="BV25" s="61"/>
      <c r="BW25" s="61"/>
    </row>
    <row r="26" spans="1:70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9"/>
      <c r="BH26" s="9"/>
      <c r="BI26" s="31"/>
      <c r="BJ26" s="9"/>
      <c r="BK26" s="9"/>
      <c r="BL26" s="31"/>
      <c r="BM26" s="9"/>
      <c r="BN26" s="31"/>
      <c r="BO26" s="32"/>
      <c r="BP26" s="32"/>
      <c r="BQ26" s="31"/>
      <c r="BR26" s="32"/>
    </row>
    <row r="27" spans="1:70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H27" s="61"/>
      <c r="BP27" s="40"/>
      <c r="BQ27" s="40"/>
      <c r="BR27" s="40"/>
    </row>
    <row r="28" spans="1:61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H28" s="61"/>
      <c r="BI28" s="63"/>
    </row>
    <row r="29" spans="1:61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H29" s="61"/>
      <c r="BI29" s="63"/>
    </row>
    <row r="30" spans="1:61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H30" s="61"/>
      <c r="BI30" s="63"/>
    </row>
    <row r="31" spans="1:61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H31" s="61"/>
      <c r="BI31" s="63"/>
    </row>
    <row r="32" spans="1:61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H32" s="61"/>
      <c r="BI32" s="63"/>
    </row>
    <row r="33" spans="1:61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H33" s="61"/>
      <c r="BI33" s="63"/>
    </row>
    <row r="34" spans="1:61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  <c r="BH34" s="61"/>
      <c r="BI34" s="63"/>
    </row>
    <row r="35" spans="1:61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  <c r="BH35" s="61"/>
      <c r="BI35" s="63"/>
    </row>
    <row r="36" spans="1:61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  <c r="BH36" s="61"/>
      <c r="BI36" s="63"/>
    </row>
    <row r="37" spans="1:61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H37" s="61"/>
      <c r="BI37" s="63"/>
    </row>
    <row r="38" spans="1:61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H38" s="61"/>
      <c r="BI38" s="63"/>
    </row>
    <row r="39" spans="1:61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H39" s="61"/>
      <c r="BI39" s="63"/>
    </row>
    <row r="40" spans="1:61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I40" s="63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&amp;L&amp;"Helv,Bold"&amp;11BANKA E SHQIPERISE
Sektori i Statistikave Financiare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1" sqref="C11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47</v>
      </c>
      <c r="D4" s="4"/>
      <c r="E4" s="10"/>
      <c r="F4" s="4" t="s">
        <v>48</v>
      </c>
      <c r="G4" s="4"/>
      <c r="H4" s="10"/>
      <c r="I4" s="4" t="s">
        <v>49</v>
      </c>
      <c r="J4" s="4"/>
      <c r="K4" s="10"/>
      <c r="L4" s="4" t="s">
        <v>50</v>
      </c>
      <c r="M4" s="4"/>
      <c r="N4" s="10"/>
      <c r="O4" s="4" t="s">
        <v>51</v>
      </c>
      <c r="P4" s="4"/>
      <c r="Q4" s="10"/>
      <c r="R4" s="4" t="s">
        <v>52</v>
      </c>
      <c r="S4" s="4"/>
      <c r="T4" s="10"/>
      <c r="U4" s="4" t="s">
        <v>53</v>
      </c>
      <c r="V4" s="4"/>
      <c r="W4" s="10"/>
      <c r="X4" s="4" t="s">
        <v>54</v>
      </c>
      <c r="Y4" s="4"/>
      <c r="Z4" s="10"/>
      <c r="AA4" s="4" t="s">
        <v>55</v>
      </c>
      <c r="AB4" s="4"/>
      <c r="AC4" s="10"/>
      <c r="AD4" s="4" t="s">
        <v>56</v>
      </c>
      <c r="AE4" s="4"/>
      <c r="AF4" s="10"/>
      <c r="AG4" s="4" t="s">
        <v>57</v>
      </c>
      <c r="AH4" s="4"/>
      <c r="AI4" s="10"/>
      <c r="AJ4" s="4" t="s">
        <v>58</v>
      </c>
      <c r="AK4" s="4"/>
      <c r="AL4" s="10"/>
      <c r="AM4" s="4" t="s">
        <v>59</v>
      </c>
      <c r="AN4" s="4"/>
      <c r="AO4" s="10"/>
      <c r="AP4" s="4" t="s">
        <v>60</v>
      </c>
      <c r="AQ4" s="4"/>
      <c r="AR4" s="10"/>
      <c r="AS4" s="4" t="s">
        <v>61</v>
      </c>
      <c r="AT4" s="4"/>
      <c r="AU4" s="10"/>
      <c r="AV4" s="4" t="s">
        <v>62</v>
      </c>
      <c r="AW4" s="4"/>
      <c r="AX4" s="10"/>
      <c r="AY4" s="4" t="s">
        <v>63</v>
      </c>
      <c r="AZ4" s="4"/>
      <c r="BA4" s="10"/>
      <c r="BB4" s="4" t="s">
        <v>64</v>
      </c>
      <c r="BC4" s="4"/>
      <c r="BD4" s="10"/>
      <c r="BE4" s="4" t="s">
        <v>65</v>
      </c>
      <c r="BF4" s="4"/>
      <c r="BG4" s="10"/>
      <c r="BH4" s="4" t="s">
        <v>66</v>
      </c>
      <c r="BI4" s="4"/>
      <c r="BJ4" s="26"/>
      <c r="BK4" s="4" t="s">
        <v>3</v>
      </c>
      <c r="BL4" s="4"/>
      <c r="BM4" s="26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ht="15.75" customHeight="1">
      <c r="A13" s="16">
        <v>1</v>
      </c>
      <c r="B13" s="17" t="s">
        <v>14</v>
      </c>
      <c r="C13" s="27">
        <v>103.93</v>
      </c>
      <c r="D13" s="19">
        <v>93.13</v>
      </c>
      <c r="E13" s="5"/>
      <c r="F13" s="27">
        <v>103.58</v>
      </c>
      <c r="G13" s="19">
        <v>93.16</v>
      </c>
      <c r="H13" s="5"/>
      <c r="I13" s="27">
        <v>103.94</v>
      </c>
      <c r="J13" s="19">
        <v>93.05</v>
      </c>
      <c r="K13" s="5"/>
      <c r="L13" s="27">
        <v>103.99</v>
      </c>
      <c r="M13" s="19">
        <v>93.25</v>
      </c>
      <c r="N13" s="5"/>
      <c r="O13" s="27">
        <v>104.54</v>
      </c>
      <c r="P13" s="19">
        <v>93.74</v>
      </c>
      <c r="Q13" s="5"/>
      <c r="R13" s="27">
        <v>105.67</v>
      </c>
      <c r="S13" s="19">
        <v>93.64</v>
      </c>
      <c r="T13" s="5"/>
      <c r="U13" s="27">
        <v>105.49</v>
      </c>
      <c r="V13" s="19">
        <v>93.95</v>
      </c>
      <c r="W13" s="5"/>
      <c r="X13" s="27">
        <v>105.91</v>
      </c>
      <c r="Y13" s="19">
        <v>93.49</v>
      </c>
      <c r="Z13" s="5"/>
      <c r="AA13" s="27">
        <v>105.72</v>
      </c>
      <c r="AB13" s="19">
        <v>93.29</v>
      </c>
      <c r="AC13" s="5"/>
      <c r="AD13" s="27">
        <v>104.76</v>
      </c>
      <c r="AE13" s="19">
        <v>93.56</v>
      </c>
      <c r="AF13" s="5"/>
      <c r="AG13" s="27">
        <v>104.92</v>
      </c>
      <c r="AH13" s="19">
        <v>93.28</v>
      </c>
      <c r="AI13" s="5"/>
      <c r="AJ13" s="27">
        <v>105.14</v>
      </c>
      <c r="AK13" s="19">
        <v>92.73</v>
      </c>
      <c r="AL13" s="5"/>
      <c r="AM13" s="27">
        <v>105.35</v>
      </c>
      <c r="AN13" s="19">
        <v>92.25</v>
      </c>
      <c r="AO13" s="5"/>
      <c r="AP13" s="27">
        <v>105.37</v>
      </c>
      <c r="AQ13" s="19">
        <v>92.21</v>
      </c>
      <c r="AR13" s="5"/>
      <c r="AS13" s="27">
        <v>105.5</v>
      </c>
      <c r="AT13" s="19">
        <v>92.14</v>
      </c>
      <c r="AU13" s="5"/>
      <c r="AV13" s="27">
        <v>104.02</v>
      </c>
      <c r="AW13" s="19">
        <v>92.76</v>
      </c>
      <c r="AX13" s="5"/>
      <c r="AY13" s="27">
        <v>104.76</v>
      </c>
      <c r="AZ13" s="19">
        <v>91.77</v>
      </c>
      <c r="BA13" s="5"/>
      <c r="BB13" s="27">
        <v>104.88</v>
      </c>
      <c r="BC13" s="19">
        <v>91.56</v>
      </c>
      <c r="BD13" s="5"/>
      <c r="BE13" s="27">
        <v>105.4</v>
      </c>
      <c r="BF13" s="19">
        <v>91.39</v>
      </c>
      <c r="BG13" s="5"/>
      <c r="BH13" s="27">
        <v>104.33</v>
      </c>
      <c r="BI13" s="19">
        <v>92.02</v>
      </c>
      <c r="BJ13" s="5"/>
      <c r="BK13" s="27">
        <f>(+C13+F13+I13+L13+O13+R13+U13+X13+AA13+AD13+AG13+AJ13+AM13+AP13+AS13+AV13+AY13+BB13+BE13+BH13)/20</f>
        <v>104.85999999999999</v>
      </c>
      <c r="BL13" s="19">
        <f>(+D13+G13+J13+M13+P13+S13+V13+Y13+AB13+AE13+AH13+AK13+AN13+AQ13+AT13+AW13+AZ13+BC13+BF13+BI13)/20</f>
        <v>92.8185</v>
      </c>
      <c r="BM13" s="5"/>
    </row>
    <row r="14" spans="1:65" ht="15.75" customHeight="1">
      <c r="A14" s="16">
        <v>2</v>
      </c>
      <c r="B14" s="17" t="s">
        <v>15</v>
      </c>
      <c r="C14" s="27">
        <f>1/1.8799</f>
        <v>0.5319431884674717</v>
      </c>
      <c r="D14" s="19">
        <v>181.95</v>
      </c>
      <c r="E14" s="5"/>
      <c r="F14" s="27">
        <f>1/1.8849</f>
        <v>0.5305321237200913</v>
      </c>
      <c r="G14" s="19">
        <v>181.89</v>
      </c>
      <c r="H14" s="5"/>
      <c r="I14" s="27">
        <f>1/1.8898</f>
        <v>0.5291565244999471</v>
      </c>
      <c r="J14" s="19">
        <v>182.78</v>
      </c>
      <c r="K14" s="5"/>
      <c r="L14" s="27">
        <f>1/1.8838</f>
        <v>0.5308419152776304</v>
      </c>
      <c r="M14" s="19">
        <v>182.67</v>
      </c>
      <c r="N14" s="5"/>
      <c r="O14" s="27">
        <f>1/1.8689</f>
        <v>0.5350741077639253</v>
      </c>
      <c r="P14" s="19">
        <v>183.14</v>
      </c>
      <c r="Q14" s="5"/>
      <c r="R14" s="27">
        <f>1/1.8548</f>
        <v>0.5391416864351952</v>
      </c>
      <c r="S14" s="19">
        <v>183.53</v>
      </c>
      <c r="T14" s="5"/>
      <c r="U14" s="27">
        <f>1/1.8627</f>
        <v>0.5368551028077522</v>
      </c>
      <c r="V14" s="19">
        <v>184.6</v>
      </c>
      <c r="W14" s="5"/>
      <c r="X14" s="27">
        <f>1/1.8601</f>
        <v>0.537605505080372</v>
      </c>
      <c r="Y14" s="19">
        <v>184.18</v>
      </c>
      <c r="Z14" s="5"/>
      <c r="AA14" s="27">
        <f>1/1.8671</f>
        <v>0.5355899523324943</v>
      </c>
      <c r="AB14" s="19">
        <v>184.15</v>
      </c>
      <c r="AC14" s="5"/>
      <c r="AD14" s="27">
        <f>1/1.8851</f>
        <v>0.5304758368256326</v>
      </c>
      <c r="AE14" s="19">
        <v>184.77</v>
      </c>
      <c r="AF14" s="5"/>
      <c r="AG14" s="27">
        <f>1/1.8876</f>
        <v>0.5297732570459843</v>
      </c>
      <c r="AH14" s="19">
        <v>184.73</v>
      </c>
      <c r="AI14" s="5"/>
      <c r="AJ14" s="27">
        <f>1/1.8876</f>
        <v>0.5297732570459843</v>
      </c>
      <c r="AK14" s="19">
        <v>184.04</v>
      </c>
      <c r="AL14" s="5"/>
      <c r="AM14" s="27">
        <f>1/1.8893</f>
        <v>0.5292965648652941</v>
      </c>
      <c r="AN14" s="19">
        <v>183.61</v>
      </c>
      <c r="AO14" s="5"/>
      <c r="AP14" s="27">
        <f>1/1.8948</f>
        <v>0.5277601857715853</v>
      </c>
      <c r="AQ14" s="19">
        <v>184.11</v>
      </c>
      <c r="AR14" s="5"/>
      <c r="AS14" s="27">
        <f>1/1.8954</f>
        <v>0.5275931201857128</v>
      </c>
      <c r="AT14" s="19">
        <v>184.25</v>
      </c>
      <c r="AU14" s="5"/>
      <c r="AV14" s="27">
        <f>1/1.9096</f>
        <v>0.5236698785085881</v>
      </c>
      <c r="AW14" s="19">
        <v>184.26</v>
      </c>
      <c r="AX14" s="5"/>
      <c r="AY14" s="27">
        <f>1/1.9086</f>
        <v>0.523944252331552</v>
      </c>
      <c r="AZ14" s="19">
        <v>183.49</v>
      </c>
      <c r="BA14" s="5"/>
      <c r="BB14" s="27">
        <f>1/1.9065</f>
        <v>0.5245213742460005</v>
      </c>
      <c r="BC14" s="19">
        <v>183.07</v>
      </c>
      <c r="BD14" s="5"/>
      <c r="BE14" s="27">
        <f>1/1.9079</f>
        <v>0.5241364851407306</v>
      </c>
      <c r="BF14" s="19">
        <v>183.78</v>
      </c>
      <c r="BG14" s="5"/>
      <c r="BH14" s="27">
        <f>1/1.924</f>
        <v>0.5197505197505198</v>
      </c>
      <c r="BI14" s="19">
        <v>184.72</v>
      </c>
      <c r="BJ14" s="5"/>
      <c r="BK14" s="27">
        <f aca="true" t="shared" si="0" ref="BK14:BK25">(+C14+F14+I14+L14+O14+R14+U14+X14+AA14+AD14+AG14+AJ14+AM14+AP14+AS14+AV14+AY14+BB14+BE14+BH14)/20</f>
        <v>0.5298717419051231</v>
      </c>
      <c r="BL14" s="19">
        <f aca="true" t="shared" si="1" ref="BL14:BL25">(+D14+G14+J14+M14+P14+S14+V14+Y14+AB14+AE14+AH14+AK14+AN14+AQ14+AT14+AW14+AZ14+BC14+BF14+BI14)/20</f>
        <v>183.68600000000004</v>
      </c>
      <c r="BM14" s="5"/>
    </row>
    <row r="15" spans="1:65" ht="15.75" customHeight="1">
      <c r="A15" s="16">
        <v>3</v>
      </c>
      <c r="B15" s="17" t="s">
        <v>16</v>
      </c>
      <c r="C15" s="27">
        <v>1.1913</v>
      </c>
      <c r="D15" s="19">
        <v>81.25</v>
      </c>
      <c r="E15" s="5"/>
      <c r="F15" s="27">
        <v>1.1873</v>
      </c>
      <c r="G15" s="19">
        <v>81.28</v>
      </c>
      <c r="H15" s="5"/>
      <c r="I15" s="27">
        <v>1.1938</v>
      </c>
      <c r="J15" s="19">
        <v>81.02</v>
      </c>
      <c r="K15" s="5"/>
      <c r="L15" s="27">
        <v>1.2022</v>
      </c>
      <c r="M15" s="19">
        <v>80.66</v>
      </c>
      <c r="N15" s="5"/>
      <c r="O15" s="27">
        <v>1.2127</v>
      </c>
      <c r="P15" s="19">
        <v>80.8</v>
      </c>
      <c r="Q15" s="5"/>
      <c r="R15" s="27">
        <v>1.2235</v>
      </c>
      <c r="S15" s="19">
        <v>80.87</v>
      </c>
      <c r="T15" s="5"/>
      <c r="U15" s="27">
        <v>1.2183</v>
      </c>
      <c r="V15" s="19">
        <v>81.35</v>
      </c>
      <c r="W15" s="5"/>
      <c r="X15" s="27">
        <v>1.2166</v>
      </c>
      <c r="Y15" s="19">
        <v>81.39</v>
      </c>
      <c r="Z15" s="5"/>
      <c r="AA15" s="27">
        <v>1.2087</v>
      </c>
      <c r="AB15" s="19">
        <v>81.6</v>
      </c>
      <c r="AC15" s="5"/>
      <c r="AD15" s="27">
        <v>1.1979</v>
      </c>
      <c r="AE15" s="19">
        <v>81.82</v>
      </c>
      <c r="AF15" s="5"/>
      <c r="AG15" s="27">
        <v>1.1953</v>
      </c>
      <c r="AH15" s="19">
        <v>81.87</v>
      </c>
      <c r="AI15" s="5"/>
      <c r="AJ15" s="27">
        <v>1.188</v>
      </c>
      <c r="AK15" s="19">
        <v>82.07</v>
      </c>
      <c r="AL15" s="5"/>
      <c r="AM15" s="27">
        <v>1.186</v>
      </c>
      <c r="AN15" s="19">
        <v>81.94</v>
      </c>
      <c r="AO15" s="5"/>
      <c r="AP15" s="27">
        <v>1.1849</v>
      </c>
      <c r="AQ15" s="19">
        <v>82</v>
      </c>
      <c r="AR15" s="5"/>
      <c r="AS15" s="27">
        <v>1.183</v>
      </c>
      <c r="AT15" s="19">
        <v>82.17</v>
      </c>
      <c r="AU15" s="5"/>
      <c r="AV15" s="27">
        <v>1.1679</v>
      </c>
      <c r="AW15" s="19">
        <v>82.62</v>
      </c>
      <c r="AX15" s="5"/>
      <c r="AY15" s="27">
        <v>1.1643</v>
      </c>
      <c r="AZ15" s="19">
        <v>82.57</v>
      </c>
      <c r="BA15" s="5"/>
      <c r="BB15" s="27">
        <v>1.1618</v>
      </c>
      <c r="BC15" s="19">
        <v>82.65</v>
      </c>
      <c r="BD15" s="5"/>
      <c r="BE15" s="27">
        <v>1.1725</v>
      </c>
      <c r="BF15" s="19">
        <v>82.15</v>
      </c>
      <c r="BG15" s="5"/>
      <c r="BH15" s="27">
        <v>1.1611</v>
      </c>
      <c r="BI15" s="19">
        <v>82.69</v>
      </c>
      <c r="BJ15" s="5"/>
      <c r="BK15" s="27">
        <f t="shared" si="0"/>
        <v>1.190855</v>
      </c>
      <c r="BL15" s="19">
        <f t="shared" si="1"/>
        <v>81.73850000000002</v>
      </c>
      <c r="BM15" s="5"/>
    </row>
    <row r="16" spans="1:65" ht="15.75" customHeight="1">
      <c r="A16" s="16">
        <v>4</v>
      </c>
      <c r="B16" s="17" t="s">
        <v>17</v>
      </c>
      <c r="C16" s="27">
        <f>1/1.3026</f>
        <v>0.7676953784738216</v>
      </c>
      <c r="D16" s="19">
        <v>126.08</v>
      </c>
      <c r="E16" s="5"/>
      <c r="F16" s="27">
        <f>1/1.3071</f>
        <v>0.7650524060898172</v>
      </c>
      <c r="G16" s="19">
        <v>126.13</v>
      </c>
      <c r="H16" s="5"/>
      <c r="I16" s="27">
        <f>1/1.303</f>
        <v>0.7674597083653109</v>
      </c>
      <c r="J16" s="19">
        <v>126.02</v>
      </c>
      <c r="K16" s="5"/>
      <c r="L16" s="27">
        <f>1/1.2964</f>
        <v>0.771366862079605</v>
      </c>
      <c r="M16" s="19">
        <v>125.71</v>
      </c>
      <c r="N16" s="5"/>
      <c r="O16" s="27">
        <f>1/1.285</f>
        <v>0.7782101167315175</v>
      </c>
      <c r="P16" s="19">
        <v>125.92</v>
      </c>
      <c r="Q16" s="5"/>
      <c r="R16" s="27">
        <f>1/1.2743</f>
        <v>0.784744565643883</v>
      </c>
      <c r="S16" s="19">
        <v>126.09</v>
      </c>
      <c r="T16" s="5"/>
      <c r="U16" s="27">
        <f>1/1.2787</f>
        <v>0.7820442637053258</v>
      </c>
      <c r="V16" s="19">
        <v>126.73</v>
      </c>
      <c r="W16" s="5"/>
      <c r="X16" s="27">
        <f>1/1.2791</f>
        <v>0.781799702916113</v>
      </c>
      <c r="Y16" s="19">
        <v>126.65</v>
      </c>
      <c r="Z16" s="5"/>
      <c r="AA16" s="27">
        <f>1/1.286</f>
        <v>0.7776049766718507</v>
      </c>
      <c r="AB16" s="19">
        <v>126.84</v>
      </c>
      <c r="AC16" s="5"/>
      <c r="AD16" s="27">
        <f>1/1.297</f>
        <v>0.7710100231303008</v>
      </c>
      <c r="AE16" s="19">
        <v>127.13</v>
      </c>
      <c r="AF16" s="5"/>
      <c r="AG16" s="27">
        <f>1/1.298</f>
        <v>0.7704160246533127</v>
      </c>
      <c r="AH16" s="19">
        <v>127.03</v>
      </c>
      <c r="AI16" s="5"/>
      <c r="AJ16" s="27">
        <f>1/1.3017</f>
        <v>0.7682261657832066</v>
      </c>
      <c r="AK16" s="19">
        <v>126.92</v>
      </c>
      <c r="AL16" s="5"/>
      <c r="AM16" s="27">
        <f>1/1.3056</f>
        <v>0.7659313725490196</v>
      </c>
      <c r="AN16" s="19">
        <v>126.88</v>
      </c>
      <c r="AO16" s="5"/>
      <c r="AP16" s="27">
        <f>1/1.3053</f>
        <v>0.7661074082586379</v>
      </c>
      <c r="AQ16" s="19">
        <v>126.83</v>
      </c>
      <c r="AR16" s="5"/>
      <c r="AS16" s="27">
        <f>1/1.3055</f>
        <v>0.7659900421294522</v>
      </c>
      <c r="AT16" s="19">
        <v>126.91</v>
      </c>
      <c r="AU16" s="5"/>
      <c r="AV16" s="27">
        <v>1.3187</v>
      </c>
      <c r="AW16" s="19">
        <v>127.24</v>
      </c>
      <c r="AX16" s="5"/>
      <c r="AY16" s="27">
        <f>1/1.3209</f>
        <v>0.7570595805889924</v>
      </c>
      <c r="AZ16" s="19">
        <v>126.99</v>
      </c>
      <c r="BA16" s="5"/>
      <c r="BB16" s="27">
        <f>1/1.3251</f>
        <v>0.7546600256584409</v>
      </c>
      <c r="BC16" s="19">
        <v>127.24</v>
      </c>
      <c r="BD16" s="5"/>
      <c r="BE16" s="27">
        <f>1/1.3155</f>
        <v>0.7601672367920943</v>
      </c>
      <c r="BF16" s="19">
        <v>126.72</v>
      </c>
      <c r="BG16" s="5"/>
      <c r="BH16" s="27">
        <f>1/1.3256</f>
        <v>0.7543753771876887</v>
      </c>
      <c r="BI16" s="19">
        <v>127.27</v>
      </c>
      <c r="BJ16" s="5"/>
      <c r="BK16" s="27">
        <f t="shared" si="0"/>
        <v>0.7964310618704193</v>
      </c>
      <c r="BL16" s="19">
        <f t="shared" si="1"/>
        <v>126.66649999999996</v>
      </c>
      <c r="BM16" s="5"/>
    </row>
    <row r="17" spans="1:65" ht="15.75" customHeight="1">
      <c r="A17" s="16">
        <v>5</v>
      </c>
      <c r="B17" s="17" t="s">
        <v>18</v>
      </c>
      <c r="C17" s="27">
        <v>420.7</v>
      </c>
      <c r="D17" s="19">
        <v>40719.17</v>
      </c>
      <c r="E17" s="5"/>
      <c r="F17" s="27">
        <v>421.75</v>
      </c>
      <c r="G17" s="19">
        <v>40698.17</v>
      </c>
      <c r="H17" s="5"/>
      <c r="I17" s="27">
        <v>419.7</v>
      </c>
      <c r="J17" s="19">
        <v>40592.3</v>
      </c>
      <c r="K17" s="5"/>
      <c r="L17" s="27">
        <v>416.25</v>
      </c>
      <c r="M17" s="19">
        <v>40362.38</v>
      </c>
      <c r="N17" s="5"/>
      <c r="O17" s="27">
        <v>414.3999</v>
      </c>
      <c r="P17" s="19">
        <v>40607.74</v>
      </c>
      <c r="Q17" s="5"/>
      <c r="R17" s="27">
        <v>410.75</v>
      </c>
      <c r="S17" s="19">
        <v>40643.71</v>
      </c>
      <c r="T17" s="5"/>
      <c r="U17" s="27">
        <v>412.75</v>
      </c>
      <c r="V17" s="19">
        <v>40905.55</v>
      </c>
      <c r="W17" s="5"/>
      <c r="X17" s="27">
        <v>413.25</v>
      </c>
      <c r="Y17" s="19">
        <v>40918.26</v>
      </c>
      <c r="Z17" s="5"/>
      <c r="AA17" s="27">
        <v>417</v>
      </c>
      <c r="AB17" s="19">
        <v>41128.33</v>
      </c>
      <c r="AC17" s="5"/>
      <c r="AD17" s="27">
        <v>422.5</v>
      </c>
      <c r="AE17" s="19">
        <v>41412.04</v>
      </c>
      <c r="AF17" s="5"/>
      <c r="AG17" s="27">
        <v>424.25</v>
      </c>
      <c r="AH17" s="19">
        <v>41518.87</v>
      </c>
      <c r="AI17" s="5"/>
      <c r="AJ17" s="27">
        <v>424</v>
      </c>
      <c r="AK17" s="19">
        <v>41340.35</v>
      </c>
      <c r="AL17" s="5"/>
      <c r="AM17" s="27">
        <v>426.4</v>
      </c>
      <c r="AN17" s="19">
        <v>41438.97</v>
      </c>
      <c r="AO17" s="5"/>
      <c r="AP17" s="27">
        <v>426.75</v>
      </c>
      <c r="AQ17" s="19">
        <v>41465.88</v>
      </c>
      <c r="AR17" s="5"/>
      <c r="AS17" s="27">
        <v>426.8</v>
      </c>
      <c r="AT17" s="19">
        <v>41488.52</v>
      </c>
      <c r="AU17" s="5"/>
      <c r="AV17" s="27">
        <v>430.5</v>
      </c>
      <c r="AW17" s="19">
        <v>41539.66</v>
      </c>
      <c r="AX17" s="5"/>
      <c r="AY17" s="27">
        <v>433</v>
      </c>
      <c r="AZ17" s="19">
        <v>41627.86</v>
      </c>
      <c r="BA17" s="5"/>
      <c r="BB17" s="27">
        <v>435</v>
      </c>
      <c r="BC17" s="19">
        <v>41770.84</v>
      </c>
      <c r="BD17" s="5"/>
      <c r="BE17" s="27">
        <v>431</v>
      </c>
      <c r="BF17" s="19">
        <v>41516.04</v>
      </c>
      <c r="BG17" s="5"/>
      <c r="BH17" s="27">
        <v>436.3</v>
      </c>
      <c r="BI17" s="19">
        <v>41888.76</v>
      </c>
      <c r="BJ17" s="5"/>
      <c r="BK17" s="27">
        <f t="shared" si="0"/>
        <v>423.152495</v>
      </c>
      <c r="BL17" s="19">
        <f t="shared" si="1"/>
        <v>41179.17</v>
      </c>
      <c r="BM17" s="5"/>
    </row>
    <row r="18" spans="1:65" ht="15.75" customHeight="1">
      <c r="A18" s="16">
        <v>6</v>
      </c>
      <c r="B18" s="20" t="s">
        <v>19</v>
      </c>
      <c r="C18" s="27">
        <v>6.69</v>
      </c>
      <c r="D18" s="19">
        <v>647.52</v>
      </c>
      <c r="E18" s="5"/>
      <c r="F18" s="27">
        <v>6.72</v>
      </c>
      <c r="G18" s="19">
        <v>648.47</v>
      </c>
      <c r="H18" s="5"/>
      <c r="I18" s="27">
        <v>6.69</v>
      </c>
      <c r="J18" s="19">
        <v>647.04</v>
      </c>
      <c r="K18" s="5"/>
      <c r="L18" s="27">
        <v>6.63</v>
      </c>
      <c r="M18" s="19">
        <v>642.89</v>
      </c>
      <c r="N18" s="5"/>
      <c r="O18" s="27">
        <v>6.57</v>
      </c>
      <c r="P18" s="19">
        <v>643.81</v>
      </c>
      <c r="Q18" s="5"/>
      <c r="R18" s="27">
        <v>6.46</v>
      </c>
      <c r="S18" s="19">
        <v>639.22</v>
      </c>
      <c r="T18" s="5"/>
      <c r="U18" s="27">
        <v>6.53</v>
      </c>
      <c r="V18" s="19">
        <v>647.16</v>
      </c>
      <c r="W18" s="5"/>
      <c r="X18" s="27">
        <v>6.6</v>
      </c>
      <c r="Y18" s="19">
        <v>653.5</v>
      </c>
      <c r="Z18" s="5"/>
      <c r="AA18" s="27">
        <v>6.97</v>
      </c>
      <c r="AB18" s="19">
        <v>687.44</v>
      </c>
      <c r="AC18" s="5"/>
      <c r="AD18" s="27">
        <v>7.27</v>
      </c>
      <c r="AE18" s="19">
        <v>712.58</v>
      </c>
      <c r="AF18" s="5"/>
      <c r="AG18" s="27">
        <v>7.27</v>
      </c>
      <c r="AH18" s="19">
        <v>711.47</v>
      </c>
      <c r="AI18" s="5"/>
      <c r="AJ18" s="27">
        <v>7.12</v>
      </c>
      <c r="AK18" s="19">
        <v>694.21</v>
      </c>
      <c r="AL18" s="5"/>
      <c r="AM18" s="27">
        <v>7.26</v>
      </c>
      <c r="AN18" s="19">
        <v>705.55</v>
      </c>
      <c r="AO18" s="5"/>
      <c r="AP18" s="27">
        <v>7.32</v>
      </c>
      <c r="AQ18" s="19">
        <v>711.26</v>
      </c>
      <c r="AR18" s="5"/>
      <c r="AS18" s="27">
        <v>7.36</v>
      </c>
      <c r="AT18" s="19">
        <v>715.45</v>
      </c>
      <c r="AU18" s="5"/>
      <c r="AV18" s="27">
        <v>7.51</v>
      </c>
      <c r="AW18" s="19">
        <v>724.65</v>
      </c>
      <c r="AX18" s="5"/>
      <c r="AY18" s="27">
        <v>7.44</v>
      </c>
      <c r="AZ18" s="19">
        <v>715.27</v>
      </c>
      <c r="BA18" s="5"/>
      <c r="BB18" s="27">
        <v>7.44</v>
      </c>
      <c r="BC18" s="19">
        <v>714.43</v>
      </c>
      <c r="BD18" s="5"/>
      <c r="BE18" s="27">
        <v>7.21</v>
      </c>
      <c r="BF18" s="19">
        <v>694.5</v>
      </c>
      <c r="BG18" s="5"/>
      <c r="BH18" s="27">
        <v>7.36</v>
      </c>
      <c r="BI18" s="19">
        <v>706.63</v>
      </c>
      <c r="BJ18" s="5"/>
      <c r="BK18" s="27">
        <f t="shared" si="0"/>
        <v>7.021000000000001</v>
      </c>
      <c r="BL18" s="19">
        <f t="shared" si="1"/>
        <v>683.1524999999999</v>
      </c>
      <c r="BM18" s="5"/>
    </row>
    <row r="19" spans="1:65" ht="15.75" customHeight="1">
      <c r="A19" s="16">
        <v>7</v>
      </c>
      <c r="B19" s="17" t="s">
        <v>20</v>
      </c>
      <c r="C19" s="27">
        <f>1/0.7702</f>
        <v>1.2983640612827838</v>
      </c>
      <c r="D19" s="19">
        <v>74.55</v>
      </c>
      <c r="E19" s="5"/>
      <c r="F19" s="27">
        <f>1/0.7742</f>
        <v>1.2916559028674761</v>
      </c>
      <c r="G19" s="19">
        <v>74.71</v>
      </c>
      <c r="H19" s="5"/>
      <c r="I19" s="27">
        <f>1/0.7759</f>
        <v>1.2888258796236627</v>
      </c>
      <c r="J19" s="19">
        <v>75.04</v>
      </c>
      <c r="K19" s="5"/>
      <c r="L19" s="27">
        <f>1/0.77</f>
        <v>1.2987012987012987</v>
      </c>
      <c r="M19" s="19">
        <v>74.66</v>
      </c>
      <c r="N19" s="5"/>
      <c r="O19" s="27">
        <f>1/0.7709</f>
        <v>1.2971851083149566</v>
      </c>
      <c r="P19" s="19">
        <v>75.54</v>
      </c>
      <c r="Q19" s="5"/>
      <c r="R19" s="27">
        <f>1/0.7643</f>
        <v>1.3083867591259977</v>
      </c>
      <c r="S19" s="19">
        <v>75.63</v>
      </c>
      <c r="T19" s="5"/>
      <c r="U19" s="27">
        <f>1/0.768</f>
        <v>1.3020833333333333</v>
      </c>
      <c r="V19" s="19">
        <v>76.11</v>
      </c>
      <c r="W19" s="5"/>
      <c r="X19" s="27">
        <f>1/0.776</f>
        <v>1.2886597938144329</v>
      </c>
      <c r="Y19" s="19">
        <v>76.84</v>
      </c>
      <c r="Z19" s="5"/>
      <c r="AA19" s="27">
        <f>1/0.7819</f>
        <v>1.278935925310142</v>
      </c>
      <c r="AB19" s="19">
        <v>77.12</v>
      </c>
      <c r="AC19" s="5"/>
      <c r="AD19" s="27">
        <f>1/0.7858</f>
        <v>1.2725884448969202</v>
      </c>
      <c r="AE19" s="19">
        <v>77.02</v>
      </c>
      <c r="AF19" s="5"/>
      <c r="AG19" s="27">
        <f>1/0.7842</f>
        <v>1.2751849018107626</v>
      </c>
      <c r="AH19" s="19">
        <v>76.75</v>
      </c>
      <c r="AI19" s="5"/>
      <c r="AJ19" s="27">
        <f>1/7816</f>
        <v>0.00012794268167860799</v>
      </c>
      <c r="AK19" s="19">
        <v>76.21</v>
      </c>
      <c r="AL19" s="5"/>
      <c r="AM19" s="27">
        <f>1/0.7865</f>
        <v>1.2714558169103625</v>
      </c>
      <c r="AN19" s="19">
        <v>76.43</v>
      </c>
      <c r="AO19" s="5"/>
      <c r="AP19" s="27">
        <f>1/0.7856</f>
        <v>1.2729124236252547</v>
      </c>
      <c r="AQ19" s="19">
        <v>76.33</v>
      </c>
      <c r="AR19" s="5"/>
      <c r="AS19" s="27">
        <f>1/0.7882</f>
        <v>1.268713524486171</v>
      </c>
      <c r="AT19" s="19">
        <v>76.62</v>
      </c>
      <c r="AU19" s="5"/>
      <c r="AV19" s="27">
        <f>1/0.794</f>
        <v>1.2594458438287153</v>
      </c>
      <c r="AW19" s="19">
        <v>76.61</v>
      </c>
      <c r="AX19" s="5"/>
      <c r="AY19" s="27">
        <f>1/0.7899</f>
        <v>1.2659830358273199</v>
      </c>
      <c r="AZ19" s="19">
        <v>75.94</v>
      </c>
      <c r="BA19" s="5"/>
      <c r="BB19" s="27">
        <f>1/0.7866</f>
        <v>1.2712941774726672</v>
      </c>
      <c r="BC19" s="19">
        <v>75.53</v>
      </c>
      <c r="BD19" s="5"/>
      <c r="BE19" s="27">
        <f>1/0.7813</f>
        <v>1.2799180852425445</v>
      </c>
      <c r="BF19" s="19">
        <v>75.26</v>
      </c>
      <c r="BG19" s="5"/>
      <c r="BH19" s="27">
        <f>1/0.7931</f>
        <v>1.2608750472828143</v>
      </c>
      <c r="BI19" s="19">
        <v>76.14</v>
      </c>
      <c r="BJ19" s="18"/>
      <c r="BK19" s="27">
        <f t="shared" si="0"/>
        <v>1.2175648653219646</v>
      </c>
      <c r="BL19" s="19">
        <f t="shared" si="1"/>
        <v>75.952</v>
      </c>
      <c r="BM19" s="18"/>
    </row>
    <row r="20" spans="1:65" ht="15.75" customHeight="1">
      <c r="A20" s="16">
        <v>8</v>
      </c>
      <c r="B20" s="17" t="s">
        <v>21</v>
      </c>
      <c r="C20" s="27">
        <v>1.2418</v>
      </c>
      <c r="D20" s="19">
        <v>77.94</v>
      </c>
      <c r="E20" s="5"/>
      <c r="F20" s="27">
        <v>1.232</v>
      </c>
      <c r="G20" s="19">
        <v>78.33</v>
      </c>
      <c r="H20" s="5"/>
      <c r="I20" s="27">
        <v>1.2381</v>
      </c>
      <c r="J20" s="19">
        <v>78.12</v>
      </c>
      <c r="K20" s="5"/>
      <c r="L20" s="27">
        <v>1.2435</v>
      </c>
      <c r="M20" s="19">
        <v>77.98</v>
      </c>
      <c r="N20" s="5"/>
      <c r="O20" s="27">
        <v>1.2542</v>
      </c>
      <c r="P20" s="19">
        <v>78.13</v>
      </c>
      <c r="Q20" s="5"/>
      <c r="R20" s="27">
        <v>1.2562</v>
      </c>
      <c r="S20" s="19">
        <v>78.77</v>
      </c>
      <c r="T20" s="5"/>
      <c r="U20" s="27">
        <v>1.2467</v>
      </c>
      <c r="V20" s="19">
        <v>79.49</v>
      </c>
      <c r="W20" s="5"/>
      <c r="X20" s="27">
        <v>1.2486</v>
      </c>
      <c r="Y20" s="19">
        <v>79.3</v>
      </c>
      <c r="Z20" s="5"/>
      <c r="AA20" s="27">
        <v>1.2423</v>
      </c>
      <c r="AB20" s="19">
        <v>79.39</v>
      </c>
      <c r="AC20" s="5"/>
      <c r="AD20" s="27">
        <v>1.2309</v>
      </c>
      <c r="AE20" s="19">
        <v>79.63</v>
      </c>
      <c r="AF20" s="5"/>
      <c r="AG20" s="27">
        <v>1.235</v>
      </c>
      <c r="AH20" s="19">
        <v>79.24</v>
      </c>
      <c r="AI20" s="5"/>
      <c r="AJ20" s="27">
        <v>1.234</v>
      </c>
      <c r="AK20" s="19">
        <v>79.01</v>
      </c>
      <c r="AL20" s="5"/>
      <c r="AM20" s="27">
        <v>1.233</v>
      </c>
      <c r="AN20" s="19">
        <v>78.82</v>
      </c>
      <c r="AO20" s="5"/>
      <c r="AP20" s="27">
        <v>1.2319</v>
      </c>
      <c r="AQ20" s="19">
        <v>78.88</v>
      </c>
      <c r="AR20" s="5"/>
      <c r="AS20" s="27">
        <v>1.2306</v>
      </c>
      <c r="AT20" s="19">
        <v>78.99</v>
      </c>
      <c r="AU20" s="5"/>
      <c r="AV20" s="27">
        <v>1.2245</v>
      </c>
      <c r="AW20" s="19">
        <v>78.8</v>
      </c>
      <c r="AX20" s="5"/>
      <c r="AY20" s="27">
        <v>1.2301</v>
      </c>
      <c r="AZ20" s="19">
        <v>78.15</v>
      </c>
      <c r="BA20" s="5"/>
      <c r="BB20" s="27">
        <v>1.2469</v>
      </c>
      <c r="BC20" s="19">
        <v>77.01</v>
      </c>
      <c r="BD20" s="5"/>
      <c r="BE20" s="27">
        <v>1.2432</v>
      </c>
      <c r="BF20" s="19">
        <v>77.48</v>
      </c>
      <c r="BG20" s="5"/>
      <c r="BH20" s="27">
        <v>1.2297</v>
      </c>
      <c r="BI20" s="19">
        <v>78.08</v>
      </c>
      <c r="BJ20" s="5"/>
      <c r="BK20" s="27">
        <f t="shared" si="0"/>
        <v>1.2386599999999999</v>
      </c>
      <c r="BL20" s="19">
        <f t="shared" si="1"/>
        <v>78.57699999999998</v>
      </c>
      <c r="BM20" s="5"/>
    </row>
    <row r="21" spans="1:65" ht="15.75" customHeight="1">
      <c r="A21" s="16">
        <v>9</v>
      </c>
      <c r="B21" s="17" t="s">
        <v>22</v>
      </c>
      <c r="C21" s="27">
        <v>6.978</v>
      </c>
      <c r="D21" s="19">
        <v>13.87</v>
      </c>
      <c r="E21" s="5"/>
      <c r="F21" s="27">
        <v>6.9443</v>
      </c>
      <c r="G21" s="19">
        <v>13.9</v>
      </c>
      <c r="H21" s="5"/>
      <c r="I21" s="27">
        <v>6.959</v>
      </c>
      <c r="J21" s="19">
        <v>13.9</v>
      </c>
      <c r="K21" s="5"/>
      <c r="L21" s="27">
        <v>7.008</v>
      </c>
      <c r="M21" s="19">
        <v>13.84</v>
      </c>
      <c r="N21" s="5"/>
      <c r="O21" s="27">
        <v>7.06</v>
      </c>
      <c r="P21" s="19">
        <v>13.88</v>
      </c>
      <c r="Q21" s="5"/>
      <c r="R21" s="27">
        <v>7.1294</v>
      </c>
      <c r="S21" s="19">
        <v>13.88</v>
      </c>
      <c r="T21" s="5"/>
      <c r="U21" s="27">
        <v>7.0957</v>
      </c>
      <c r="V21" s="19">
        <v>13.97</v>
      </c>
      <c r="W21" s="5"/>
      <c r="X21" s="27">
        <v>7.0942</v>
      </c>
      <c r="Y21" s="19">
        <v>13.96</v>
      </c>
      <c r="Z21" s="5"/>
      <c r="AA21" s="27">
        <v>7.0678</v>
      </c>
      <c r="AB21" s="19">
        <v>13.95</v>
      </c>
      <c r="AC21" s="5"/>
      <c r="AD21" s="27">
        <v>7.018</v>
      </c>
      <c r="AE21" s="19">
        <v>13.97</v>
      </c>
      <c r="AF21" s="5"/>
      <c r="AG21" s="27">
        <v>6.99</v>
      </c>
      <c r="AH21" s="19">
        <v>14</v>
      </c>
      <c r="AI21" s="5"/>
      <c r="AJ21" s="27">
        <v>6.9694</v>
      </c>
      <c r="AK21" s="19">
        <v>13.99</v>
      </c>
      <c r="AL21" s="5"/>
      <c r="AM21" s="27">
        <v>6.9667</v>
      </c>
      <c r="AN21" s="19">
        <v>13.95</v>
      </c>
      <c r="AO21" s="5"/>
      <c r="AP21" s="27">
        <v>6.9595</v>
      </c>
      <c r="AQ21" s="19">
        <v>13.96</v>
      </c>
      <c r="AR21" s="5"/>
      <c r="AS21" s="27">
        <v>6.977</v>
      </c>
      <c r="AT21" s="19">
        <v>13.93</v>
      </c>
      <c r="AU21" s="5"/>
      <c r="AV21" s="27">
        <v>6.8923</v>
      </c>
      <c r="AW21" s="19">
        <v>14</v>
      </c>
      <c r="AX21" s="5"/>
      <c r="AY21" s="27">
        <v>6.8859</v>
      </c>
      <c r="AZ21" s="19">
        <v>13.96</v>
      </c>
      <c r="BA21" s="5"/>
      <c r="BB21" s="27">
        <v>6.8442</v>
      </c>
      <c r="BC21" s="19">
        <v>14.03</v>
      </c>
      <c r="BD21" s="5"/>
      <c r="BE21" s="27">
        <v>6.8947</v>
      </c>
      <c r="BF21" s="19">
        <v>13.97</v>
      </c>
      <c r="BG21" s="5"/>
      <c r="BH21" s="27">
        <v>6.8237</v>
      </c>
      <c r="BI21" s="19">
        <v>14.07</v>
      </c>
      <c r="BJ21" s="5"/>
      <c r="BK21" s="27">
        <f t="shared" si="0"/>
        <v>6.97789</v>
      </c>
      <c r="BL21" s="19">
        <f t="shared" si="1"/>
        <v>13.949000000000002</v>
      </c>
      <c r="BM21" s="5"/>
    </row>
    <row r="22" spans="1:65" ht="15.75" customHeight="1">
      <c r="A22" s="16">
        <v>10</v>
      </c>
      <c r="B22" s="17" t="s">
        <v>23</v>
      </c>
      <c r="C22" s="27">
        <v>6.357</v>
      </c>
      <c r="D22" s="19">
        <v>15.23</v>
      </c>
      <c r="E22" s="5"/>
      <c r="F22" s="27">
        <v>6.321</v>
      </c>
      <c r="G22" s="19">
        <v>15.27</v>
      </c>
      <c r="H22" s="5"/>
      <c r="I22" s="27">
        <v>6.341</v>
      </c>
      <c r="J22" s="19">
        <v>15.25</v>
      </c>
      <c r="K22" s="5"/>
      <c r="L22" s="27">
        <v>6.396</v>
      </c>
      <c r="M22" s="19">
        <v>15.16</v>
      </c>
      <c r="N22" s="5"/>
      <c r="O22" s="27">
        <v>6.4632</v>
      </c>
      <c r="P22" s="19">
        <v>15.16</v>
      </c>
      <c r="Q22" s="5"/>
      <c r="R22" s="27">
        <v>6.5601</v>
      </c>
      <c r="S22" s="19">
        <v>15.08</v>
      </c>
      <c r="T22" s="5"/>
      <c r="U22" s="27">
        <v>6.5343</v>
      </c>
      <c r="V22" s="19">
        <v>15.17</v>
      </c>
      <c r="W22" s="5"/>
      <c r="X22" s="27">
        <v>6.586</v>
      </c>
      <c r="Y22" s="19">
        <v>15.03</v>
      </c>
      <c r="Z22" s="5"/>
      <c r="AA22" s="27">
        <v>6.5468</v>
      </c>
      <c r="AB22" s="19">
        <v>15.07</v>
      </c>
      <c r="AC22" s="5"/>
      <c r="AD22" s="27">
        <v>6.4829</v>
      </c>
      <c r="AE22" s="19">
        <v>15.12</v>
      </c>
      <c r="AF22" s="5"/>
      <c r="AG22" s="27">
        <v>6.4601</v>
      </c>
      <c r="AH22" s="19">
        <v>15.15</v>
      </c>
      <c r="AI22" s="5"/>
      <c r="AJ22" s="27">
        <v>6.4195</v>
      </c>
      <c r="AK22" s="19">
        <v>15.19</v>
      </c>
      <c r="AL22" s="5"/>
      <c r="AM22" s="27">
        <v>6.4006</v>
      </c>
      <c r="AN22" s="19">
        <v>15.18</v>
      </c>
      <c r="AO22" s="5"/>
      <c r="AP22" s="27">
        <v>6.3452</v>
      </c>
      <c r="AQ22" s="19">
        <v>15.31</v>
      </c>
      <c r="AR22" s="5"/>
      <c r="AS22" s="27">
        <v>6.3505</v>
      </c>
      <c r="AT22" s="19">
        <v>15.31</v>
      </c>
      <c r="AU22" s="5"/>
      <c r="AV22" s="27">
        <v>6.2686</v>
      </c>
      <c r="AW22" s="19">
        <v>15.39</v>
      </c>
      <c r="AX22" s="5"/>
      <c r="AY22" s="27">
        <v>6.2457</v>
      </c>
      <c r="AZ22" s="19">
        <v>15.39</v>
      </c>
      <c r="BA22" s="5"/>
      <c r="BB22" s="27">
        <v>6.215</v>
      </c>
      <c r="BC22" s="19">
        <v>15.45</v>
      </c>
      <c r="BD22" s="5"/>
      <c r="BE22" s="27">
        <v>6.275</v>
      </c>
      <c r="BF22" s="19">
        <v>15.35</v>
      </c>
      <c r="BG22" s="5"/>
      <c r="BH22" s="27">
        <v>6.2021</v>
      </c>
      <c r="BI22" s="19">
        <v>15.48</v>
      </c>
      <c r="BJ22" s="5"/>
      <c r="BK22" s="27">
        <f t="shared" si="0"/>
        <v>6.388530000000001</v>
      </c>
      <c r="BL22" s="19">
        <f t="shared" si="1"/>
        <v>15.237</v>
      </c>
      <c r="BM22" s="5"/>
    </row>
    <row r="23" spans="1:65" ht="15.75" customHeight="1">
      <c r="A23" s="16">
        <v>11</v>
      </c>
      <c r="B23" s="17" t="s">
        <v>24</v>
      </c>
      <c r="C23" s="27">
        <v>5.7115</v>
      </c>
      <c r="D23" s="19">
        <v>16.95</v>
      </c>
      <c r="E23" s="5"/>
      <c r="F23" s="27">
        <v>5.6917</v>
      </c>
      <c r="G23" s="19">
        <v>16.95</v>
      </c>
      <c r="H23" s="5"/>
      <c r="I23" s="27">
        <v>5.7119</v>
      </c>
      <c r="J23" s="19">
        <v>16.93</v>
      </c>
      <c r="K23" s="5"/>
      <c r="L23" s="27">
        <v>5.738</v>
      </c>
      <c r="M23" s="19">
        <v>16.9</v>
      </c>
      <c r="N23" s="5"/>
      <c r="O23" s="27">
        <v>5.7924</v>
      </c>
      <c r="P23" s="19">
        <v>16.92</v>
      </c>
      <c r="Q23" s="5"/>
      <c r="R23" s="27">
        <v>5.8381</v>
      </c>
      <c r="S23" s="19">
        <v>16.95</v>
      </c>
      <c r="T23" s="5"/>
      <c r="U23" s="27">
        <v>5.8198</v>
      </c>
      <c r="V23" s="19">
        <v>17.03</v>
      </c>
      <c r="W23" s="5"/>
      <c r="X23" s="27">
        <v>5.816</v>
      </c>
      <c r="Y23" s="19">
        <v>17.02</v>
      </c>
      <c r="Z23" s="5"/>
      <c r="AA23" s="27">
        <v>5.7861</v>
      </c>
      <c r="AB23" s="19">
        <v>17.05</v>
      </c>
      <c r="AC23" s="5"/>
      <c r="AD23" s="27">
        <v>5.7369</v>
      </c>
      <c r="AE23" s="19">
        <v>17.09</v>
      </c>
      <c r="AF23" s="5"/>
      <c r="AG23" s="27">
        <v>5.7347</v>
      </c>
      <c r="AH23" s="19">
        <v>17.07</v>
      </c>
      <c r="AI23" s="5"/>
      <c r="AJ23" s="27">
        <v>5.7164</v>
      </c>
      <c r="AK23" s="19">
        <v>17.06</v>
      </c>
      <c r="AL23" s="5"/>
      <c r="AM23" s="27">
        <v>5.7</v>
      </c>
      <c r="AN23" s="19">
        <v>17.05</v>
      </c>
      <c r="AO23" s="5"/>
      <c r="AP23" s="27">
        <v>5.7004</v>
      </c>
      <c r="AQ23" s="19">
        <v>17.05</v>
      </c>
      <c r="AR23" s="5"/>
      <c r="AS23" s="27">
        <v>5.6996</v>
      </c>
      <c r="AT23" s="19">
        <v>17.06</v>
      </c>
      <c r="AU23" s="5"/>
      <c r="AV23" s="27">
        <v>5.6437</v>
      </c>
      <c r="AW23" s="19">
        <v>17.1</v>
      </c>
      <c r="AX23" s="5"/>
      <c r="AY23" s="27">
        <v>5.6324</v>
      </c>
      <c r="AZ23" s="19">
        <v>17.07</v>
      </c>
      <c r="BA23" s="5"/>
      <c r="BB23" s="27">
        <v>5.6151</v>
      </c>
      <c r="BC23" s="19">
        <v>17.1</v>
      </c>
      <c r="BD23" s="5"/>
      <c r="BE23" s="27">
        <v>5.6546</v>
      </c>
      <c r="BF23" s="19">
        <v>17.03</v>
      </c>
      <c r="BG23" s="5"/>
      <c r="BH23" s="27">
        <v>5.6112</v>
      </c>
      <c r="BI23" s="19">
        <v>17.11</v>
      </c>
      <c r="BJ23" s="5"/>
      <c r="BK23" s="27">
        <f t="shared" si="0"/>
        <v>5.717525</v>
      </c>
      <c r="BL23" s="19">
        <f t="shared" si="1"/>
        <v>17.024500000000007</v>
      </c>
      <c r="BM23" s="5"/>
    </row>
    <row r="24" spans="1:65" ht="15.75" customHeight="1">
      <c r="A24" s="16">
        <v>12</v>
      </c>
      <c r="B24" s="17" t="s">
        <v>25</v>
      </c>
      <c r="C24" s="27">
        <f>1/1.52049</f>
        <v>0.657682720701879</v>
      </c>
      <c r="D24" s="19">
        <v>147.17</v>
      </c>
      <c r="E24" s="5"/>
      <c r="F24" s="27">
        <f>1/1.5198</f>
        <v>0.6579813133307014</v>
      </c>
      <c r="G24" s="19">
        <v>146.66</v>
      </c>
      <c r="H24" s="5"/>
      <c r="I24" s="27">
        <f>1/1.52263</f>
        <v>0.6567583720273474</v>
      </c>
      <c r="J24" s="19">
        <v>147.26</v>
      </c>
      <c r="K24" s="5"/>
      <c r="L24" s="27">
        <f>1/1.51947</f>
        <v>0.6581242143642191</v>
      </c>
      <c r="M24" s="19">
        <v>147.34</v>
      </c>
      <c r="N24" s="5"/>
      <c r="O24" s="27">
        <f>1/1.51644</f>
        <v>0.6594392128933555</v>
      </c>
      <c r="P24" s="19">
        <v>148.6</v>
      </c>
      <c r="Q24" s="5"/>
      <c r="R24" s="27">
        <f>1/1.51042</f>
        <v>0.6620675044027489</v>
      </c>
      <c r="S24" s="19">
        <v>149.46</v>
      </c>
      <c r="T24" s="5"/>
      <c r="U24" s="27">
        <f>1/1.50131</f>
        <v>0.6660849524748387</v>
      </c>
      <c r="V24" s="19">
        <v>148.79</v>
      </c>
      <c r="W24" s="5"/>
      <c r="X24" s="27">
        <f>1/1.50395</f>
        <v>0.6649157219322451</v>
      </c>
      <c r="Y24" s="19">
        <v>148.91</v>
      </c>
      <c r="Z24" s="5"/>
      <c r="AA24" s="27">
        <f>1/1.5027</f>
        <v>0.6654688227856526</v>
      </c>
      <c r="AB24" s="19">
        <v>148.21</v>
      </c>
      <c r="AC24" s="5"/>
      <c r="AD24" s="27">
        <f>1/1.50718</f>
        <v>0.663490757573747</v>
      </c>
      <c r="AE24" s="19">
        <v>147.73</v>
      </c>
      <c r="AF24" s="5"/>
      <c r="AG24" s="27">
        <f>1/1.51528</f>
        <v>0.659944036745684</v>
      </c>
      <c r="AH24" s="19">
        <v>148.29</v>
      </c>
      <c r="AI24" s="5"/>
      <c r="AJ24" s="27">
        <f>1/1.5154</f>
        <v>0.6598917777484492</v>
      </c>
      <c r="AK24" s="19">
        <v>147.75</v>
      </c>
      <c r="AL24" s="5"/>
      <c r="AM24" s="27">
        <f>1/1.51695</f>
        <v>0.6592175088170342</v>
      </c>
      <c r="AN24" s="19">
        <v>147.42</v>
      </c>
      <c r="AO24" s="5"/>
      <c r="AP24" s="27">
        <f>1/1.51878</f>
        <v>0.6584232081012391</v>
      </c>
      <c r="AQ24" s="19">
        <v>147.57</v>
      </c>
      <c r="AR24" s="5"/>
      <c r="AS24" s="27">
        <f>1/1.51709</f>
        <v>0.6591566749500689</v>
      </c>
      <c r="AT24" s="19">
        <v>147.47</v>
      </c>
      <c r="AU24" s="5"/>
      <c r="AV24" s="27">
        <f>1/1.51709</f>
        <v>0.6591566749500689</v>
      </c>
      <c r="AW24" s="19">
        <v>146.39</v>
      </c>
      <c r="AX24" s="5"/>
      <c r="AY24" s="27">
        <f>1/1.52948</f>
        <v>0.6538169835499648</v>
      </c>
      <c r="AZ24" s="19">
        <v>147.04</v>
      </c>
      <c r="BA24" s="5"/>
      <c r="BB24" s="27">
        <f>1/1.52808</f>
        <v>0.6544159991623475</v>
      </c>
      <c r="BC24" s="19">
        <v>146.73</v>
      </c>
      <c r="BD24" s="5"/>
      <c r="BE24" s="27">
        <f>1/1.53057</f>
        <v>0.6533513658310303</v>
      </c>
      <c r="BF24" s="19">
        <v>147.43</v>
      </c>
      <c r="BG24" s="5"/>
      <c r="BH24" s="27">
        <f>1/1.52456</f>
        <v>0.6559269559741827</v>
      </c>
      <c r="BI24" s="19">
        <v>146.37</v>
      </c>
      <c r="BJ24" s="5"/>
      <c r="BK24" s="27">
        <f t="shared" si="0"/>
        <v>0.6592657389158402</v>
      </c>
      <c r="BL24" s="19">
        <f t="shared" si="1"/>
        <v>147.62949999999998</v>
      </c>
      <c r="BM24" s="5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96.79</v>
      </c>
      <c r="E25" s="21"/>
      <c r="F25" s="28">
        <v>1</v>
      </c>
      <c r="G25" s="22">
        <v>96.5</v>
      </c>
      <c r="H25" s="21"/>
      <c r="I25" s="28">
        <v>1</v>
      </c>
      <c r="J25" s="22">
        <v>96.72</v>
      </c>
      <c r="K25" s="21"/>
      <c r="L25" s="28">
        <v>1</v>
      </c>
      <c r="M25" s="22">
        <v>96.97</v>
      </c>
      <c r="N25" s="21"/>
      <c r="O25" s="28">
        <v>1</v>
      </c>
      <c r="P25" s="22">
        <v>97.99</v>
      </c>
      <c r="Q25" s="21"/>
      <c r="R25" s="28">
        <v>1</v>
      </c>
      <c r="S25" s="22">
        <v>98.95</v>
      </c>
      <c r="T25" s="21"/>
      <c r="U25" s="28">
        <v>1</v>
      </c>
      <c r="V25" s="22">
        <v>99.1</v>
      </c>
      <c r="W25" s="21"/>
      <c r="X25" s="28">
        <v>1</v>
      </c>
      <c r="Y25" s="22">
        <v>99.02</v>
      </c>
      <c r="Z25" s="21"/>
      <c r="AA25" s="28">
        <v>1</v>
      </c>
      <c r="AB25" s="22">
        <v>98.63</v>
      </c>
      <c r="AC25" s="21"/>
      <c r="AD25" s="28">
        <v>1</v>
      </c>
      <c r="AE25" s="22">
        <v>98.02</v>
      </c>
      <c r="AF25" s="21"/>
      <c r="AG25" s="28">
        <v>1</v>
      </c>
      <c r="AH25" s="22">
        <v>97.86</v>
      </c>
      <c r="AI25" s="21"/>
      <c r="AJ25" s="28">
        <v>1</v>
      </c>
      <c r="AK25" s="22">
        <v>97.5</v>
      </c>
      <c r="AL25" s="21"/>
      <c r="AM25" s="28">
        <v>1</v>
      </c>
      <c r="AN25" s="22">
        <v>97.18</v>
      </c>
      <c r="AO25" s="21"/>
      <c r="AP25" s="28">
        <v>1</v>
      </c>
      <c r="AQ25" s="22">
        <v>97.17</v>
      </c>
      <c r="AR25" s="21"/>
      <c r="AS25" s="28">
        <v>1</v>
      </c>
      <c r="AT25" s="22">
        <v>97.21</v>
      </c>
      <c r="AU25" s="21"/>
      <c r="AV25" s="28">
        <v>1</v>
      </c>
      <c r="AW25" s="22">
        <v>96.49</v>
      </c>
      <c r="AX25" s="21"/>
      <c r="AY25" s="28">
        <v>1</v>
      </c>
      <c r="AZ25" s="22">
        <v>96.14</v>
      </c>
      <c r="BA25" s="21"/>
      <c r="BB25" s="28">
        <v>1</v>
      </c>
      <c r="BC25" s="22">
        <v>96.02</v>
      </c>
      <c r="BD25" s="21"/>
      <c r="BE25" s="28">
        <v>1</v>
      </c>
      <c r="BF25" s="22">
        <v>96.32</v>
      </c>
      <c r="BG25" s="21"/>
      <c r="BH25" s="28">
        <v>1</v>
      </c>
      <c r="BI25" s="22">
        <v>96.01</v>
      </c>
      <c r="BJ25" s="21"/>
      <c r="BK25" s="28">
        <f t="shared" si="0"/>
        <v>1</v>
      </c>
      <c r="BL25" s="22">
        <f t="shared" si="1"/>
        <v>97.32950000000001</v>
      </c>
      <c r="BM25" s="21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  <headerFooter alignWithMargins="0">
    <oddHeader>&amp;L&amp;"Times New Roman,Bold"&amp;14Banka e Shqiperise&amp;12
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  <col min="66" max="67" width="13.28125" style="0" customWidth="1"/>
    <col min="68" max="68" width="4.851562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71" ht="15.75" customHeight="1">
      <c r="A4" s="6" t="s">
        <v>2</v>
      </c>
      <c r="B4" s="5"/>
      <c r="C4" s="4" t="s">
        <v>68</v>
      </c>
      <c r="D4" s="4"/>
      <c r="E4" s="10"/>
      <c r="F4" s="4" t="s">
        <v>69</v>
      </c>
      <c r="G4" s="4"/>
      <c r="H4" s="10"/>
      <c r="I4" s="4" t="s">
        <v>70</v>
      </c>
      <c r="J4" s="4"/>
      <c r="K4" s="10"/>
      <c r="L4" s="4" t="s">
        <v>71</v>
      </c>
      <c r="M4" s="4"/>
      <c r="N4" s="10"/>
      <c r="O4" s="4" t="s">
        <v>72</v>
      </c>
      <c r="P4" s="4"/>
      <c r="Q4" s="10"/>
      <c r="R4" s="4" t="s">
        <v>73</v>
      </c>
      <c r="S4" s="4"/>
      <c r="T4" s="10"/>
      <c r="U4" s="4" t="s">
        <v>74</v>
      </c>
      <c r="V4" s="4"/>
      <c r="W4" s="10"/>
      <c r="X4" s="4" t="s">
        <v>75</v>
      </c>
      <c r="Y4" s="4"/>
      <c r="Z4" s="10"/>
      <c r="AA4" s="4" t="s">
        <v>76</v>
      </c>
      <c r="AB4" s="4"/>
      <c r="AC4" s="10"/>
      <c r="AD4" s="4" t="s">
        <v>77</v>
      </c>
      <c r="AE4" s="4"/>
      <c r="AF4" s="10"/>
      <c r="AG4" s="4" t="s">
        <v>78</v>
      </c>
      <c r="AH4" s="4"/>
      <c r="AI4" s="10"/>
      <c r="AJ4" s="4" t="s">
        <v>79</v>
      </c>
      <c r="AK4" s="4"/>
      <c r="AL4" s="10"/>
      <c r="AM4" s="4" t="s">
        <v>80</v>
      </c>
      <c r="AN4" s="4"/>
      <c r="AO4" s="10"/>
      <c r="AP4" s="4" t="s">
        <v>81</v>
      </c>
      <c r="AQ4" s="4"/>
      <c r="AR4" s="10"/>
      <c r="AS4" s="4" t="s">
        <v>82</v>
      </c>
      <c r="AT4" s="4"/>
      <c r="AU4" s="10"/>
      <c r="AV4" s="4" t="s">
        <v>83</v>
      </c>
      <c r="AW4" s="4"/>
      <c r="AX4" s="10"/>
      <c r="AY4" s="4" t="s">
        <v>84</v>
      </c>
      <c r="AZ4" s="4"/>
      <c r="BA4" s="10"/>
      <c r="BB4" s="4" t="s">
        <v>85</v>
      </c>
      <c r="BC4" s="4"/>
      <c r="BD4" s="10"/>
      <c r="BE4" s="4" t="s">
        <v>86</v>
      </c>
      <c r="BF4" s="4"/>
      <c r="BG4" s="10"/>
      <c r="BH4" s="4" t="s">
        <v>87</v>
      </c>
      <c r="BI4" s="4"/>
      <c r="BJ4" s="26"/>
      <c r="BK4" s="4" t="s">
        <v>3</v>
      </c>
      <c r="BL4" s="4"/>
      <c r="BM4" s="26"/>
      <c r="BN4" s="37"/>
      <c r="BO4" s="37"/>
      <c r="BP4" s="38"/>
      <c r="BQ4" s="37"/>
      <c r="BR4" s="37"/>
      <c r="BS4" s="26"/>
    </row>
    <row r="5" spans="1:7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38"/>
      <c r="BO5" s="38"/>
      <c r="BP5" s="38"/>
      <c r="BQ5" s="38"/>
      <c r="BR5" s="38"/>
      <c r="BS5" s="38"/>
    </row>
    <row r="6" spans="1:71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9"/>
      <c r="BO6" s="9"/>
      <c r="BP6" s="9"/>
      <c r="BQ6" s="9"/>
      <c r="BR6" s="9"/>
      <c r="BS6" s="9"/>
    </row>
    <row r="7" spans="1:71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39"/>
      <c r="BO7" s="39"/>
      <c r="BP7" s="39"/>
      <c r="BQ7" s="39"/>
      <c r="BR7" s="39"/>
      <c r="BS7" s="39"/>
    </row>
    <row r="8" spans="1:71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39"/>
      <c r="BO8" s="39"/>
      <c r="BP8" s="39"/>
      <c r="BQ8" s="39"/>
      <c r="BR8" s="39"/>
      <c r="BS8" s="39"/>
    </row>
    <row r="9" spans="1:71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39"/>
      <c r="BO9" s="39"/>
      <c r="BP9" s="39"/>
      <c r="BQ9" s="39"/>
      <c r="BR9" s="39"/>
      <c r="BS9" s="39"/>
    </row>
    <row r="10" spans="1:71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39"/>
      <c r="BO10" s="39"/>
      <c r="BP10" s="39"/>
      <c r="BQ10" s="39"/>
      <c r="BR10" s="39"/>
      <c r="BS10" s="39"/>
    </row>
    <row r="11" spans="1:81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9"/>
      <c r="BO11" s="9"/>
      <c r="BP11" s="9"/>
      <c r="BQ11" s="9"/>
      <c r="BR11" s="9"/>
      <c r="BS11" s="9"/>
      <c r="BT11" s="40"/>
      <c r="BU11" s="40"/>
      <c r="BV11" s="40"/>
      <c r="BW11" s="40"/>
      <c r="BX11" s="40"/>
      <c r="BY11" s="40"/>
      <c r="BZ11" s="40"/>
      <c r="CA11" s="40"/>
      <c r="CB11" s="40"/>
      <c r="CC11" s="40"/>
    </row>
    <row r="12" spans="1:81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9"/>
      <c r="BO12" s="9"/>
      <c r="BP12" s="9"/>
      <c r="BQ12" s="9"/>
      <c r="BR12" s="9"/>
      <c r="BS12" s="9"/>
      <c r="BT12" s="40"/>
      <c r="BU12" s="40"/>
      <c r="BV12" s="40"/>
      <c r="BW12" s="40"/>
      <c r="BX12" s="40"/>
      <c r="BY12" s="40"/>
      <c r="BZ12" s="40"/>
      <c r="CA12" s="40"/>
      <c r="CB12" s="40"/>
      <c r="CC12" s="40"/>
    </row>
    <row r="13" spans="1:71" ht="15.75" customHeight="1">
      <c r="A13" s="16">
        <v>1</v>
      </c>
      <c r="B13" s="17" t="s">
        <v>14</v>
      </c>
      <c r="C13" s="27">
        <v>104.26</v>
      </c>
      <c r="D13" s="19">
        <v>92.19</v>
      </c>
      <c r="E13" s="5"/>
      <c r="F13" s="27">
        <v>105.06</v>
      </c>
      <c r="G13" s="19">
        <v>91.79</v>
      </c>
      <c r="H13" s="5"/>
      <c r="I13" s="27">
        <v>104.83</v>
      </c>
      <c r="J13" s="19">
        <v>91.94</v>
      </c>
      <c r="K13" s="5"/>
      <c r="L13" s="27">
        <v>105.33</v>
      </c>
      <c r="M13" s="19">
        <v>91.59</v>
      </c>
      <c r="N13" s="5"/>
      <c r="O13" s="27">
        <v>105.02</v>
      </c>
      <c r="P13" s="19">
        <v>91.52</v>
      </c>
      <c r="Q13" s="5"/>
      <c r="R13" s="27">
        <v>105.02</v>
      </c>
      <c r="S13" s="19">
        <v>91.4</v>
      </c>
      <c r="T13" s="5"/>
      <c r="U13" s="27">
        <v>103.93</v>
      </c>
      <c r="V13" s="19">
        <v>91.56</v>
      </c>
      <c r="W13" s="5"/>
      <c r="X13" s="27">
        <v>104.27</v>
      </c>
      <c r="Y13" s="19">
        <v>90.76</v>
      </c>
      <c r="Z13" s="5"/>
      <c r="AA13" s="27">
        <v>104.27</v>
      </c>
      <c r="AB13" s="19">
        <v>90.76</v>
      </c>
      <c r="AC13" s="5"/>
      <c r="AD13" s="27">
        <v>104.72</v>
      </c>
      <c r="AE13" s="19">
        <v>90.61</v>
      </c>
      <c r="AF13" s="5"/>
      <c r="AG13" s="27">
        <v>104.09</v>
      </c>
      <c r="AH13" s="19">
        <v>91.11</v>
      </c>
      <c r="AI13" s="5"/>
      <c r="AJ13" s="27">
        <v>104.36</v>
      </c>
      <c r="AK13" s="19">
        <v>90.69</v>
      </c>
      <c r="AL13" s="5"/>
      <c r="AM13" s="27">
        <v>104.95</v>
      </c>
      <c r="AN13" s="19">
        <v>90.39</v>
      </c>
      <c r="AO13" s="5"/>
      <c r="AP13" s="27">
        <v>105.23</v>
      </c>
      <c r="AQ13" s="19">
        <v>90.7</v>
      </c>
      <c r="AR13" s="5"/>
      <c r="AS13" s="27">
        <v>105.57</v>
      </c>
      <c r="AT13" s="19">
        <v>91.38</v>
      </c>
      <c r="AU13" s="5"/>
      <c r="AV13" s="27">
        <v>106.4</v>
      </c>
      <c r="AW13" s="19">
        <v>90.93</v>
      </c>
      <c r="AX13" s="5"/>
      <c r="AY13" s="27">
        <v>106.34</v>
      </c>
      <c r="AZ13" s="19">
        <v>91.19</v>
      </c>
      <c r="BA13" s="5"/>
      <c r="BB13" s="27">
        <v>107.13</v>
      </c>
      <c r="BC13" s="19">
        <v>90.73</v>
      </c>
      <c r="BD13" s="5"/>
      <c r="BE13" s="27">
        <v>107.56</v>
      </c>
      <c r="BF13" s="19">
        <v>90.23</v>
      </c>
      <c r="BG13" s="5"/>
      <c r="BH13" s="27">
        <v>106.89</v>
      </c>
      <c r="BI13" s="19">
        <v>90.88</v>
      </c>
      <c r="BJ13" s="5"/>
      <c r="BK13" s="27">
        <f>(+C13+F13+I13+L13+O13+R13+U13+X13+AA13+AD13+AG13+AJ13+AM13+AP13+AS13+AV13+AY13+BB13+BE13+BH13)/20</f>
        <v>105.26149999999998</v>
      </c>
      <c r="BL13" s="19">
        <f>(+D13+G13+J13+M13+P13+S13+V13+Y13+AB13+AE13+AH13+AK13+AN13+AQ13+AT13+AW13+AZ13+BC13+BF13+BI13)/20</f>
        <v>91.11750000000002</v>
      </c>
      <c r="BM13" s="5"/>
      <c r="BN13" s="31"/>
      <c r="BO13" s="32"/>
      <c r="BP13" s="9"/>
      <c r="BQ13" s="31"/>
      <c r="BR13" s="32"/>
      <c r="BS13" s="9"/>
    </row>
    <row r="14" spans="1:71" ht="15.75" customHeight="1">
      <c r="A14" s="16">
        <v>2</v>
      </c>
      <c r="B14" s="17" t="s">
        <v>15</v>
      </c>
      <c r="C14" s="27">
        <f>1/1.9204</f>
        <v>0.5207248489897938</v>
      </c>
      <c r="D14" s="19">
        <v>184.58</v>
      </c>
      <c r="E14" s="5"/>
      <c r="F14" s="27">
        <f>1/1.9085</f>
        <v>0.5239717055279015</v>
      </c>
      <c r="G14" s="19">
        <v>184.04</v>
      </c>
      <c r="H14" s="5"/>
      <c r="I14" s="27">
        <f>1/1.9104</f>
        <v>0.5234505862646566</v>
      </c>
      <c r="J14" s="19">
        <v>184.13</v>
      </c>
      <c r="K14" s="5"/>
      <c r="L14" s="27">
        <f>1/1.9074</f>
        <v>0.5242738806752648</v>
      </c>
      <c r="M14" s="19">
        <v>184.01</v>
      </c>
      <c r="N14" s="5"/>
      <c r="O14" s="27">
        <f>1/1.9146</f>
        <v>0.5223023085762039</v>
      </c>
      <c r="P14" s="19">
        <v>184.02</v>
      </c>
      <c r="Q14" s="5"/>
      <c r="R14" s="27">
        <f>1/1.9202</f>
        <v>0.5207790855119259</v>
      </c>
      <c r="S14" s="19">
        <v>184.32</v>
      </c>
      <c r="T14" s="5"/>
      <c r="U14" s="27">
        <f>1/1.9261</f>
        <v>0.5191838429988059</v>
      </c>
      <c r="V14" s="19">
        <v>183.28</v>
      </c>
      <c r="W14" s="5"/>
      <c r="X14" s="27">
        <f>1/1.9272</f>
        <v>0.518887505188875</v>
      </c>
      <c r="Y14" s="19">
        <v>182.37</v>
      </c>
      <c r="Z14" s="5"/>
      <c r="AA14" s="27">
        <f>1/1.9272</f>
        <v>0.518887505188875</v>
      </c>
      <c r="AB14" s="19">
        <v>182.37</v>
      </c>
      <c r="AC14" s="5"/>
      <c r="AD14" s="27">
        <f>1/1.9162</f>
        <v>0.5218661935079846</v>
      </c>
      <c r="AE14" s="19">
        <v>181.82</v>
      </c>
      <c r="AF14" s="5"/>
      <c r="AG14" s="27">
        <f>1/1.9229</f>
        <v>0.5200478444016849</v>
      </c>
      <c r="AH14" s="19">
        <v>182.36</v>
      </c>
      <c r="AI14" s="5"/>
      <c r="AJ14" s="27">
        <f>1/1.9249</f>
        <v>0.5195075068834745</v>
      </c>
      <c r="AK14" s="19">
        <v>182.18</v>
      </c>
      <c r="AL14" s="5"/>
      <c r="AM14" s="27">
        <f>1/1.9165</f>
        <v>0.5217845030002609</v>
      </c>
      <c r="AN14" s="19">
        <v>181.81</v>
      </c>
      <c r="AO14" s="5"/>
      <c r="AP14" s="27">
        <f>1/1.9033</f>
        <v>0.5254032469920664</v>
      </c>
      <c r="AQ14" s="19">
        <v>181.65</v>
      </c>
      <c r="AR14" s="5"/>
      <c r="AS14" s="27">
        <f>1/1.8811</f>
        <v>0.5316038488118654</v>
      </c>
      <c r="AT14" s="19">
        <v>181.48</v>
      </c>
      <c r="AU14" s="5"/>
      <c r="AV14" s="27">
        <f>1/1.8679</f>
        <v>0.535360565340757</v>
      </c>
      <c r="AW14" s="19">
        <v>180.72</v>
      </c>
      <c r="AX14" s="5"/>
      <c r="AY14" s="27">
        <f>1/1.8703</f>
        <v>0.5346735817783244</v>
      </c>
      <c r="AZ14" s="19">
        <v>181.37</v>
      </c>
      <c r="BA14" s="5"/>
      <c r="BB14" s="27">
        <f>1/1.8732</f>
        <v>0.533845825325646</v>
      </c>
      <c r="BC14" s="19">
        <v>182.08</v>
      </c>
      <c r="BD14" s="5"/>
      <c r="BE14" s="27">
        <f>1/1.8816</f>
        <v>0.5314625850340137</v>
      </c>
      <c r="BF14" s="19">
        <v>182.61</v>
      </c>
      <c r="BG14" s="5"/>
      <c r="BH14" s="27">
        <f>1/1.8801</f>
        <v>0.5318866017765013</v>
      </c>
      <c r="BI14" s="19">
        <v>182.64</v>
      </c>
      <c r="BJ14" s="5"/>
      <c r="BK14" s="27">
        <f aca="true" t="shared" si="0" ref="BK14:BK25">(+C14+F14+I14+L14+O14+R14+U14+X14+AA14+AD14+AG14+AJ14+AM14+AP14+AS14+AV14+AY14+BB14+BE14+BH14)/20</f>
        <v>0.5249951785887441</v>
      </c>
      <c r="BL14" s="19">
        <f aca="true" t="shared" si="1" ref="BL14:BL25">(+D14+G14+J14+M14+P14+S14+V14+Y14+AB14+AE14+AH14+AK14+AN14+AQ14+AT14+AW14+AZ14+BC14+BF14+BI14)/20</f>
        <v>182.69199999999995</v>
      </c>
      <c r="BM14" s="5"/>
      <c r="BN14" s="31"/>
      <c r="BO14" s="32"/>
      <c r="BP14" s="9"/>
      <c r="BQ14" s="31"/>
      <c r="BR14" s="32"/>
      <c r="BS14" s="9"/>
    </row>
    <row r="15" spans="1:71" ht="15.75" customHeight="1">
      <c r="A15" s="16">
        <v>3</v>
      </c>
      <c r="B15" s="17" t="s">
        <v>16</v>
      </c>
      <c r="C15" s="27">
        <v>1.1632</v>
      </c>
      <c r="D15" s="19">
        <v>82.63</v>
      </c>
      <c r="E15" s="5"/>
      <c r="F15" s="27">
        <v>1.1763</v>
      </c>
      <c r="G15" s="19">
        <v>81.98</v>
      </c>
      <c r="H15" s="5"/>
      <c r="I15" s="27">
        <v>1.1739</v>
      </c>
      <c r="J15" s="19">
        <v>82.11</v>
      </c>
      <c r="K15" s="5"/>
      <c r="L15" s="27">
        <v>1.1802</v>
      </c>
      <c r="M15" s="19">
        <v>81.74</v>
      </c>
      <c r="N15" s="5"/>
      <c r="O15" s="27">
        <v>1.1717</v>
      </c>
      <c r="P15" s="19">
        <v>82.03</v>
      </c>
      <c r="Q15" s="5"/>
      <c r="R15" s="27">
        <v>1.1714</v>
      </c>
      <c r="S15" s="19">
        <v>81.95</v>
      </c>
      <c r="T15" s="5"/>
      <c r="U15" s="27">
        <v>1.1605</v>
      </c>
      <c r="V15" s="19">
        <v>82</v>
      </c>
      <c r="W15" s="5"/>
      <c r="X15" s="27">
        <v>1.1552</v>
      </c>
      <c r="Y15" s="19">
        <v>81.92</v>
      </c>
      <c r="Z15" s="5"/>
      <c r="AA15" s="27">
        <v>1.1552</v>
      </c>
      <c r="AB15" s="19">
        <v>81.92</v>
      </c>
      <c r="AC15" s="5"/>
      <c r="AD15" s="27">
        <v>1.1594</v>
      </c>
      <c r="AE15" s="19">
        <v>81.84</v>
      </c>
      <c r="AF15" s="5"/>
      <c r="AG15" s="27">
        <v>1.1582</v>
      </c>
      <c r="AH15" s="19">
        <v>81.88</v>
      </c>
      <c r="AI15" s="5"/>
      <c r="AJ15" s="27">
        <v>1.156</v>
      </c>
      <c r="AK15" s="19">
        <v>81.87</v>
      </c>
      <c r="AL15" s="5"/>
      <c r="AM15" s="27">
        <v>1.1631</v>
      </c>
      <c r="AN15" s="19">
        <v>81.56</v>
      </c>
      <c r="AO15" s="5"/>
      <c r="AP15" s="27">
        <v>1.1744</v>
      </c>
      <c r="AQ15" s="19">
        <v>81.27</v>
      </c>
      <c r="AR15" s="5"/>
      <c r="AS15" s="27">
        <v>1.1918</v>
      </c>
      <c r="AT15" s="19">
        <v>80.95</v>
      </c>
      <c r="AU15" s="5"/>
      <c r="AV15" s="27">
        <v>1.1967</v>
      </c>
      <c r="AW15" s="19">
        <v>80.85</v>
      </c>
      <c r="AX15" s="5"/>
      <c r="AY15" s="27">
        <v>1.1986</v>
      </c>
      <c r="AZ15" s="19">
        <v>80.91</v>
      </c>
      <c r="BA15" s="5"/>
      <c r="BB15" s="27">
        <v>1.1997</v>
      </c>
      <c r="BC15" s="19">
        <v>81.02</v>
      </c>
      <c r="BD15" s="5"/>
      <c r="BE15" s="27">
        <v>1.1978</v>
      </c>
      <c r="BF15" s="19">
        <v>81.02</v>
      </c>
      <c r="BG15" s="5"/>
      <c r="BH15" s="27">
        <v>1.1961</v>
      </c>
      <c r="BI15" s="19">
        <v>81.22</v>
      </c>
      <c r="BJ15" s="5"/>
      <c r="BK15" s="27">
        <f t="shared" si="0"/>
        <v>1.1749700000000003</v>
      </c>
      <c r="BL15" s="19">
        <f t="shared" si="1"/>
        <v>81.6335</v>
      </c>
      <c r="BM15" s="5"/>
      <c r="BN15" s="31"/>
      <c r="BO15" s="32"/>
      <c r="BP15" s="9"/>
      <c r="BQ15" s="31"/>
      <c r="BR15" s="32"/>
      <c r="BS15" s="9"/>
    </row>
    <row r="16" spans="1:71" ht="15.75" customHeight="1">
      <c r="A16" s="16">
        <v>4</v>
      </c>
      <c r="B16" s="17" t="s">
        <v>17</v>
      </c>
      <c r="C16" s="27">
        <f>1/1.3204</f>
        <v>0.7573462587094819</v>
      </c>
      <c r="D16" s="19">
        <v>126.91</v>
      </c>
      <c r="E16" s="5"/>
      <c r="F16" s="27">
        <f>1/1.3095</f>
        <v>0.7636502481863306</v>
      </c>
      <c r="G16" s="19">
        <v>126.28</v>
      </c>
      <c r="H16" s="5"/>
      <c r="I16" s="27">
        <f>1/1.3159</f>
        <v>0.7599361653621095</v>
      </c>
      <c r="J16" s="19">
        <v>126.83</v>
      </c>
      <c r="K16" s="5"/>
      <c r="L16" s="27">
        <f>1/1.3122</f>
        <v>0.7620789513793629</v>
      </c>
      <c r="M16" s="19">
        <v>126.59</v>
      </c>
      <c r="N16" s="5"/>
      <c r="O16" s="27">
        <f>1/1.3214</f>
        <v>0.7567731194187983</v>
      </c>
      <c r="P16" s="19">
        <v>127</v>
      </c>
      <c r="Q16" s="5"/>
      <c r="R16" s="27">
        <f>1/1.3236</f>
        <v>0.7555152614082804</v>
      </c>
      <c r="S16" s="19">
        <v>127.05</v>
      </c>
      <c r="T16" s="5"/>
      <c r="U16" s="27">
        <f>1/1.3364</f>
        <v>0.7482789583956899</v>
      </c>
      <c r="V16" s="19">
        <v>127.17</v>
      </c>
      <c r="W16" s="5"/>
      <c r="X16" s="27">
        <f>1/1.3401</f>
        <v>0.7462129691814043</v>
      </c>
      <c r="Y16" s="19">
        <v>126.81</v>
      </c>
      <c r="Z16" s="5"/>
      <c r="AA16" s="27">
        <f>1/1.3401</f>
        <v>0.7462129691814043</v>
      </c>
      <c r="AB16" s="19">
        <v>126.81</v>
      </c>
      <c r="AC16" s="5"/>
      <c r="AD16" s="27">
        <f>1/1.3365</f>
        <v>0.7482229704451927</v>
      </c>
      <c r="AE16" s="19">
        <v>126.81</v>
      </c>
      <c r="AF16" s="5"/>
      <c r="AG16" s="27">
        <f>1/1.335</f>
        <v>0.7490636704119851</v>
      </c>
      <c r="AH16" s="19">
        <v>126.61</v>
      </c>
      <c r="AI16" s="5"/>
      <c r="AJ16" s="27">
        <f>1/1.3373</f>
        <v>0.747775368279369</v>
      </c>
      <c r="AK16" s="19">
        <v>126.56</v>
      </c>
      <c r="AL16" s="5"/>
      <c r="AM16" s="27">
        <f>1/1.3314</f>
        <v>0.751089079164789</v>
      </c>
      <c r="AN16" s="19">
        <v>126.31</v>
      </c>
      <c r="AO16" s="5"/>
      <c r="AP16" s="27">
        <f>1/1.3215</f>
        <v>0.7567158531971245</v>
      </c>
      <c r="AQ16" s="19">
        <v>126.12</v>
      </c>
      <c r="AR16" s="5"/>
      <c r="AS16" s="27">
        <f>1/1.3046</f>
        <v>0.7665184730952016</v>
      </c>
      <c r="AT16" s="19">
        <v>125.86</v>
      </c>
      <c r="AU16" s="5"/>
      <c r="AV16" s="27">
        <f>1/1.2974</f>
        <v>0.7707723138584861</v>
      </c>
      <c r="AW16" s="19">
        <v>125.52</v>
      </c>
      <c r="AX16" s="5"/>
      <c r="AY16" s="27">
        <f>1/1.2963</f>
        <v>0.7714263673532361</v>
      </c>
      <c r="AZ16" s="19">
        <v>125.71</v>
      </c>
      <c r="BA16" s="5"/>
      <c r="BB16" s="27">
        <f>1/1.2934</f>
        <v>0.7731560228854182</v>
      </c>
      <c r="BC16" s="19">
        <v>125.72</v>
      </c>
      <c r="BD16" s="5"/>
      <c r="BE16" s="27">
        <f>1/1.2953</f>
        <v>0.7720219254226821</v>
      </c>
      <c r="BF16" s="19">
        <v>125.71</v>
      </c>
      <c r="BG16" s="5"/>
      <c r="BH16" s="27">
        <f>1/1.2951</f>
        <v>0.7721411474017451</v>
      </c>
      <c r="BI16" s="19">
        <v>125.81</v>
      </c>
      <c r="BJ16" s="5"/>
      <c r="BK16" s="27">
        <f t="shared" si="0"/>
        <v>0.7587454046369048</v>
      </c>
      <c r="BL16" s="19">
        <f t="shared" si="1"/>
        <v>126.40949999999995</v>
      </c>
      <c r="BM16" s="5"/>
      <c r="BN16" s="31"/>
      <c r="BO16" s="32"/>
      <c r="BP16" s="9"/>
      <c r="BQ16" s="31"/>
      <c r="BR16" s="32"/>
      <c r="BS16" s="9"/>
    </row>
    <row r="17" spans="1:71" ht="15.75" customHeight="1">
      <c r="A17" s="16">
        <v>5</v>
      </c>
      <c r="B17" s="17" t="s">
        <v>18</v>
      </c>
      <c r="C17" s="27">
        <v>434.5</v>
      </c>
      <c r="D17" s="19">
        <v>41762.69</v>
      </c>
      <c r="E17" s="5"/>
      <c r="F17" s="27">
        <v>429</v>
      </c>
      <c r="G17" s="19">
        <v>41369.9</v>
      </c>
      <c r="H17" s="5"/>
      <c r="I17" s="27">
        <v>433</v>
      </c>
      <c r="J17" s="19">
        <v>41734.67</v>
      </c>
      <c r="K17" s="5"/>
      <c r="L17" s="27">
        <v>429.25</v>
      </c>
      <c r="M17" s="19">
        <v>41410.11</v>
      </c>
      <c r="N17" s="5"/>
      <c r="O17" s="27">
        <v>433.6</v>
      </c>
      <c r="P17" s="19">
        <v>41674.34</v>
      </c>
      <c r="Q17" s="5"/>
      <c r="R17" s="27">
        <v>434.75</v>
      </c>
      <c r="S17" s="19">
        <v>41732.38</v>
      </c>
      <c r="T17" s="5"/>
      <c r="U17" s="27">
        <v>440</v>
      </c>
      <c r="V17" s="19">
        <v>41869.67</v>
      </c>
      <c r="W17" s="5"/>
      <c r="X17" s="27">
        <v>440</v>
      </c>
      <c r="Y17" s="19">
        <v>41637.57</v>
      </c>
      <c r="Z17" s="5"/>
      <c r="AA17" s="27">
        <v>440</v>
      </c>
      <c r="AB17" s="19">
        <v>41637.57</v>
      </c>
      <c r="AC17" s="5"/>
      <c r="AD17" s="27">
        <v>441.75</v>
      </c>
      <c r="AE17" s="19">
        <v>41914.71</v>
      </c>
      <c r="AF17" s="5"/>
      <c r="AG17" s="27">
        <v>441</v>
      </c>
      <c r="AH17" s="19">
        <v>41822.97</v>
      </c>
      <c r="AI17" s="5"/>
      <c r="AJ17" s="27">
        <v>442.5</v>
      </c>
      <c r="AK17" s="19">
        <v>41878.94</v>
      </c>
      <c r="AL17" s="5"/>
      <c r="AM17" s="27">
        <v>436.7</v>
      </c>
      <c r="AN17" s="19">
        <v>41428.27</v>
      </c>
      <c r="AO17" s="5"/>
      <c r="AP17" s="27">
        <v>435.75</v>
      </c>
      <c r="AQ17" s="19">
        <v>41587.62</v>
      </c>
      <c r="AR17" s="5"/>
      <c r="AS17" s="27">
        <v>427.2</v>
      </c>
      <c r="AT17" s="19">
        <v>41214.12</v>
      </c>
      <c r="AU17" s="5"/>
      <c r="AV17" s="27">
        <v>424.9</v>
      </c>
      <c r="AW17" s="19">
        <v>41109.08</v>
      </c>
      <c r="AX17" s="5"/>
      <c r="AY17" s="27">
        <v>425.25</v>
      </c>
      <c r="AZ17" s="19">
        <v>41238.62</v>
      </c>
      <c r="BA17" s="5"/>
      <c r="BB17" s="27">
        <v>426.75</v>
      </c>
      <c r="BC17" s="19">
        <v>41480.81</v>
      </c>
      <c r="BD17" s="5"/>
      <c r="BE17" s="27">
        <v>426.25</v>
      </c>
      <c r="BF17" s="19">
        <v>41367.92</v>
      </c>
      <c r="BG17" s="5"/>
      <c r="BH17" s="27">
        <v>427.25</v>
      </c>
      <c r="BI17" s="19">
        <v>41505.56</v>
      </c>
      <c r="BJ17" s="5"/>
      <c r="BK17" s="27">
        <f t="shared" si="0"/>
        <v>433.46999999999997</v>
      </c>
      <c r="BL17" s="19">
        <f t="shared" si="1"/>
        <v>41568.876000000004</v>
      </c>
      <c r="BM17" s="5"/>
      <c r="BN17" s="31"/>
      <c r="BO17" s="32"/>
      <c r="BP17" s="9"/>
      <c r="BQ17" s="31"/>
      <c r="BR17" s="32"/>
      <c r="BS17" s="9"/>
    </row>
    <row r="18" spans="1:71" ht="15.75" customHeight="1">
      <c r="A18" s="16">
        <v>6</v>
      </c>
      <c r="B18" s="20" t="s">
        <v>19</v>
      </c>
      <c r="C18" s="27">
        <v>7.28</v>
      </c>
      <c r="D18" s="19">
        <v>699.73</v>
      </c>
      <c r="E18" s="5"/>
      <c r="F18" s="27">
        <v>7.09</v>
      </c>
      <c r="G18" s="19">
        <v>683.71</v>
      </c>
      <c r="H18" s="5"/>
      <c r="I18" s="27">
        <v>7.3</v>
      </c>
      <c r="J18" s="19">
        <v>703.61</v>
      </c>
      <c r="K18" s="5"/>
      <c r="L18" s="27">
        <v>7.18</v>
      </c>
      <c r="M18" s="19">
        <v>692.66</v>
      </c>
      <c r="N18" s="5"/>
      <c r="O18" s="27">
        <v>7.33</v>
      </c>
      <c r="P18" s="19">
        <v>704.5</v>
      </c>
      <c r="Q18" s="5"/>
      <c r="R18" s="27">
        <v>7.37</v>
      </c>
      <c r="S18" s="19">
        <v>707.46</v>
      </c>
      <c r="T18" s="5"/>
      <c r="U18" s="27">
        <v>7.51</v>
      </c>
      <c r="V18" s="19">
        <v>714.64</v>
      </c>
      <c r="W18" s="5"/>
      <c r="X18" s="27">
        <v>7.52</v>
      </c>
      <c r="Y18" s="19">
        <v>711.62</v>
      </c>
      <c r="Z18" s="5"/>
      <c r="AA18" s="27">
        <v>7.52</v>
      </c>
      <c r="AB18" s="19">
        <v>711.62</v>
      </c>
      <c r="AC18" s="5"/>
      <c r="AD18" s="27">
        <v>7.4</v>
      </c>
      <c r="AE18" s="19">
        <v>702.14</v>
      </c>
      <c r="AF18" s="5"/>
      <c r="AG18" s="27">
        <v>7.39</v>
      </c>
      <c r="AH18" s="19">
        <v>700.84</v>
      </c>
      <c r="AI18" s="5"/>
      <c r="AJ18" s="27">
        <v>7.39</v>
      </c>
      <c r="AK18" s="19">
        <v>699.4</v>
      </c>
      <c r="AL18" s="5"/>
      <c r="AM18" s="27">
        <v>7.33</v>
      </c>
      <c r="AN18" s="19">
        <v>695.37</v>
      </c>
      <c r="AO18" s="5"/>
      <c r="AP18" s="27">
        <v>7.26</v>
      </c>
      <c r="AQ18" s="19">
        <v>692.89</v>
      </c>
      <c r="AR18" s="5"/>
      <c r="AS18" s="27">
        <v>6.93</v>
      </c>
      <c r="AT18" s="19">
        <v>668.57</v>
      </c>
      <c r="AU18" s="5"/>
      <c r="AV18" s="27">
        <v>6.89</v>
      </c>
      <c r="AW18" s="19">
        <v>666.61</v>
      </c>
      <c r="AX18" s="5"/>
      <c r="AY18" s="27">
        <v>6.91</v>
      </c>
      <c r="AZ18" s="19">
        <v>670.1</v>
      </c>
      <c r="BA18" s="5"/>
      <c r="BB18" s="27">
        <v>6.92</v>
      </c>
      <c r="BC18" s="19">
        <v>672.64</v>
      </c>
      <c r="BD18" s="5"/>
      <c r="BE18" s="27">
        <v>6.95</v>
      </c>
      <c r="BF18" s="19">
        <v>674.5</v>
      </c>
      <c r="BG18" s="5"/>
      <c r="BH18" s="27">
        <v>7.16</v>
      </c>
      <c r="BI18" s="19">
        <v>695.56</v>
      </c>
      <c r="BJ18" s="5"/>
      <c r="BK18" s="27">
        <f t="shared" si="0"/>
        <v>7.2315</v>
      </c>
      <c r="BL18" s="19">
        <f t="shared" si="1"/>
        <v>693.4085</v>
      </c>
      <c r="BM18" s="5"/>
      <c r="BN18" s="31"/>
      <c r="BO18" s="32"/>
      <c r="BP18" s="9"/>
      <c r="BQ18" s="31"/>
      <c r="BR18" s="32"/>
      <c r="BS18" s="9"/>
    </row>
    <row r="19" spans="1:71" ht="15.75" customHeight="1">
      <c r="A19" s="16">
        <v>7</v>
      </c>
      <c r="B19" s="17" t="s">
        <v>20</v>
      </c>
      <c r="C19" s="27">
        <f>1/0.7882</f>
        <v>1.268713524486171</v>
      </c>
      <c r="D19" s="19">
        <v>75.76</v>
      </c>
      <c r="E19" s="5"/>
      <c r="F19" s="27">
        <f>1/0.7785</f>
        <v>1.2845215157353886</v>
      </c>
      <c r="G19" s="19">
        <v>75.07</v>
      </c>
      <c r="H19" s="5"/>
      <c r="I19" s="27">
        <f>1/0.7834</f>
        <v>1.2764871074802144</v>
      </c>
      <c r="J19" s="19">
        <v>75.51</v>
      </c>
      <c r="K19" s="5"/>
      <c r="L19" s="27">
        <f>1/0.7831</f>
        <v>1.2769761205465457</v>
      </c>
      <c r="M19" s="19">
        <v>75.55</v>
      </c>
      <c r="N19" s="5"/>
      <c r="O19" s="27">
        <f>1/0.7902</f>
        <v>1.2655024044545684</v>
      </c>
      <c r="P19" s="19">
        <v>75.95</v>
      </c>
      <c r="Q19" s="5"/>
      <c r="R19" s="27">
        <f>1/0.7934</f>
        <v>1.2603982858583311</v>
      </c>
      <c r="S19" s="19">
        <v>76.16</v>
      </c>
      <c r="T19" s="5"/>
      <c r="U19" s="27">
        <f>1/0.7967</f>
        <v>1.25517760763148</v>
      </c>
      <c r="V19" s="19">
        <v>75.81</v>
      </c>
      <c r="W19" s="5"/>
      <c r="X19" s="27">
        <f>1/0.789</f>
        <v>1.2674271229404308</v>
      </c>
      <c r="Y19" s="19">
        <v>74.66</v>
      </c>
      <c r="Z19" s="5"/>
      <c r="AA19" s="27">
        <f>1/0.789</f>
        <v>1.2674271229404308</v>
      </c>
      <c r="AB19" s="19">
        <v>74.66</v>
      </c>
      <c r="AC19" s="5"/>
      <c r="AD19" s="27">
        <f>1/0.7896</f>
        <v>1.2664640324214793</v>
      </c>
      <c r="AE19" s="19">
        <v>74.92</v>
      </c>
      <c r="AF19" s="5"/>
      <c r="AG19" s="27">
        <f>1/0.7892</f>
        <v>1.2671059300557526</v>
      </c>
      <c r="AH19" s="19">
        <v>74.85</v>
      </c>
      <c r="AI19" s="5"/>
      <c r="AJ19" s="27">
        <f>1/0.7916</f>
        <v>1.2632642748863063</v>
      </c>
      <c r="AK19" s="19">
        <v>74.92</v>
      </c>
      <c r="AL19" s="5"/>
      <c r="AM19" s="27">
        <f>1/0.7904</f>
        <v>1.2651821862348178</v>
      </c>
      <c r="AN19" s="19">
        <v>74.98</v>
      </c>
      <c r="AO19" s="5"/>
      <c r="AP19" s="27">
        <f>1/0.7878</f>
        <v>1.2693577050012694</v>
      </c>
      <c r="AQ19" s="19">
        <v>75.19</v>
      </c>
      <c r="AR19" s="5"/>
      <c r="AS19" s="27">
        <f>1/0.7773</f>
        <v>1.2865045670912132</v>
      </c>
      <c r="AT19" s="19">
        <v>74.99</v>
      </c>
      <c r="AU19" s="5"/>
      <c r="AV19" s="27">
        <f>1/0.882</f>
        <v>1.1337868480725624</v>
      </c>
      <c r="AW19" s="19">
        <v>85.33</v>
      </c>
      <c r="AX19" s="5"/>
      <c r="AY19" s="27">
        <f>1/0.7735</f>
        <v>1.292824822236587</v>
      </c>
      <c r="AZ19" s="19">
        <v>75.01</v>
      </c>
      <c r="BA19" s="5"/>
      <c r="BB19" s="27">
        <f>1/0.774</f>
        <v>1.2919896640826873</v>
      </c>
      <c r="BC19" s="19">
        <v>75.23</v>
      </c>
      <c r="BD19" s="5"/>
      <c r="BE19" s="27">
        <f>1/0.7712</f>
        <v>1.2966804979253113</v>
      </c>
      <c r="BF19" s="19">
        <v>74.85</v>
      </c>
      <c r="BG19" s="5"/>
      <c r="BH19" s="27">
        <f>1/0.7734</f>
        <v>1.2929919834497026</v>
      </c>
      <c r="BI19" s="19">
        <v>75.13</v>
      </c>
      <c r="BJ19" s="18"/>
      <c r="BK19" s="27">
        <f t="shared" si="0"/>
        <v>1.2674391661765627</v>
      </c>
      <c r="BL19" s="19">
        <f t="shared" si="1"/>
        <v>75.72649999999999</v>
      </c>
      <c r="BM19" s="18"/>
      <c r="BN19" s="31"/>
      <c r="BO19" s="32"/>
      <c r="BP19" s="24"/>
      <c r="BQ19" s="31"/>
      <c r="BR19" s="32"/>
      <c r="BS19" s="24"/>
    </row>
    <row r="20" spans="1:71" ht="15.75" customHeight="1">
      <c r="A20" s="16">
        <v>8</v>
      </c>
      <c r="B20" s="17" t="s">
        <v>21</v>
      </c>
      <c r="C20" s="27">
        <v>1.235</v>
      </c>
      <c r="D20" s="19">
        <v>77.83</v>
      </c>
      <c r="E20" s="5"/>
      <c r="F20" s="27">
        <v>1.2436</v>
      </c>
      <c r="G20" s="19">
        <v>77.54</v>
      </c>
      <c r="H20" s="5"/>
      <c r="I20" s="27">
        <v>1.2413</v>
      </c>
      <c r="J20" s="19">
        <v>77.65</v>
      </c>
      <c r="K20" s="5"/>
      <c r="L20" s="27">
        <v>1.244</v>
      </c>
      <c r="M20" s="19">
        <v>77.55</v>
      </c>
      <c r="N20" s="5"/>
      <c r="O20" s="27">
        <v>1.2324</v>
      </c>
      <c r="P20" s="19">
        <v>77.99</v>
      </c>
      <c r="Q20" s="5"/>
      <c r="R20" s="27">
        <v>1.2269</v>
      </c>
      <c r="S20" s="19">
        <v>78.24</v>
      </c>
      <c r="T20" s="5"/>
      <c r="U20" s="27">
        <v>1.2067</v>
      </c>
      <c r="V20" s="19">
        <v>78.86</v>
      </c>
      <c r="W20" s="5"/>
      <c r="X20" s="27">
        <v>1.2031</v>
      </c>
      <c r="Y20" s="19">
        <v>78.66</v>
      </c>
      <c r="Z20" s="5"/>
      <c r="AA20" s="27">
        <v>1.2031</v>
      </c>
      <c r="AB20" s="19">
        <v>78.66</v>
      </c>
      <c r="AC20" s="5"/>
      <c r="AD20" s="27">
        <v>1.2056</v>
      </c>
      <c r="AE20" s="19">
        <v>78.7</v>
      </c>
      <c r="AF20" s="5"/>
      <c r="AG20" s="27">
        <v>1.2043</v>
      </c>
      <c r="AH20" s="19">
        <v>78.75</v>
      </c>
      <c r="AI20" s="5"/>
      <c r="AJ20" s="27">
        <v>1.2055</v>
      </c>
      <c r="AK20" s="19">
        <v>78.51</v>
      </c>
      <c r="AL20" s="5"/>
      <c r="AM20" s="27">
        <v>1.2054</v>
      </c>
      <c r="AN20" s="19">
        <v>78.7</v>
      </c>
      <c r="AO20" s="5"/>
      <c r="AP20" s="27">
        <v>1.2119</v>
      </c>
      <c r="AQ20" s="19">
        <v>78.75</v>
      </c>
      <c r="AR20" s="5"/>
      <c r="AS20" s="27">
        <v>1.2116</v>
      </c>
      <c r="AT20" s="19">
        <v>79.63</v>
      </c>
      <c r="AU20" s="5"/>
      <c r="AV20" s="27">
        <v>1.2179</v>
      </c>
      <c r="AW20" s="19">
        <v>79.44</v>
      </c>
      <c r="AX20" s="5"/>
      <c r="AY20" s="27">
        <v>1.2132</v>
      </c>
      <c r="AZ20" s="19">
        <v>79.93</v>
      </c>
      <c r="BA20" s="5"/>
      <c r="BB20" s="27">
        <v>1.2119</v>
      </c>
      <c r="BC20" s="19">
        <v>80.21</v>
      </c>
      <c r="BD20" s="5"/>
      <c r="BE20" s="27">
        <v>1.2125</v>
      </c>
      <c r="BF20" s="19">
        <v>80.04</v>
      </c>
      <c r="BG20" s="5"/>
      <c r="BH20" s="27">
        <v>1.2129</v>
      </c>
      <c r="BI20" s="19">
        <v>80.09</v>
      </c>
      <c r="BJ20" s="5"/>
      <c r="BK20" s="27">
        <f t="shared" si="0"/>
        <v>1.21744</v>
      </c>
      <c r="BL20" s="19">
        <f t="shared" si="1"/>
        <v>78.7865</v>
      </c>
      <c r="BM20" s="5"/>
      <c r="BN20" s="31"/>
      <c r="BO20" s="32"/>
      <c r="BP20" s="9"/>
      <c r="BQ20" s="31"/>
      <c r="BR20" s="32"/>
      <c r="BS20" s="9"/>
    </row>
    <row r="21" spans="1:71" ht="15.75" customHeight="1">
      <c r="A21" s="16">
        <v>9</v>
      </c>
      <c r="B21" s="17" t="s">
        <v>22</v>
      </c>
      <c r="C21" s="27">
        <v>6.8541</v>
      </c>
      <c r="D21" s="19">
        <v>14.02</v>
      </c>
      <c r="E21" s="5"/>
      <c r="F21" s="27">
        <v>6.9219</v>
      </c>
      <c r="G21" s="19">
        <v>13.93</v>
      </c>
      <c r="H21" s="5"/>
      <c r="I21" s="27">
        <v>6.8829</v>
      </c>
      <c r="J21" s="19">
        <v>14</v>
      </c>
      <c r="K21" s="5"/>
      <c r="L21" s="27">
        <v>6.891</v>
      </c>
      <c r="M21" s="19">
        <v>14</v>
      </c>
      <c r="N21" s="5"/>
      <c r="O21" s="27">
        <v>6.8394</v>
      </c>
      <c r="P21" s="19">
        <v>14.05</v>
      </c>
      <c r="Q21" s="5"/>
      <c r="R21" s="27">
        <v>6.8254</v>
      </c>
      <c r="S21" s="19">
        <v>14.06</v>
      </c>
      <c r="T21" s="5"/>
      <c r="U21" s="27">
        <v>6.7664</v>
      </c>
      <c r="V21" s="19">
        <v>14.06</v>
      </c>
      <c r="W21" s="5"/>
      <c r="X21" s="27">
        <v>6.756</v>
      </c>
      <c r="Y21" s="19">
        <v>14.01</v>
      </c>
      <c r="Z21" s="5"/>
      <c r="AA21" s="27">
        <v>6.756</v>
      </c>
      <c r="AB21" s="19">
        <v>14.01</v>
      </c>
      <c r="AC21" s="5"/>
      <c r="AD21" s="27">
        <v>6.7979</v>
      </c>
      <c r="AE21" s="19">
        <v>13.96</v>
      </c>
      <c r="AF21" s="5"/>
      <c r="AG21" s="27">
        <v>6.8089</v>
      </c>
      <c r="AH21" s="19">
        <v>13.93</v>
      </c>
      <c r="AI21" s="5"/>
      <c r="AJ21" s="27">
        <v>6.8048</v>
      </c>
      <c r="AK21" s="19">
        <v>13.91</v>
      </c>
      <c r="AL21" s="5"/>
      <c r="AM21" s="27">
        <v>6.8374</v>
      </c>
      <c r="AN21" s="19">
        <v>13.87</v>
      </c>
      <c r="AO21" s="5"/>
      <c r="AP21" s="27">
        <v>6.9112</v>
      </c>
      <c r="AQ21" s="19">
        <v>13.81</v>
      </c>
      <c r="AR21" s="5"/>
      <c r="AS21" s="27">
        <v>6.9836</v>
      </c>
      <c r="AT21" s="19">
        <v>13.81</v>
      </c>
      <c r="AU21" s="5"/>
      <c r="AV21" s="27">
        <v>7.014</v>
      </c>
      <c r="AW21" s="19">
        <v>13.79</v>
      </c>
      <c r="AX21" s="5"/>
      <c r="AY21" s="27">
        <v>7.0282</v>
      </c>
      <c r="AZ21" s="19">
        <v>13.8</v>
      </c>
      <c r="BA21" s="5"/>
      <c r="BB21" s="27">
        <v>7.0602</v>
      </c>
      <c r="BC21" s="19">
        <v>13.77</v>
      </c>
      <c r="BD21" s="5"/>
      <c r="BE21" s="27">
        <v>7.0531</v>
      </c>
      <c r="BF21" s="19">
        <v>13.76</v>
      </c>
      <c r="BG21" s="5"/>
      <c r="BH21" s="27">
        <v>7.0592</v>
      </c>
      <c r="BI21" s="19">
        <v>13.76</v>
      </c>
      <c r="BJ21" s="5"/>
      <c r="BK21" s="27">
        <f t="shared" si="0"/>
        <v>6.892579999999998</v>
      </c>
      <c r="BL21" s="19">
        <f t="shared" si="1"/>
        <v>13.915500000000003</v>
      </c>
      <c r="BM21" s="5"/>
      <c r="BN21" s="31"/>
      <c r="BO21" s="32"/>
      <c r="BP21" s="9"/>
      <c r="BQ21" s="31"/>
      <c r="BR21" s="32"/>
      <c r="BS21" s="9"/>
    </row>
    <row r="22" spans="1:71" ht="15.75" customHeight="1">
      <c r="A22" s="16">
        <v>10</v>
      </c>
      <c r="B22" s="17" t="s">
        <v>23</v>
      </c>
      <c r="C22" s="27">
        <v>6.2248</v>
      </c>
      <c r="D22" s="19">
        <v>15.44</v>
      </c>
      <c r="E22" s="5"/>
      <c r="F22" s="27">
        <v>6.2663</v>
      </c>
      <c r="G22" s="19">
        <v>15.39</v>
      </c>
      <c r="H22" s="5"/>
      <c r="I22" s="27">
        <v>6.243</v>
      </c>
      <c r="J22" s="19">
        <v>15.44</v>
      </c>
      <c r="K22" s="5"/>
      <c r="L22" s="27">
        <v>6.2658</v>
      </c>
      <c r="M22" s="19">
        <v>15.4</v>
      </c>
      <c r="N22" s="5"/>
      <c r="O22" s="27">
        <v>6.2207</v>
      </c>
      <c r="P22" s="19">
        <v>15.45</v>
      </c>
      <c r="Q22" s="5"/>
      <c r="R22" s="27">
        <v>6.1876</v>
      </c>
      <c r="S22" s="19">
        <v>15.51</v>
      </c>
      <c r="T22" s="5"/>
      <c r="U22" s="27">
        <v>6.115</v>
      </c>
      <c r="V22" s="19">
        <v>15.56</v>
      </c>
      <c r="W22" s="5"/>
      <c r="X22" s="27">
        <v>6.1038</v>
      </c>
      <c r="Y22" s="19">
        <v>15.5</v>
      </c>
      <c r="Z22" s="5"/>
      <c r="AA22" s="27">
        <v>6.1038</v>
      </c>
      <c r="AB22" s="19">
        <v>15.5</v>
      </c>
      <c r="AC22" s="5"/>
      <c r="AD22" s="27">
        <v>6.1131</v>
      </c>
      <c r="AE22" s="19">
        <v>15.52</v>
      </c>
      <c r="AF22" s="5"/>
      <c r="AG22" s="27">
        <v>6.1199</v>
      </c>
      <c r="AH22" s="19">
        <v>15.5</v>
      </c>
      <c r="AI22" s="5"/>
      <c r="AJ22" s="27">
        <v>6.0899</v>
      </c>
      <c r="AK22" s="19">
        <v>15.54</v>
      </c>
      <c r="AL22" s="5"/>
      <c r="AM22" s="27">
        <v>6.1099</v>
      </c>
      <c r="AN22" s="19">
        <v>15.53</v>
      </c>
      <c r="AO22" s="5"/>
      <c r="AP22" s="27">
        <v>6.1581</v>
      </c>
      <c r="AQ22" s="19">
        <v>15.5</v>
      </c>
      <c r="AR22" s="5"/>
      <c r="AS22" s="27">
        <v>6.2712</v>
      </c>
      <c r="AT22" s="19">
        <v>15.38</v>
      </c>
      <c r="AU22" s="5"/>
      <c r="AV22" s="27">
        <v>6.315</v>
      </c>
      <c r="AW22" s="19">
        <v>15.32</v>
      </c>
      <c r="AX22" s="5"/>
      <c r="AY22" s="27">
        <v>6.3265</v>
      </c>
      <c r="AZ22" s="19">
        <v>15.33</v>
      </c>
      <c r="BA22" s="5"/>
      <c r="BB22" s="27">
        <v>6.3578</v>
      </c>
      <c r="BC22" s="19">
        <v>15.29</v>
      </c>
      <c r="BD22" s="5"/>
      <c r="BE22" s="27">
        <v>6.3145</v>
      </c>
      <c r="BF22" s="19">
        <v>15.37</v>
      </c>
      <c r="BG22" s="5"/>
      <c r="BH22" s="27">
        <v>6.3345</v>
      </c>
      <c r="BI22" s="19">
        <v>15.34</v>
      </c>
      <c r="BJ22" s="5"/>
      <c r="BK22" s="27">
        <f t="shared" si="0"/>
        <v>6.212059999999999</v>
      </c>
      <c r="BL22" s="19">
        <f t="shared" si="1"/>
        <v>15.4405</v>
      </c>
      <c r="BM22" s="5"/>
      <c r="BN22" s="31"/>
      <c r="BO22" s="32"/>
      <c r="BP22" s="9"/>
      <c r="BQ22" s="31"/>
      <c r="BR22" s="32"/>
      <c r="BS22" s="9"/>
    </row>
    <row r="23" spans="1:71" ht="15.75" customHeight="1">
      <c r="A23" s="16">
        <v>11</v>
      </c>
      <c r="B23" s="17" t="s">
        <v>24</v>
      </c>
      <c r="C23" s="27">
        <v>5.6353</v>
      </c>
      <c r="D23" s="19">
        <v>17.06</v>
      </c>
      <c r="E23" s="5"/>
      <c r="F23" s="27">
        <v>5.6353</v>
      </c>
      <c r="G23" s="19">
        <v>17.11</v>
      </c>
      <c r="H23" s="5"/>
      <c r="I23" s="27">
        <v>5.6545</v>
      </c>
      <c r="J23" s="19">
        <v>17.05</v>
      </c>
      <c r="K23" s="5"/>
      <c r="L23" s="27">
        <v>5.6704</v>
      </c>
      <c r="M23" s="19">
        <v>17.01</v>
      </c>
      <c r="N23" s="5"/>
      <c r="O23" s="27">
        <v>5.6325</v>
      </c>
      <c r="P23" s="19">
        <v>17.06</v>
      </c>
      <c r="Q23" s="5"/>
      <c r="R23" s="27">
        <v>5.6225</v>
      </c>
      <c r="S23" s="19">
        <v>17.07</v>
      </c>
      <c r="T23" s="5"/>
      <c r="U23" s="27">
        <v>5.5704</v>
      </c>
      <c r="V23" s="19">
        <v>17.08</v>
      </c>
      <c r="W23" s="5"/>
      <c r="X23" s="27">
        <v>5.5529</v>
      </c>
      <c r="Y23" s="19">
        <v>17.04</v>
      </c>
      <c r="Z23" s="5"/>
      <c r="AA23" s="27">
        <v>5.5529</v>
      </c>
      <c r="AB23" s="19">
        <v>17.04</v>
      </c>
      <c r="AC23" s="5"/>
      <c r="AD23" s="27">
        <v>5.5711</v>
      </c>
      <c r="AE23" s="19">
        <v>17.03</v>
      </c>
      <c r="AF23" s="5"/>
      <c r="AG23" s="27">
        <v>5.5771</v>
      </c>
      <c r="AH23" s="19">
        <v>17</v>
      </c>
      <c r="AI23" s="5"/>
      <c r="AJ23" s="27">
        <v>5.5686</v>
      </c>
      <c r="AK23" s="19">
        <v>17</v>
      </c>
      <c r="AL23" s="5"/>
      <c r="AM23" s="27">
        <v>5.593</v>
      </c>
      <c r="AN23" s="19">
        <v>16.96</v>
      </c>
      <c r="AO23" s="5"/>
      <c r="AP23" s="27">
        <v>5.6338</v>
      </c>
      <c r="AQ23" s="19">
        <v>16.94</v>
      </c>
      <c r="AR23" s="5"/>
      <c r="AS23" s="27">
        <v>5.7061</v>
      </c>
      <c r="AT23" s="19">
        <v>16.91</v>
      </c>
      <c r="AU23" s="5"/>
      <c r="AV23" s="27">
        <v>5.7404</v>
      </c>
      <c r="AW23" s="19">
        <v>16.85</v>
      </c>
      <c r="AX23" s="5"/>
      <c r="AY23" s="27">
        <v>5.7443</v>
      </c>
      <c r="AZ23" s="19">
        <v>16.88</v>
      </c>
      <c r="BA23" s="5"/>
      <c r="BB23" s="27">
        <v>5.758</v>
      </c>
      <c r="BC23" s="19">
        <v>16.88</v>
      </c>
      <c r="BD23" s="5"/>
      <c r="BE23" s="27">
        <v>5.7492</v>
      </c>
      <c r="BF23" s="19">
        <v>16.88</v>
      </c>
      <c r="BG23" s="5"/>
      <c r="BH23" s="27">
        <v>5.7502</v>
      </c>
      <c r="BI23" s="19">
        <v>16.89</v>
      </c>
      <c r="BJ23" s="5"/>
      <c r="BK23" s="27">
        <f t="shared" si="0"/>
        <v>5.645925</v>
      </c>
      <c r="BL23" s="19">
        <f t="shared" si="1"/>
        <v>16.987000000000002</v>
      </c>
      <c r="BM23" s="5"/>
      <c r="BN23" s="31"/>
      <c r="BO23" s="32"/>
      <c r="BP23" s="9"/>
      <c r="BQ23" s="31"/>
      <c r="BR23" s="32"/>
      <c r="BS23" s="9"/>
    </row>
    <row r="24" spans="1:71" ht="15.75" customHeight="1">
      <c r="A24" s="16">
        <v>12</v>
      </c>
      <c r="B24" s="17" t="s">
        <v>25</v>
      </c>
      <c r="C24" s="27">
        <f>1/1.53199</f>
        <v>0.6527457751029707</v>
      </c>
      <c r="D24" s="19">
        <v>147.25</v>
      </c>
      <c r="E24" s="5"/>
      <c r="F24" s="27">
        <f>1/1.53004</f>
        <v>0.6535776842435491</v>
      </c>
      <c r="G24" s="19">
        <v>147.55</v>
      </c>
      <c r="H24" s="5"/>
      <c r="I24" s="27">
        <f>1/1.52375</f>
        <v>0.6562756357670222</v>
      </c>
      <c r="J24" s="19">
        <v>146.87</v>
      </c>
      <c r="K24" s="5"/>
      <c r="L24" s="27">
        <f>1/1.52479</f>
        <v>0.655828015661173</v>
      </c>
      <c r="M24" s="19">
        <v>147.1</v>
      </c>
      <c r="N24" s="5"/>
      <c r="O24" s="27">
        <f>1/1.52246</f>
        <v>0.6568317065801401</v>
      </c>
      <c r="P24" s="19">
        <v>146.33</v>
      </c>
      <c r="Q24" s="5"/>
      <c r="R24" s="27">
        <f>1/1.52807</f>
        <v>0.6544202817933733</v>
      </c>
      <c r="S24" s="19">
        <v>146.68</v>
      </c>
      <c r="T24" s="5"/>
      <c r="U24" s="27">
        <f>1/1.53102</f>
        <v>0.6531593316873718</v>
      </c>
      <c r="V24" s="19">
        <v>145.69</v>
      </c>
      <c r="W24" s="5"/>
      <c r="X24" s="27">
        <f>1/1.53901</f>
        <v>0.6497683575805225</v>
      </c>
      <c r="Y24" s="19">
        <v>145.64</v>
      </c>
      <c r="Z24" s="5"/>
      <c r="AA24" s="27">
        <f>1/1.53901</f>
        <v>0.6497683575805225</v>
      </c>
      <c r="AB24" s="19">
        <v>145.64</v>
      </c>
      <c r="AC24" s="5"/>
      <c r="AD24" s="27">
        <f>1/1.53728</f>
        <v>0.6504995836802665</v>
      </c>
      <c r="AE24" s="19">
        <v>145.86</v>
      </c>
      <c r="AF24" s="5"/>
      <c r="AG24" s="27">
        <f>1/1.5371</f>
        <v>0.6505757595471993</v>
      </c>
      <c r="AH24" s="19">
        <v>145.77</v>
      </c>
      <c r="AI24" s="5"/>
      <c r="AJ24" s="27">
        <f>1/1.53783</f>
        <v>0.6502669345766438</v>
      </c>
      <c r="AK24" s="19">
        <v>145.54</v>
      </c>
      <c r="AL24" s="5"/>
      <c r="AM24" s="27">
        <f>1/1.53795</f>
        <v>0.6502161968854644</v>
      </c>
      <c r="AN24" s="19">
        <v>145.9</v>
      </c>
      <c r="AO24" s="5"/>
      <c r="AP24" s="27">
        <f>1/1.53281</f>
        <v>0.6523965788323406</v>
      </c>
      <c r="AQ24" s="19">
        <v>146.29</v>
      </c>
      <c r="AR24" s="5"/>
      <c r="AS24" s="27">
        <f>1/1.52577</f>
        <v>0.6554067782169003</v>
      </c>
      <c r="AT24" s="19">
        <v>147.2</v>
      </c>
      <c r="AU24" s="5"/>
      <c r="AV24" s="27">
        <f>1/1.51645</f>
        <v>0.6594348643212766</v>
      </c>
      <c r="AW24" s="19">
        <v>146.72</v>
      </c>
      <c r="AX24" s="5"/>
      <c r="AY24" s="27">
        <f>1/1.51107</f>
        <v>0.6617827102649116</v>
      </c>
      <c r="AZ24" s="19">
        <v>146.54</v>
      </c>
      <c r="BA24" s="5"/>
      <c r="BB24" s="27">
        <f>1/1.50492</f>
        <v>0.6644871488185419</v>
      </c>
      <c r="BC24" s="19">
        <v>146.28</v>
      </c>
      <c r="BD24" s="5"/>
      <c r="BE24" s="27">
        <f>1/1.50803</f>
        <v>0.6631167814963893</v>
      </c>
      <c r="BF24" s="19">
        <v>146.36</v>
      </c>
      <c r="BG24" s="5"/>
      <c r="BH24" s="27">
        <f>1/1.50871</f>
        <v>0.6628179040372238</v>
      </c>
      <c r="BI24" s="19">
        <v>146.56</v>
      </c>
      <c r="BJ24" s="5"/>
      <c r="BK24" s="27">
        <f t="shared" si="0"/>
        <v>0.6551688193336902</v>
      </c>
      <c r="BL24" s="19">
        <f t="shared" si="1"/>
        <v>146.3885</v>
      </c>
      <c r="BM24" s="5"/>
      <c r="BN24" s="31"/>
      <c r="BO24" s="32"/>
      <c r="BP24" s="9"/>
      <c r="BQ24" s="31"/>
      <c r="BR24" s="32"/>
      <c r="BS24" s="9"/>
    </row>
    <row r="25" spans="1:71" ht="15.75" customHeight="1" thickBot="1">
      <c r="A25" s="35">
        <v>13</v>
      </c>
      <c r="B25" s="36" t="s">
        <v>26</v>
      </c>
      <c r="C25" s="28">
        <v>1</v>
      </c>
      <c r="D25" s="22">
        <v>96.12</v>
      </c>
      <c r="E25" s="21"/>
      <c r="F25" s="28">
        <v>1</v>
      </c>
      <c r="G25" s="22">
        <v>96.43</v>
      </c>
      <c r="H25" s="21"/>
      <c r="I25" s="28">
        <v>1</v>
      </c>
      <c r="J25" s="22">
        <v>96.38</v>
      </c>
      <c r="K25" s="21"/>
      <c r="L25" s="28">
        <v>1</v>
      </c>
      <c r="M25" s="22">
        <v>96.47</v>
      </c>
      <c r="N25" s="21"/>
      <c r="O25" s="28">
        <v>1</v>
      </c>
      <c r="P25" s="22">
        <v>96.11</v>
      </c>
      <c r="Q25" s="21"/>
      <c r="R25" s="28">
        <v>1</v>
      </c>
      <c r="S25" s="22">
        <v>95.99</v>
      </c>
      <c r="T25" s="21"/>
      <c r="U25" s="28">
        <v>1</v>
      </c>
      <c r="V25" s="22">
        <v>95.16</v>
      </c>
      <c r="W25" s="21"/>
      <c r="X25" s="28">
        <v>1</v>
      </c>
      <c r="Y25" s="22">
        <v>94.63</v>
      </c>
      <c r="Z25" s="21"/>
      <c r="AA25" s="28">
        <v>1</v>
      </c>
      <c r="AB25" s="22">
        <v>94.63</v>
      </c>
      <c r="AC25" s="21"/>
      <c r="AD25" s="28">
        <v>1</v>
      </c>
      <c r="AE25" s="22">
        <v>94.88</v>
      </c>
      <c r="AF25" s="21"/>
      <c r="AG25" s="28">
        <v>1</v>
      </c>
      <c r="AH25" s="22">
        <v>94.84</v>
      </c>
      <c r="AI25" s="21"/>
      <c r="AJ25" s="28">
        <v>1</v>
      </c>
      <c r="AK25" s="22">
        <v>94.64</v>
      </c>
      <c r="AL25" s="21"/>
      <c r="AM25" s="28">
        <v>1</v>
      </c>
      <c r="AN25" s="22">
        <v>94.87</v>
      </c>
      <c r="AO25" s="21"/>
      <c r="AP25" s="28">
        <v>1</v>
      </c>
      <c r="AQ25" s="22">
        <v>95.44</v>
      </c>
      <c r="AR25" s="21"/>
      <c r="AS25" s="28">
        <v>1</v>
      </c>
      <c r="AT25" s="22">
        <v>96.48</v>
      </c>
      <c r="AU25" s="21"/>
      <c r="AV25" s="28">
        <v>1</v>
      </c>
      <c r="AW25" s="22">
        <v>96.75</v>
      </c>
      <c r="AX25" s="21"/>
      <c r="AY25" s="28">
        <v>1</v>
      </c>
      <c r="AZ25" s="22">
        <v>96.98</v>
      </c>
      <c r="BA25" s="21"/>
      <c r="BB25" s="28">
        <v>1</v>
      </c>
      <c r="BC25" s="22">
        <v>97.2</v>
      </c>
      <c r="BD25" s="21"/>
      <c r="BE25" s="28">
        <v>1</v>
      </c>
      <c r="BF25" s="22">
        <v>97.05</v>
      </c>
      <c r="BG25" s="21"/>
      <c r="BH25" s="28">
        <v>1</v>
      </c>
      <c r="BI25" s="22">
        <v>97.15</v>
      </c>
      <c r="BJ25" s="21"/>
      <c r="BK25" s="28">
        <f t="shared" si="0"/>
        <v>1</v>
      </c>
      <c r="BL25" s="22">
        <f t="shared" si="1"/>
        <v>95.91000000000001</v>
      </c>
      <c r="BM25" s="21"/>
      <c r="BN25" s="31"/>
      <c r="BO25" s="32"/>
      <c r="BP25" s="9"/>
      <c r="BQ25" s="31"/>
      <c r="BR25" s="32"/>
      <c r="BS25" s="9"/>
    </row>
    <row r="26" spans="1:71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40"/>
      <c r="BO26" s="40"/>
      <c r="BP26" s="40"/>
      <c r="BQ26" s="40"/>
      <c r="BR26" s="40"/>
      <c r="BS26" s="40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&amp;L&amp;"Helv,Bold"&amp;12Banka e Shqiperise
Sektori i Informacionit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9" ht="15.75" customHeight="1">
      <c r="A4" s="6" t="s">
        <v>2</v>
      </c>
      <c r="B4" s="5"/>
      <c r="C4" s="4" t="s">
        <v>89</v>
      </c>
      <c r="D4" s="4"/>
      <c r="E4" s="10"/>
      <c r="F4" s="4" t="s">
        <v>90</v>
      </c>
      <c r="G4" s="4"/>
      <c r="H4" s="10"/>
      <c r="I4" s="4" t="s">
        <v>91</v>
      </c>
      <c r="J4" s="4"/>
      <c r="K4" s="10"/>
      <c r="L4" s="4" t="s">
        <v>92</v>
      </c>
      <c r="M4" s="4"/>
      <c r="N4" s="10"/>
      <c r="O4" s="4" t="s">
        <v>93</v>
      </c>
      <c r="P4" s="4"/>
      <c r="Q4" s="10"/>
      <c r="R4" s="4" t="s">
        <v>94</v>
      </c>
      <c r="S4" s="4"/>
      <c r="T4" s="10"/>
      <c r="U4" s="4" t="s">
        <v>95</v>
      </c>
      <c r="V4" s="4"/>
      <c r="W4" s="10"/>
      <c r="X4" s="4" t="s">
        <v>96</v>
      </c>
      <c r="Y4" s="4"/>
      <c r="Z4" s="10"/>
      <c r="AA4" s="4" t="s">
        <v>97</v>
      </c>
      <c r="AB4" s="4"/>
      <c r="AC4" s="10"/>
      <c r="AD4" s="4" t="s">
        <v>98</v>
      </c>
      <c r="AE4" s="4"/>
      <c r="AF4" s="10"/>
      <c r="AG4" s="4" t="s">
        <v>99</v>
      </c>
      <c r="AH4" s="4"/>
      <c r="AI4" s="10"/>
      <c r="AJ4" s="4" t="s">
        <v>100</v>
      </c>
      <c r="AK4" s="4"/>
      <c r="AL4" s="10"/>
      <c r="AM4" s="4" t="s">
        <v>101</v>
      </c>
      <c r="AN4" s="4"/>
      <c r="AO4" s="10"/>
      <c r="AP4" s="4" t="s">
        <v>102</v>
      </c>
      <c r="AQ4" s="4"/>
      <c r="AR4" s="10"/>
      <c r="AS4" s="4" t="s">
        <v>103</v>
      </c>
      <c r="AT4" s="4"/>
      <c r="AU4" s="10"/>
      <c r="AV4" s="4" t="s">
        <v>104</v>
      </c>
      <c r="AW4" s="4"/>
      <c r="AX4" s="10"/>
      <c r="AY4" s="4" t="s">
        <v>105</v>
      </c>
      <c r="AZ4" s="4"/>
      <c r="BA4" s="10"/>
      <c r="BB4" s="4" t="s">
        <v>106</v>
      </c>
      <c r="BC4" s="4"/>
      <c r="BD4" s="10"/>
      <c r="BE4" s="4" t="s">
        <v>107</v>
      </c>
      <c r="BF4" s="4"/>
      <c r="BG4" s="10"/>
      <c r="BH4" s="4" t="s">
        <v>108</v>
      </c>
      <c r="BI4" s="4"/>
      <c r="BJ4" s="26"/>
      <c r="BK4" s="4" t="s">
        <v>109</v>
      </c>
      <c r="BL4" s="4"/>
      <c r="BM4" s="26"/>
      <c r="BN4" s="4" t="s">
        <v>3</v>
      </c>
      <c r="BO4" s="4"/>
      <c r="BP4" s="37"/>
      <c r="BQ4" s="38"/>
    </row>
    <row r="5" spans="1:69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38"/>
      <c r="BQ5" s="38"/>
    </row>
    <row r="6" spans="1:69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9"/>
    </row>
    <row r="7" spans="1:69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39"/>
    </row>
    <row r="8" spans="1:69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39"/>
    </row>
    <row r="9" spans="1:69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39"/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9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9" ht="15.75" customHeight="1">
      <c r="A13" s="16">
        <v>1</v>
      </c>
      <c r="B13" s="17" t="s">
        <v>14</v>
      </c>
      <c r="C13" s="27">
        <v>107.21</v>
      </c>
      <c r="D13" s="19">
        <v>90.76</v>
      </c>
      <c r="E13" s="5"/>
      <c r="F13" s="27">
        <v>108.04</v>
      </c>
      <c r="G13" s="19">
        <v>90.58</v>
      </c>
      <c r="H13" s="5"/>
      <c r="I13" s="27">
        <v>108.69</v>
      </c>
      <c r="J13" s="19">
        <v>90.43</v>
      </c>
      <c r="K13" s="5"/>
      <c r="L13" s="27">
        <v>108.28</v>
      </c>
      <c r="M13" s="19">
        <v>90.53</v>
      </c>
      <c r="N13" s="5"/>
      <c r="O13" s="27">
        <v>108.24</v>
      </c>
      <c r="P13" s="19">
        <v>90.37</v>
      </c>
      <c r="Q13" s="5"/>
      <c r="R13" s="27">
        <v>108.58</v>
      </c>
      <c r="S13" s="19">
        <v>90.51</v>
      </c>
      <c r="T13" s="5"/>
      <c r="U13" s="27">
        <v>107.9</v>
      </c>
      <c r="V13" s="19">
        <v>90.51</v>
      </c>
      <c r="W13" s="5"/>
      <c r="X13" s="27">
        <v>107.73</v>
      </c>
      <c r="Y13" s="19">
        <v>90.52</v>
      </c>
      <c r="Z13" s="5"/>
      <c r="AA13" s="27">
        <v>107.28</v>
      </c>
      <c r="AB13" s="19">
        <v>91.09</v>
      </c>
      <c r="AC13" s="5"/>
      <c r="AD13" s="27">
        <v>107.67</v>
      </c>
      <c r="AE13" s="19">
        <v>91.13</v>
      </c>
      <c r="AF13" s="5"/>
      <c r="AG13" s="27">
        <v>108.22</v>
      </c>
      <c r="AH13" s="19">
        <v>90.83</v>
      </c>
      <c r="AI13" s="5"/>
      <c r="AJ13" s="27">
        <v>107.44</v>
      </c>
      <c r="AK13" s="19">
        <v>90.74</v>
      </c>
      <c r="AL13" s="5"/>
      <c r="AM13" s="27">
        <v>107.15</v>
      </c>
      <c r="AN13" s="19">
        <v>90.71</v>
      </c>
      <c r="AO13" s="5"/>
      <c r="AP13" s="27">
        <v>106.93</v>
      </c>
      <c r="AQ13" s="19">
        <v>90.62</v>
      </c>
      <c r="AR13" s="5"/>
      <c r="AS13" s="27">
        <v>106.97</v>
      </c>
      <c r="AT13" s="19">
        <v>90.13</v>
      </c>
      <c r="AU13" s="5"/>
      <c r="AV13" s="27">
        <v>106.32</v>
      </c>
      <c r="AW13" s="19">
        <v>90.75</v>
      </c>
      <c r="AX13" s="5"/>
      <c r="AY13" s="27">
        <v>105.91</v>
      </c>
      <c r="AZ13" s="19">
        <v>90.95</v>
      </c>
      <c r="BA13" s="5"/>
      <c r="BB13" s="27">
        <v>106.18</v>
      </c>
      <c r="BC13" s="19">
        <v>90.98</v>
      </c>
      <c r="BD13" s="5"/>
      <c r="BE13" s="27">
        <v>105.83</v>
      </c>
      <c r="BF13" s="19">
        <v>91.35</v>
      </c>
      <c r="BG13" s="5"/>
      <c r="BH13" s="27">
        <v>105.83</v>
      </c>
      <c r="BI13" s="19">
        <v>91.35</v>
      </c>
      <c r="BJ13" s="5"/>
      <c r="BK13" s="27">
        <v>105.14</v>
      </c>
      <c r="BL13" s="19">
        <v>91.69</v>
      </c>
      <c r="BM13" s="5"/>
      <c r="BN13" s="27">
        <f>(+C13+F13+I13+L13+O13+R13+U13+X13+AA13+AD13+AG13+AJ13+AM13+AP13+AS13+AV13+AY13+BB13+BE13+BH13+BK13)/21</f>
        <v>107.21619047619049</v>
      </c>
      <c r="BO13" s="19">
        <f>(+D13+G13+J13+M13+P13+S13+V13+Y13+AB13+AE13+AH13+AK13+AN13+AQ13+AT13+AW13+AZ13+BC13+BF13+BI13+BL13)/21</f>
        <v>90.78714285714285</v>
      </c>
      <c r="BP13" s="32"/>
      <c r="BQ13" s="9"/>
    </row>
    <row r="14" spans="1:69" ht="15.75" customHeight="1">
      <c r="A14" s="16">
        <v>2</v>
      </c>
      <c r="B14" s="17" t="s">
        <v>15</v>
      </c>
      <c r="C14" s="27">
        <f>1/1.8862</f>
        <v>0.5301664722722935</v>
      </c>
      <c r="D14" s="19">
        <v>183.53</v>
      </c>
      <c r="E14" s="5"/>
      <c r="F14" s="27">
        <f>1/1.8753</f>
        <v>0.5332480136511492</v>
      </c>
      <c r="G14" s="19">
        <v>183.51</v>
      </c>
      <c r="H14" s="5"/>
      <c r="I14" s="27">
        <f>1/1.8741</f>
        <v>0.533589456272344</v>
      </c>
      <c r="J14" s="19">
        <v>184.2</v>
      </c>
      <c r="K14" s="5"/>
      <c r="L14" s="27">
        <f>1/1.882</f>
        <v>0.5313496280552604</v>
      </c>
      <c r="M14" s="19">
        <v>184.49</v>
      </c>
      <c r="N14" s="5"/>
      <c r="O14" s="27">
        <f>1/1.8785</f>
        <v>0.5323396326856534</v>
      </c>
      <c r="P14" s="19">
        <v>183.75</v>
      </c>
      <c r="Q14" s="5"/>
      <c r="R14" s="27">
        <f>1/1.8684</f>
        <v>0.5352172982230785</v>
      </c>
      <c r="S14" s="19">
        <v>183.62</v>
      </c>
      <c r="T14" s="5"/>
      <c r="U14" s="27">
        <f>1/1.8898</f>
        <v>0.5291565244999471</v>
      </c>
      <c r="V14" s="19">
        <v>184.55</v>
      </c>
      <c r="W14" s="5"/>
      <c r="X14" s="27">
        <f>1/1.8931</f>
        <v>0.5282341133590407</v>
      </c>
      <c r="Y14" s="19">
        <v>184.6</v>
      </c>
      <c r="Z14" s="5"/>
      <c r="AA14" s="27">
        <f>1/1.8937</f>
        <v>0.5280667476369013</v>
      </c>
      <c r="AB14" s="19">
        <v>185.05</v>
      </c>
      <c r="AC14" s="5"/>
      <c r="AD14" s="27">
        <f>1/1.8866</f>
        <v>0.5300540655146825</v>
      </c>
      <c r="AE14" s="19">
        <v>185.12</v>
      </c>
      <c r="AF14" s="5"/>
      <c r="AG14" s="27">
        <f>1/1.8818</f>
        <v>0.5314061005420343</v>
      </c>
      <c r="AH14" s="19">
        <v>184.98</v>
      </c>
      <c r="AI14" s="5"/>
      <c r="AJ14" s="27">
        <f>1/1.8994</f>
        <v>0.5264820469621986</v>
      </c>
      <c r="AK14" s="19">
        <v>185.18</v>
      </c>
      <c r="AL14" s="5"/>
      <c r="AM14" s="27">
        <f>1/1.9106</f>
        <v>0.5233957918978331</v>
      </c>
      <c r="AN14" s="19">
        <v>185.7</v>
      </c>
      <c r="AO14" s="5"/>
      <c r="AP14" s="27">
        <f>1/1.9137</f>
        <v>0.5225479437738413</v>
      </c>
      <c r="AQ14" s="19">
        <v>185.43</v>
      </c>
      <c r="AR14" s="5"/>
      <c r="AS14" s="27">
        <f>1/1.9117</f>
        <v>0.5230946278181723</v>
      </c>
      <c r="AT14" s="19">
        <v>184.32</v>
      </c>
      <c r="AU14" s="5"/>
      <c r="AV14" s="27">
        <f>1/1.9112</f>
        <v>0.5232314776056928</v>
      </c>
      <c r="AW14" s="19">
        <v>184.41</v>
      </c>
      <c r="AX14" s="5"/>
      <c r="AY14" s="27">
        <f>1/1.9096</f>
        <v>0.5236698785085881</v>
      </c>
      <c r="AZ14" s="19">
        <v>183.94</v>
      </c>
      <c r="BA14" s="5"/>
      <c r="BB14" s="27">
        <f>1/1.9005</f>
        <v>0.5261773217574323</v>
      </c>
      <c r="BC14" s="19">
        <v>183.6</v>
      </c>
      <c r="BD14" s="5"/>
      <c r="BE14" s="27">
        <f>1/1.9034</f>
        <v>0.5253756435851634</v>
      </c>
      <c r="BF14" s="19">
        <v>184.02</v>
      </c>
      <c r="BG14" s="5"/>
      <c r="BH14" s="27">
        <f>1/1.9034</f>
        <v>0.5253756435851634</v>
      </c>
      <c r="BI14" s="19">
        <v>184.02</v>
      </c>
      <c r="BJ14" s="5"/>
      <c r="BK14" s="27">
        <f>1/1.9129</f>
        <v>0.5227664802132888</v>
      </c>
      <c r="BL14" s="19">
        <v>184.41</v>
      </c>
      <c r="BM14" s="5"/>
      <c r="BN14" s="27">
        <f aca="true" t="shared" si="0" ref="BN14:BN25">(+C14+F14+I14+L14+O14+R14+U14+X14+AA14+AD14+AG14+AJ14+AM14+AP14+AS14+AV14+AY14+BB14+BE14+BH14+BK14)/21</f>
        <v>0.52785451944856</v>
      </c>
      <c r="BO14" s="19">
        <f aca="true" t="shared" si="1" ref="BO14:BO25">(+D14+G14+J14+M14+P14+S14+V14+Y14+AB14+AE14+AH14+AK14+AN14+AQ14+AT14+AW14+AZ14+BC14+BF14+BI14+BL14)/21</f>
        <v>184.4014285714285</v>
      </c>
      <c r="BP14" s="32"/>
      <c r="BQ14" s="9"/>
    </row>
    <row r="15" spans="1:69" ht="15.75" customHeight="1">
      <c r="A15" s="16">
        <v>3</v>
      </c>
      <c r="B15" s="17" t="s">
        <v>16</v>
      </c>
      <c r="C15" s="27">
        <v>1.1964</v>
      </c>
      <c r="D15" s="19">
        <v>81.33</v>
      </c>
      <c r="E15" s="5"/>
      <c r="F15" s="27">
        <v>1.2055</v>
      </c>
      <c r="G15" s="19">
        <v>81.18</v>
      </c>
      <c r="H15" s="5"/>
      <c r="I15" s="27">
        <v>1.2127</v>
      </c>
      <c r="J15" s="19">
        <v>81.05</v>
      </c>
      <c r="K15" s="5"/>
      <c r="L15" s="27">
        <v>1.2023</v>
      </c>
      <c r="M15" s="19">
        <v>81.53</v>
      </c>
      <c r="N15" s="5"/>
      <c r="O15" s="27">
        <v>1.2003</v>
      </c>
      <c r="P15" s="19">
        <v>81.49</v>
      </c>
      <c r="Q15" s="5"/>
      <c r="R15" s="27">
        <v>1.2075</v>
      </c>
      <c r="S15" s="19">
        <v>81.39</v>
      </c>
      <c r="T15" s="5"/>
      <c r="U15" s="27">
        <v>1.1941</v>
      </c>
      <c r="V15" s="19">
        <v>81.78</v>
      </c>
      <c r="W15" s="5"/>
      <c r="X15" s="27">
        <v>1.1921</v>
      </c>
      <c r="Y15" s="19">
        <v>81.8</v>
      </c>
      <c r="Z15" s="5"/>
      <c r="AA15" s="27">
        <v>1.1961</v>
      </c>
      <c r="AB15" s="19">
        <v>81.7</v>
      </c>
      <c r="AC15" s="5"/>
      <c r="AD15" s="27">
        <v>1.2059</v>
      </c>
      <c r="AE15" s="19">
        <v>81.37</v>
      </c>
      <c r="AF15" s="5"/>
      <c r="AG15" s="27">
        <v>1.2097</v>
      </c>
      <c r="AH15" s="19">
        <v>81.26</v>
      </c>
      <c r="AI15" s="5"/>
      <c r="AJ15" s="27">
        <v>1.1925</v>
      </c>
      <c r="AK15" s="19">
        <v>81.75</v>
      </c>
      <c r="AL15" s="5"/>
      <c r="AM15" s="27">
        <v>1.1863</v>
      </c>
      <c r="AN15" s="19">
        <v>81.93</v>
      </c>
      <c r="AO15" s="5"/>
      <c r="AP15" s="27">
        <v>1.185</v>
      </c>
      <c r="AQ15" s="19">
        <v>81.77</v>
      </c>
      <c r="AR15" s="5"/>
      <c r="AS15" s="27">
        <v>1.1789</v>
      </c>
      <c r="AT15" s="19">
        <v>81.79</v>
      </c>
      <c r="AU15" s="5"/>
      <c r="AV15" s="27">
        <v>1.1814</v>
      </c>
      <c r="AW15" s="19">
        <v>81.67</v>
      </c>
      <c r="AX15" s="5"/>
      <c r="AY15" s="27">
        <v>1.1895</v>
      </c>
      <c r="AZ15" s="19">
        <v>80.98</v>
      </c>
      <c r="BA15" s="5"/>
      <c r="BB15" s="27">
        <v>1.1942</v>
      </c>
      <c r="BC15" s="19">
        <v>80.9</v>
      </c>
      <c r="BD15" s="5"/>
      <c r="BE15" s="27">
        <v>1.1919</v>
      </c>
      <c r="BF15" s="19">
        <v>81.11</v>
      </c>
      <c r="BG15" s="5"/>
      <c r="BH15" s="27">
        <v>1.1919</v>
      </c>
      <c r="BI15" s="19">
        <v>81.11</v>
      </c>
      <c r="BJ15" s="5"/>
      <c r="BK15" s="27">
        <v>1.1857</v>
      </c>
      <c r="BL15" s="19">
        <v>81.31</v>
      </c>
      <c r="BM15" s="5"/>
      <c r="BN15" s="27">
        <f t="shared" si="0"/>
        <v>1.1952333333333331</v>
      </c>
      <c r="BO15" s="19">
        <f t="shared" si="1"/>
        <v>81.43809523809523</v>
      </c>
      <c r="BP15" s="32"/>
      <c r="BQ15" s="9"/>
    </row>
    <row r="16" spans="1:69" ht="15.75" customHeight="1">
      <c r="A16" s="16">
        <v>4</v>
      </c>
      <c r="B16" s="17" t="s">
        <v>17</v>
      </c>
      <c r="C16" s="27">
        <f>1/1.2965</f>
        <v>0.7713073659853452</v>
      </c>
      <c r="D16" s="19">
        <v>126.15</v>
      </c>
      <c r="E16" s="5"/>
      <c r="F16" s="27">
        <f>1/1.2883</f>
        <v>0.7762167197081425</v>
      </c>
      <c r="G16" s="19">
        <v>126.07</v>
      </c>
      <c r="H16" s="5"/>
      <c r="I16" s="27">
        <f>1/1.2814</f>
        <v>0.7803964413922272</v>
      </c>
      <c r="J16" s="19">
        <v>125.95</v>
      </c>
      <c r="K16" s="5"/>
      <c r="L16" s="27">
        <f>1/1.2894</f>
        <v>0.7755545214828602</v>
      </c>
      <c r="M16" s="19">
        <v>126.4</v>
      </c>
      <c r="N16" s="5"/>
      <c r="O16" s="27">
        <f>1/1.2911</f>
        <v>0.7745333436604447</v>
      </c>
      <c r="P16" s="19">
        <v>126.29</v>
      </c>
      <c r="Q16" s="5"/>
      <c r="R16" s="27">
        <f>1/1.2831</f>
        <v>0.7793624814901411</v>
      </c>
      <c r="S16" s="19">
        <v>126.1</v>
      </c>
      <c r="T16" s="5"/>
      <c r="U16" s="27">
        <f>1/1.2964</f>
        <v>0.771366862079605</v>
      </c>
      <c r="V16" s="19">
        <v>126.6</v>
      </c>
      <c r="W16" s="5"/>
      <c r="X16" s="27">
        <f>1/1.2986</f>
        <v>0.7700600646850454</v>
      </c>
      <c r="Y16" s="19">
        <v>126.63</v>
      </c>
      <c r="Z16" s="5"/>
      <c r="AA16" s="27">
        <f>1/1.2943</f>
        <v>0.7726184037703778</v>
      </c>
      <c r="AB16" s="19">
        <v>126.48</v>
      </c>
      <c r="AC16" s="5"/>
      <c r="AD16" s="27">
        <f>1/1.2874</f>
        <v>0.7767593599502873</v>
      </c>
      <c r="AE16" s="19">
        <v>126.33</v>
      </c>
      <c r="AF16" s="5"/>
      <c r="AG16" s="27">
        <f>1/1.2832</f>
        <v>0.7793017456359103</v>
      </c>
      <c r="AH16" s="19">
        <v>126.14</v>
      </c>
      <c r="AI16" s="5"/>
      <c r="AJ16" s="27">
        <f>1/1.2977</f>
        <v>0.7705941280727441</v>
      </c>
      <c r="AK16" s="19">
        <v>126.51</v>
      </c>
      <c r="AL16" s="5"/>
      <c r="AM16" s="27">
        <f>1/1.3013</f>
        <v>0.7684623069238454</v>
      </c>
      <c r="AN16" s="19">
        <v>126.48</v>
      </c>
      <c r="AO16" s="5"/>
      <c r="AP16" s="27">
        <f>1/1.3032</f>
        <v>0.7673419275629221</v>
      </c>
      <c r="AQ16" s="19">
        <v>126.27</v>
      </c>
      <c r="AR16" s="5"/>
      <c r="AS16" s="27">
        <f>1/1.3087</f>
        <v>0.7641170627340108</v>
      </c>
      <c r="AT16" s="19">
        <v>126.18</v>
      </c>
      <c r="AU16" s="5"/>
      <c r="AV16" s="27">
        <f>1/1.3067</f>
        <v>0.7652865998316369</v>
      </c>
      <c r="AW16" s="19">
        <v>126.08</v>
      </c>
      <c r="AX16" s="5"/>
      <c r="AY16" s="27">
        <f>1/1.2973</f>
        <v>0.7708317274339013</v>
      </c>
      <c r="AZ16" s="19">
        <v>124.96</v>
      </c>
      <c r="BA16" s="5"/>
      <c r="BB16" s="27">
        <f>1/1.2917</f>
        <v>0.7741735697143299</v>
      </c>
      <c r="BC16" s="19">
        <v>124.78</v>
      </c>
      <c r="BD16" s="5"/>
      <c r="BE16" s="27">
        <f>1/1.2917</f>
        <v>0.7741735697143299</v>
      </c>
      <c r="BF16" s="19">
        <v>124.88</v>
      </c>
      <c r="BG16" s="5"/>
      <c r="BH16" s="27">
        <f>1/1.2917</f>
        <v>0.7741735697143299</v>
      </c>
      <c r="BI16" s="19">
        <v>124.88</v>
      </c>
      <c r="BJ16" s="5"/>
      <c r="BK16" s="27">
        <f>1/1.2962</f>
        <v>0.7714858818083629</v>
      </c>
      <c r="BL16" s="19">
        <v>124.96</v>
      </c>
      <c r="BM16" s="5"/>
      <c r="BN16" s="27">
        <f t="shared" si="0"/>
        <v>0.772767507302419</v>
      </c>
      <c r="BO16" s="19">
        <f t="shared" si="1"/>
        <v>125.95809523809525</v>
      </c>
      <c r="BP16" s="32"/>
      <c r="BQ16" s="9"/>
    </row>
    <row r="17" spans="1:69" ht="15.75" customHeight="1">
      <c r="A17" s="16">
        <v>5</v>
      </c>
      <c r="B17" s="17" t="s">
        <v>18</v>
      </c>
      <c r="C17" s="27">
        <v>427.3</v>
      </c>
      <c r="D17" s="19">
        <v>41576.29</v>
      </c>
      <c r="E17" s="5"/>
      <c r="F17" s="27">
        <v>425.8</v>
      </c>
      <c r="G17" s="19">
        <v>41668.08</v>
      </c>
      <c r="H17" s="5"/>
      <c r="I17" s="27">
        <v>423.5</v>
      </c>
      <c r="J17" s="19">
        <v>41624.76</v>
      </c>
      <c r="K17" s="5"/>
      <c r="L17" s="27">
        <v>425.75</v>
      </c>
      <c r="M17" s="19">
        <v>41734.85</v>
      </c>
      <c r="N17" s="5"/>
      <c r="O17" s="27">
        <v>426.35</v>
      </c>
      <c r="P17" s="19">
        <v>41703.43</v>
      </c>
      <c r="Q17" s="5"/>
      <c r="R17" s="27">
        <v>425</v>
      </c>
      <c r="S17" s="19">
        <v>41768.65</v>
      </c>
      <c r="T17" s="5"/>
      <c r="U17" s="27">
        <v>428</v>
      </c>
      <c r="V17" s="19">
        <v>41797.77</v>
      </c>
      <c r="W17" s="5"/>
      <c r="X17" s="27">
        <v>428.9</v>
      </c>
      <c r="Y17" s="19">
        <v>41823.47</v>
      </c>
      <c r="Z17" s="5"/>
      <c r="AA17" s="27">
        <v>428.6</v>
      </c>
      <c r="AB17" s="19">
        <v>41883.15</v>
      </c>
      <c r="AC17" s="5"/>
      <c r="AD17" s="27">
        <v>427.25</v>
      </c>
      <c r="AE17" s="19">
        <v>41923.91</v>
      </c>
      <c r="AF17" s="5"/>
      <c r="AG17" s="27">
        <v>423.25</v>
      </c>
      <c r="AH17" s="19">
        <v>41604.42</v>
      </c>
      <c r="AI17" s="5"/>
      <c r="AJ17" s="27">
        <v>425.25</v>
      </c>
      <c r="AK17" s="19">
        <v>41458.33</v>
      </c>
      <c r="AL17" s="5"/>
      <c r="AM17" s="27">
        <v>426.7</v>
      </c>
      <c r="AN17" s="19">
        <v>41472.4</v>
      </c>
      <c r="AO17" s="5"/>
      <c r="AP17" s="27">
        <v>432.35</v>
      </c>
      <c r="AQ17" s="19">
        <v>41892.91</v>
      </c>
      <c r="AR17" s="5"/>
      <c r="AS17" s="27">
        <v>433.2</v>
      </c>
      <c r="AT17" s="19">
        <v>41767.7</v>
      </c>
      <c r="AU17" s="5"/>
      <c r="AV17" s="27">
        <v>433.25</v>
      </c>
      <c r="AW17" s="19">
        <v>41803.21</v>
      </c>
      <c r="AX17" s="5"/>
      <c r="AY17" s="27">
        <v>432.8</v>
      </c>
      <c r="AZ17" s="19">
        <v>41689.1</v>
      </c>
      <c r="BA17" s="5"/>
      <c r="BB17" s="27">
        <v>434</v>
      </c>
      <c r="BC17" s="19">
        <v>41926.57</v>
      </c>
      <c r="BD17" s="5"/>
      <c r="BE17" s="27">
        <v>432.25</v>
      </c>
      <c r="BF17" s="19">
        <v>41788.85</v>
      </c>
      <c r="BG17" s="5"/>
      <c r="BH17" s="27">
        <v>432.25</v>
      </c>
      <c r="BI17" s="19">
        <v>41788.85</v>
      </c>
      <c r="BJ17" s="5"/>
      <c r="BK17" s="27">
        <v>432.9</v>
      </c>
      <c r="BL17" s="19">
        <v>41733.72</v>
      </c>
      <c r="BM17" s="5"/>
      <c r="BN17" s="27">
        <f t="shared" si="0"/>
        <v>428.79285714285714</v>
      </c>
      <c r="BO17" s="19">
        <f t="shared" si="1"/>
        <v>41734.7819047619</v>
      </c>
      <c r="BP17" s="32"/>
      <c r="BQ17" s="9"/>
    </row>
    <row r="18" spans="1:69" ht="15.75" customHeight="1">
      <c r="A18" s="16">
        <v>6</v>
      </c>
      <c r="B18" s="20" t="s">
        <v>19</v>
      </c>
      <c r="C18" s="27">
        <v>7.125</v>
      </c>
      <c r="D18" s="19">
        <v>693.26</v>
      </c>
      <c r="E18" s="5"/>
      <c r="F18" s="27">
        <v>6.96</v>
      </c>
      <c r="G18" s="19">
        <v>681.09</v>
      </c>
      <c r="H18" s="5"/>
      <c r="I18" s="27">
        <v>6.96</v>
      </c>
      <c r="J18" s="19">
        <v>684.08</v>
      </c>
      <c r="K18" s="5"/>
      <c r="L18" s="27">
        <v>7.085</v>
      </c>
      <c r="M18" s="19">
        <v>694.52</v>
      </c>
      <c r="N18" s="5"/>
      <c r="O18" s="27">
        <v>7.1</v>
      </c>
      <c r="P18" s="19">
        <v>694.49</v>
      </c>
      <c r="Q18" s="5"/>
      <c r="R18" s="27">
        <v>7.03</v>
      </c>
      <c r="S18" s="19">
        <v>690.9</v>
      </c>
      <c r="T18" s="5"/>
      <c r="U18" s="27">
        <v>7.17</v>
      </c>
      <c r="V18" s="19">
        <v>700.21</v>
      </c>
      <c r="W18" s="5"/>
      <c r="X18" s="27">
        <v>7.23</v>
      </c>
      <c r="Y18" s="19">
        <v>705.02</v>
      </c>
      <c r="Z18" s="5"/>
      <c r="AA18" s="27">
        <v>7.16</v>
      </c>
      <c r="AB18" s="19">
        <v>699.68</v>
      </c>
      <c r="AC18" s="5"/>
      <c r="AD18" s="27">
        <v>7.12</v>
      </c>
      <c r="AE18" s="19">
        <v>698.65</v>
      </c>
      <c r="AF18" s="5"/>
      <c r="AG18" s="27">
        <v>7</v>
      </c>
      <c r="AH18" s="19">
        <v>688.08</v>
      </c>
      <c r="AI18" s="5"/>
      <c r="AJ18" s="27">
        <v>6.99</v>
      </c>
      <c r="AK18" s="19">
        <v>681.47</v>
      </c>
      <c r="AL18" s="5"/>
      <c r="AM18" s="27">
        <v>7.02</v>
      </c>
      <c r="AN18" s="19">
        <v>682.3</v>
      </c>
      <c r="AO18" s="5"/>
      <c r="AP18" s="27">
        <v>7.21</v>
      </c>
      <c r="AQ18" s="19">
        <v>698.62</v>
      </c>
      <c r="AR18" s="5"/>
      <c r="AS18" s="27">
        <v>7.28</v>
      </c>
      <c r="AT18" s="19">
        <v>701.91</v>
      </c>
      <c r="AU18" s="5"/>
      <c r="AV18" s="27">
        <v>7.23</v>
      </c>
      <c r="AW18" s="19">
        <v>697.6</v>
      </c>
      <c r="AX18" s="5"/>
      <c r="AY18" s="27">
        <v>7.22</v>
      </c>
      <c r="AZ18" s="19">
        <v>695.46</v>
      </c>
      <c r="BA18" s="5"/>
      <c r="BB18" s="27">
        <v>7.18</v>
      </c>
      <c r="BC18" s="19">
        <v>693.62</v>
      </c>
      <c r="BD18" s="5"/>
      <c r="BE18" s="27">
        <v>7.1</v>
      </c>
      <c r="BF18" s="19">
        <v>686.41</v>
      </c>
      <c r="BG18" s="5"/>
      <c r="BH18" s="27">
        <v>7.1</v>
      </c>
      <c r="BI18" s="19">
        <v>686.41</v>
      </c>
      <c r="BJ18" s="5"/>
      <c r="BK18" s="27">
        <v>6.96</v>
      </c>
      <c r="BL18" s="19">
        <v>670.98</v>
      </c>
      <c r="BM18" s="5"/>
      <c r="BN18" s="27">
        <f t="shared" si="0"/>
        <v>7.106190476190475</v>
      </c>
      <c r="BO18" s="19">
        <f t="shared" si="1"/>
        <v>691.6552380952381</v>
      </c>
      <c r="BP18" s="32"/>
      <c r="BQ18" s="9"/>
    </row>
    <row r="19" spans="1:69" ht="15.75" customHeight="1">
      <c r="A19" s="16">
        <v>7</v>
      </c>
      <c r="B19" s="17" t="s">
        <v>20</v>
      </c>
      <c r="C19" s="27">
        <f>1/0.7715</f>
        <v>1.2961762799740766</v>
      </c>
      <c r="D19" s="19">
        <v>75.07</v>
      </c>
      <c r="E19" s="5"/>
      <c r="F19" s="27">
        <f>1/0.7688</f>
        <v>1.3007284079084287</v>
      </c>
      <c r="G19" s="19">
        <v>75.23</v>
      </c>
      <c r="H19" s="5"/>
      <c r="I19" s="27">
        <f>1/0.7633</f>
        <v>1.3101008777675882</v>
      </c>
      <c r="J19" s="19">
        <v>75.02</v>
      </c>
      <c r="K19" s="5"/>
      <c r="L19" s="27">
        <f>1/0.7673</f>
        <v>1.3032712107389548</v>
      </c>
      <c r="M19" s="19">
        <v>75.22</v>
      </c>
      <c r="N19" s="5"/>
      <c r="O19" s="27">
        <f>1/0.7685</f>
        <v>1.3012361743656475</v>
      </c>
      <c r="P19" s="19">
        <v>75.17</v>
      </c>
      <c r="Q19" s="5"/>
      <c r="R19" s="27">
        <f>1/0.7665</f>
        <v>1.3046314416177431</v>
      </c>
      <c r="S19" s="19">
        <v>75.33</v>
      </c>
      <c r="T19" s="5"/>
      <c r="U19" s="27">
        <f>1/0.7738</f>
        <v>1.2923235978288963</v>
      </c>
      <c r="V19" s="19">
        <v>75.57</v>
      </c>
      <c r="W19" s="5"/>
      <c r="X19" s="27">
        <f>1/0.7754</f>
        <v>1.2896569512509672</v>
      </c>
      <c r="Y19" s="19">
        <v>75.61</v>
      </c>
      <c r="Z19" s="5"/>
      <c r="AA19" s="27">
        <f>1/0.7791</f>
        <v>1.283532280836863</v>
      </c>
      <c r="AB19" s="19">
        <v>76.13</v>
      </c>
      <c r="AC19" s="5"/>
      <c r="AD19" s="27">
        <f>1/0.7738</f>
        <v>1.2923235978288963</v>
      </c>
      <c r="AE19" s="19">
        <v>75.93</v>
      </c>
      <c r="AF19" s="5"/>
      <c r="AG19" s="27">
        <f>1/0.7667</f>
        <v>1.3042911177774879</v>
      </c>
      <c r="AH19" s="19">
        <v>75.36</v>
      </c>
      <c r="AI19" s="5"/>
      <c r="AJ19" s="27">
        <f>1/0.7677</f>
        <v>1.3025921583952065</v>
      </c>
      <c r="AK19" s="19">
        <v>74.84</v>
      </c>
      <c r="AL19" s="5"/>
      <c r="AM19" s="27">
        <f>1/0.7681</f>
        <v>1.3019138133055592</v>
      </c>
      <c r="AN19" s="19">
        <v>74.65</v>
      </c>
      <c r="AO19" s="5"/>
      <c r="AP19" s="27">
        <f>1/0.7722</f>
        <v>1.295001295001295</v>
      </c>
      <c r="AQ19" s="19">
        <v>74.82</v>
      </c>
      <c r="AR19" s="5"/>
      <c r="AS19" s="27">
        <f>1/0.7744</f>
        <v>1.2913223140495869</v>
      </c>
      <c r="AT19" s="19">
        <v>74.67</v>
      </c>
      <c r="AU19" s="5"/>
      <c r="AV19" s="27">
        <f>1/0.7787</f>
        <v>1.284191601386927</v>
      </c>
      <c r="AW19" s="19">
        <v>75.13</v>
      </c>
      <c r="AX19" s="5"/>
      <c r="AY19" s="27">
        <f>1/0.7797</f>
        <v>1.2825445684237529</v>
      </c>
      <c r="AZ19" s="19">
        <v>75.1</v>
      </c>
      <c r="BA19" s="5"/>
      <c r="BB19" s="27">
        <f>1/0.7762</f>
        <v>1.2883277505797475</v>
      </c>
      <c r="BC19" s="19">
        <v>74.98</v>
      </c>
      <c r="BD19" s="5"/>
      <c r="BE19" s="27">
        <f>1/0.7775</f>
        <v>1.2861736334405145</v>
      </c>
      <c r="BF19" s="19">
        <v>75.17</v>
      </c>
      <c r="BG19" s="5"/>
      <c r="BH19" s="27">
        <f>1/0.7775</f>
        <v>1.2861736334405145</v>
      </c>
      <c r="BI19" s="19">
        <v>75.17</v>
      </c>
      <c r="BJ19" s="18"/>
      <c r="BK19" s="27">
        <f>1/0.7835</f>
        <v>1.2763241863433312</v>
      </c>
      <c r="BL19" s="19">
        <v>75.53</v>
      </c>
      <c r="BM19" s="18"/>
      <c r="BN19" s="27">
        <f t="shared" si="0"/>
        <v>1.2939446139172373</v>
      </c>
      <c r="BO19" s="19">
        <f t="shared" si="1"/>
        <v>75.22380952380952</v>
      </c>
      <c r="BP19" s="32"/>
      <c r="BQ19" s="24"/>
    </row>
    <row r="20" spans="1:69" ht="15.75" customHeight="1">
      <c r="A20" s="16">
        <v>8</v>
      </c>
      <c r="B20" s="17" t="s">
        <v>21</v>
      </c>
      <c r="C20" s="27">
        <v>1.2144</v>
      </c>
      <c r="D20" s="19">
        <v>80.12</v>
      </c>
      <c r="E20" s="5"/>
      <c r="F20" s="27">
        <v>1.2178</v>
      </c>
      <c r="G20" s="19">
        <v>80.36</v>
      </c>
      <c r="H20" s="5"/>
      <c r="I20" s="27">
        <v>1.2233</v>
      </c>
      <c r="J20" s="19">
        <v>80.35</v>
      </c>
      <c r="K20" s="5"/>
      <c r="L20" s="27">
        <v>1.2176</v>
      </c>
      <c r="M20" s="19">
        <v>80.51</v>
      </c>
      <c r="N20" s="5"/>
      <c r="O20" s="27">
        <v>1.2197</v>
      </c>
      <c r="P20" s="19">
        <v>80.2</v>
      </c>
      <c r="Q20" s="5"/>
      <c r="R20" s="27">
        <v>1.223</v>
      </c>
      <c r="S20" s="19">
        <v>80.36</v>
      </c>
      <c r="T20" s="5"/>
      <c r="U20" s="27">
        <v>1.2255</v>
      </c>
      <c r="V20" s="19">
        <v>79.69</v>
      </c>
      <c r="W20" s="5"/>
      <c r="X20" s="27">
        <v>1.2317</v>
      </c>
      <c r="Y20" s="19">
        <v>79.17</v>
      </c>
      <c r="Z20" s="5"/>
      <c r="AA20" s="27">
        <v>1.2344</v>
      </c>
      <c r="AB20" s="19">
        <v>79.16</v>
      </c>
      <c r="AC20" s="5"/>
      <c r="AD20" s="27">
        <v>1.2396</v>
      </c>
      <c r="AE20" s="19">
        <v>79.16</v>
      </c>
      <c r="AF20" s="5"/>
      <c r="AG20" s="27">
        <v>1.2442</v>
      </c>
      <c r="AH20" s="19">
        <v>79</v>
      </c>
      <c r="AI20" s="5"/>
      <c r="AJ20" s="27">
        <v>1.2449</v>
      </c>
      <c r="AK20" s="19">
        <v>78.31</v>
      </c>
      <c r="AL20" s="5"/>
      <c r="AM20" s="27">
        <v>1.2474</v>
      </c>
      <c r="AN20" s="19">
        <v>77.92</v>
      </c>
      <c r="AO20" s="5"/>
      <c r="AP20" s="27">
        <v>1.24</v>
      </c>
      <c r="AQ20" s="19">
        <v>78.14</v>
      </c>
      <c r="AR20" s="5"/>
      <c r="AS20" s="27">
        <v>1.2381</v>
      </c>
      <c r="AT20" s="19">
        <v>77.87</v>
      </c>
      <c r="AU20" s="5"/>
      <c r="AV20" s="27">
        <v>1.2378</v>
      </c>
      <c r="AW20" s="19">
        <v>77.95</v>
      </c>
      <c r="AX20" s="5"/>
      <c r="AY20" s="27">
        <v>1.2385</v>
      </c>
      <c r="AZ20" s="19">
        <v>77.77</v>
      </c>
      <c r="BA20" s="5"/>
      <c r="BB20" s="27">
        <v>1.2473</v>
      </c>
      <c r="BC20" s="19">
        <v>77.45</v>
      </c>
      <c r="BD20" s="5"/>
      <c r="BE20" s="27">
        <v>1.2517</v>
      </c>
      <c r="BF20" s="19">
        <v>77.24</v>
      </c>
      <c r="BG20" s="5"/>
      <c r="BH20" s="27">
        <v>1.2517</v>
      </c>
      <c r="BI20" s="19">
        <v>77.24</v>
      </c>
      <c r="BJ20" s="5"/>
      <c r="BK20" s="27">
        <v>1.2491</v>
      </c>
      <c r="BL20" s="19">
        <v>77.18</v>
      </c>
      <c r="BM20" s="5"/>
      <c r="BN20" s="27">
        <f t="shared" si="0"/>
        <v>1.2351285714285711</v>
      </c>
      <c r="BO20" s="19">
        <f t="shared" si="1"/>
        <v>78.81666666666668</v>
      </c>
      <c r="BP20" s="32"/>
      <c r="BQ20" s="9"/>
    </row>
    <row r="21" spans="1:69" ht="15.75" customHeight="1">
      <c r="A21" s="16">
        <v>9</v>
      </c>
      <c r="B21" s="17" t="s">
        <v>22</v>
      </c>
      <c r="C21" s="27">
        <v>7.067</v>
      </c>
      <c r="D21" s="19">
        <v>13.77</v>
      </c>
      <c r="E21" s="5"/>
      <c r="F21" s="27">
        <v>7.1148</v>
      </c>
      <c r="G21" s="19">
        <v>13.75</v>
      </c>
      <c r="H21" s="5"/>
      <c r="I21" s="27">
        <v>7.155</v>
      </c>
      <c r="J21" s="19">
        <v>13.74</v>
      </c>
      <c r="K21" s="5"/>
      <c r="L21" s="27">
        <v>7.1001</v>
      </c>
      <c r="M21" s="19">
        <v>13.81</v>
      </c>
      <c r="N21" s="5"/>
      <c r="O21" s="27">
        <v>7.08</v>
      </c>
      <c r="P21" s="19">
        <v>13.82</v>
      </c>
      <c r="Q21" s="5"/>
      <c r="R21" s="27">
        <v>7.1368</v>
      </c>
      <c r="S21" s="19">
        <v>13.77</v>
      </c>
      <c r="T21" s="5"/>
      <c r="U21" s="27">
        <v>7.0716</v>
      </c>
      <c r="V21" s="19">
        <v>13.81</v>
      </c>
      <c r="W21" s="5"/>
      <c r="X21" s="27">
        <v>7.0445</v>
      </c>
      <c r="Y21" s="19">
        <v>13.84</v>
      </c>
      <c r="Z21" s="5"/>
      <c r="AA21" s="27">
        <v>7.0685</v>
      </c>
      <c r="AB21" s="19">
        <v>13.82</v>
      </c>
      <c r="AC21" s="5"/>
      <c r="AD21" s="27">
        <v>7.1155</v>
      </c>
      <c r="AE21" s="19">
        <v>13.79</v>
      </c>
      <c r="AF21" s="5"/>
      <c r="AG21" s="27">
        <v>7.1465</v>
      </c>
      <c r="AH21" s="19">
        <v>13.75</v>
      </c>
      <c r="AI21" s="5"/>
      <c r="AJ21" s="27">
        <v>7.0703</v>
      </c>
      <c r="AK21" s="19">
        <v>13.79</v>
      </c>
      <c r="AL21" s="5"/>
      <c r="AM21" s="27">
        <v>7.0678</v>
      </c>
      <c r="AN21" s="19">
        <v>13.75</v>
      </c>
      <c r="AO21" s="5"/>
      <c r="AP21" s="27">
        <v>7.0484</v>
      </c>
      <c r="AQ21" s="19">
        <v>13.75</v>
      </c>
      <c r="AR21" s="5"/>
      <c r="AS21" s="27">
        <v>7.0191</v>
      </c>
      <c r="AT21" s="19">
        <v>13.74</v>
      </c>
      <c r="AU21" s="5"/>
      <c r="AV21" s="27">
        <v>7.0103</v>
      </c>
      <c r="AW21" s="19">
        <v>13.76</v>
      </c>
      <c r="AX21" s="5"/>
      <c r="AY21" s="27">
        <v>7.0569</v>
      </c>
      <c r="AZ21" s="19">
        <v>13.65</v>
      </c>
      <c r="BA21" s="5"/>
      <c r="BB21" s="27">
        <v>7.0754</v>
      </c>
      <c r="BC21" s="19">
        <v>13.65</v>
      </c>
      <c r="BD21" s="5"/>
      <c r="BE21" s="27">
        <v>7.0769</v>
      </c>
      <c r="BF21" s="19">
        <v>13.66</v>
      </c>
      <c r="BG21" s="5"/>
      <c r="BH21" s="27">
        <v>7.0769</v>
      </c>
      <c r="BI21" s="19">
        <v>13.66</v>
      </c>
      <c r="BJ21" s="5"/>
      <c r="BK21" s="27">
        <v>7.0729</v>
      </c>
      <c r="BL21" s="19">
        <v>13.63</v>
      </c>
      <c r="BM21" s="5"/>
      <c r="BN21" s="27">
        <f t="shared" si="0"/>
        <v>7.079771428571429</v>
      </c>
      <c r="BO21" s="19">
        <f t="shared" si="1"/>
        <v>13.74809523809524</v>
      </c>
      <c r="BP21" s="32"/>
      <c r="BQ21" s="9"/>
    </row>
    <row r="22" spans="1:69" ht="15.75" customHeight="1">
      <c r="A22" s="16">
        <v>10</v>
      </c>
      <c r="B22" s="17" t="s">
        <v>23</v>
      </c>
      <c r="C22" s="27">
        <v>6.315</v>
      </c>
      <c r="D22" s="19">
        <v>15.41</v>
      </c>
      <c r="E22" s="5"/>
      <c r="F22" s="27">
        <v>6.3619</v>
      </c>
      <c r="G22" s="19">
        <v>15.38</v>
      </c>
      <c r="H22" s="5"/>
      <c r="I22" s="27">
        <v>6.368</v>
      </c>
      <c r="J22" s="19">
        <v>15.43</v>
      </c>
      <c r="K22" s="5"/>
      <c r="L22" s="27">
        <v>6.3233</v>
      </c>
      <c r="M22" s="19">
        <v>15.5</v>
      </c>
      <c r="N22" s="5"/>
      <c r="O22" s="27">
        <v>6.3183</v>
      </c>
      <c r="P22" s="19">
        <v>15.48</v>
      </c>
      <c r="Q22" s="5"/>
      <c r="R22" s="27">
        <v>6.366</v>
      </c>
      <c r="S22" s="19">
        <v>15.44</v>
      </c>
      <c r="T22" s="5"/>
      <c r="U22" s="27">
        <v>6.301</v>
      </c>
      <c r="V22" s="19">
        <v>15.5</v>
      </c>
      <c r="W22" s="5"/>
      <c r="X22" s="27">
        <v>6.2959</v>
      </c>
      <c r="Y22" s="19">
        <v>15.49</v>
      </c>
      <c r="Z22" s="5"/>
      <c r="AA22" s="27">
        <v>6.3213</v>
      </c>
      <c r="AB22" s="19">
        <v>15.46</v>
      </c>
      <c r="AC22" s="5"/>
      <c r="AD22" s="27">
        <v>6.3923</v>
      </c>
      <c r="AE22" s="19">
        <v>15.35</v>
      </c>
      <c r="AF22" s="5"/>
      <c r="AG22" s="27">
        <v>6.4133</v>
      </c>
      <c r="AH22" s="19">
        <v>15.33</v>
      </c>
      <c r="AI22" s="5"/>
      <c r="AJ22" s="27">
        <v>6.325</v>
      </c>
      <c r="AK22" s="19">
        <v>15.41</v>
      </c>
      <c r="AL22" s="5"/>
      <c r="AM22" s="27">
        <v>6.3051</v>
      </c>
      <c r="AN22" s="19">
        <v>15.42</v>
      </c>
      <c r="AO22" s="5"/>
      <c r="AP22" s="27">
        <v>6.285</v>
      </c>
      <c r="AQ22" s="19">
        <v>15.42</v>
      </c>
      <c r="AR22" s="5"/>
      <c r="AS22" s="27">
        <v>6.2312</v>
      </c>
      <c r="AT22" s="19">
        <v>15.47</v>
      </c>
      <c r="AU22" s="5"/>
      <c r="AV22" s="27">
        <v>6.245</v>
      </c>
      <c r="AW22" s="19">
        <v>15.45</v>
      </c>
      <c r="AX22" s="5"/>
      <c r="AY22" s="27">
        <v>6.2851</v>
      </c>
      <c r="AZ22" s="19">
        <v>15.33</v>
      </c>
      <c r="BA22" s="5"/>
      <c r="BB22" s="27">
        <v>6.2911</v>
      </c>
      <c r="BC22" s="19">
        <v>15.36</v>
      </c>
      <c r="BD22" s="5"/>
      <c r="BE22" s="27">
        <v>6.309</v>
      </c>
      <c r="BF22" s="19">
        <v>15.32</v>
      </c>
      <c r="BG22" s="5"/>
      <c r="BH22" s="27">
        <v>6.309</v>
      </c>
      <c r="BI22" s="19">
        <v>15.32</v>
      </c>
      <c r="BJ22" s="5"/>
      <c r="BK22" s="27">
        <v>6.2836</v>
      </c>
      <c r="BL22" s="19">
        <v>15.34</v>
      </c>
      <c r="BM22" s="5"/>
      <c r="BN22" s="27">
        <f t="shared" si="0"/>
        <v>6.316447619047619</v>
      </c>
      <c r="BO22" s="19">
        <f t="shared" si="1"/>
        <v>15.409999999999998</v>
      </c>
      <c r="BP22" s="32"/>
      <c r="BQ22" s="9"/>
    </row>
    <row r="23" spans="1:69" ht="15.75" customHeight="1">
      <c r="A23" s="16">
        <v>11</v>
      </c>
      <c r="B23" s="17" t="s">
        <v>24</v>
      </c>
      <c r="C23" s="27">
        <v>5.7453</v>
      </c>
      <c r="D23" s="19">
        <v>16.94</v>
      </c>
      <c r="E23" s="5"/>
      <c r="F23" s="27">
        <v>5.7809</v>
      </c>
      <c r="G23" s="19">
        <v>16.93</v>
      </c>
      <c r="H23" s="5"/>
      <c r="I23" s="27">
        <v>5.8134</v>
      </c>
      <c r="J23" s="19">
        <v>16.91</v>
      </c>
      <c r="K23" s="5"/>
      <c r="L23" s="27">
        <v>5.7765</v>
      </c>
      <c r="M23" s="19">
        <v>16.97</v>
      </c>
      <c r="N23" s="5"/>
      <c r="O23" s="27">
        <v>5.7678</v>
      </c>
      <c r="P23" s="19">
        <v>16.96</v>
      </c>
      <c r="Q23" s="5"/>
      <c r="R23" s="27">
        <v>5.8046</v>
      </c>
      <c r="S23" s="19">
        <v>16.93</v>
      </c>
      <c r="T23" s="5"/>
      <c r="U23" s="27">
        <v>5.7449</v>
      </c>
      <c r="V23" s="19">
        <v>17</v>
      </c>
      <c r="W23" s="5"/>
      <c r="X23" s="27">
        <v>5.7341</v>
      </c>
      <c r="Y23" s="19">
        <v>17.01</v>
      </c>
      <c r="Z23" s="5"/>
      <c r="AA23" s="27">
        <v>5.7533</v>
      </c>
      <c r="AB23" s="19">
        <v>16.99</v>
      </c>
      <c r="AC23" s="5"/>
      <c r="AD23" s="27">
        <v>5.7858</v>
      </c>
      <c r="AE23" s="19">
        <v>16.96</v>
      </c>
      <c r="AF23" s="5"/>
      <c r="AG23" s="27">
        <v>5.8053</v>
      </c>
      <c r="AH23" s="19">
        <v>16.93</v>
      </c>
      <c r="AI23" s="5"/>
      <c r="AJ23" s="27">
        <v>5.7424</v>
      </c>
      <c r="AK23" s="19">
        <v>16.98</v>
      </c>
      <c r="AL23" s="5"/>
      <c r="AM23" s="27">
        <v>5.7265</v>
      </c>
      <c r="AN23" s="19">
        <v>16.97</v>
      </c>
      <c r="AO23" s="5"/>
      <c r="AP23" s="27">
        <v>5.7163</v>
      </c>
      <c r="AQ23" s="19">
        <v>16.95</v>
      </c>
      <c r="AR23" s="5"/>
      <c r="AS23" s="27">
        <v>5.69</v>
      </c>
      <c r="AT23" s="19">
        <v>16.94</v>
      </c>
      <c r="AU23" s="5"/>
      <c r="AV23" s="27">
        <v>5.7001</v>
      </c>
      <c r="AW23" s="19">
        <v>16.93</v>
      </c>
      <c r="AX23" s="5"/>
      <c r="AY23" s="27">
        <v>5.7398</v>
      </c>
      <c r="AZ23" s="19">
        <v>16.78</v>
      </c>
      <c r="BA23" s="5"/>
      <c r="BB23" s="27">
        <v>5.7631</v>
      </c>
      <c r="BC23" s="19">
        <v>16.76</v>
      </c>
      <c r="BD23" s="5"/>
      <c r="BE23" s="27">
        <v>5.7624</v>
      </c>
      <c r="BF23" s="19">
        <v>16.78</v>
      </c>
      <c r="BG23" s="5"/>
      <c r="BH23" s="27">
        <v>5.7624</v>
      </c>
      <c r="BI23" s="19">
        <v>16.78</v>
      </c>
      <c r="BJ23" s="5"/>
      <c r="BK23" s="27">
        <v>5.7441</v>
      </c>
      <c r="BL23" s="19">
        <v>16.78</v>
      </c>
      <c r="BM23" s="5"/>
      <c r="BN23" s="27">
        <f t="shared" si="0"/>
        <v>5.755190476190476</v>
      </c>
      <c r="BO23" s="19">
        <f t="shared" si="1"/>
        <v>16.91333333333333</v>
      </c>
      <c r="BP23" s="32"/>
      <c r="BQ23" s="9"/>
    </row>
    <row r="24" spans="1:69" ht="15.75" customHeight="1">
      <c r="A24" s="16">
        <v>12</v>
      </c>
      <c r="B24" s="17" t="s">
        <v>25</v>
      </c>
      <c r="C24" s="27">
        <f>1/1.51083</f>
        <v>0.6618878364872289</v>
      </c>
      <c r="D24" s="19">
        <v>147</v>
      </c>
      <c r="E24" s="5"/>
      <c r="F24" s="27">
        <f>1/1.51059</f>
        <v>0.6619929961141011</v>
      </c>
      <c r="G24" s="19">
        <v>147.82</v>
      </c>
      <c r="H24" s="5"/>
      <c r="I24" s="27">
        <f>1/1.50438</f>
        <v>0.6647256677169332</v>
      </c>
      <c r="J24" s="19">
        <v>147.86</v>
      </c>
      <c r="K24" s="5"/>
      <c r="L24" s="27">
        <f>1/1.5002</f>
        <v>0.6665777896280496</v>
      </c>
      <c r="M24" s="19">
        <v>147.06</v>
      </c>
      <c r="N24" s="5"/>
      <c r="O24" s="27">
        <f>1/1.50475</f>
        <v>0.6645622196378136</v>
      </c>
      <c r="P24" s="19">
        <v>147.19</v>
      </c>
      <c r="Q24" s="5"/>
      <c r="R24" s="27">
        <f>1/1.50543</f>
        <v>0.6642620380887853</v>
      </c>
      <c r="S24" s="19">
        <v>147.95</v>
      </c>
      <c r="T24" s="5"/>
      <c r="U24" s="27">
        <f>1/1.50103</f>
        <v>0.6662092030139304</v>
      </c>
      <c r="V24" s="19">
        <v>146.59</v>
      </c>
      <c r="W24" s="5"/>
      <c r="X24" s="27">
        <f>1/1.50938</f>
        <v>0.6625236852217466</v>
      </c>
      <c r="Y24" s="19">
        <v>147.18</v>
      </c>
      <c r="Z24" s="5"/>
      <c r="AA24" s="27">
        <f>1/1.51109</f>
        <v>0.6617739512537307</v>
      </c>
      <c r="AB24" s="19">
        <v>147.66</v>
      </c>
      <c r="AC24" s="5"/>
      <c r="AD24" s="27">
        <f>1/1.50996</f>
        <v>0.6622691991840843</v>
      </c>
      <c r="AE24" s="19">
        <v>148.16</v>
      </c>
      <c r="AF24" s="5"/>
      <c r="AG24" s="27">
        <f>1/1.50349</f>
        <v>0.6651191560968147</v>
      </c>
      <c r="AH24" s="19">
        <v>147.79</v>
      </c>
      <c r="AI24" s="5"/>
      <c r="AJ24" s="27">
        <f>1/1.50291</f>
        <v>0.6653758375418355</v>
      </c>
      <c r="AK24" s="19">
        <v>146.52</v>
      </c>
      <c r="AL24" s="5"/>
      <c r="AM24" s="27">
        <f>1/1.5126</f>
        <v>0.6611133148221605</v>
      </c>
      <c r="AN24" s="19">
        <v>147.01</v>
      </c>
      <c r="AO24" s="5"/>
      <c r="AP24" s="27">
        <f>1/1.5137</f>
        <v>0.6606328863050802</v>
      </c>
      <c r="AQ24" s="19">
        <v>146.67</v>
      </c>
      <c r="AR24" s="5"/>
      <c r="AS24" s="27">
        <f>1/1.51746</f>
        <v>0.6589959537648439</v>
      </c>
      <c r="AT24" s="19">
        <v>146.31</v>
      </c>
      <c r="AU24" s="5"/>
      <c r="AV24" s="27">
        <f>1/1.51847</f>
        <v>0.6585576270851581</v>
      </c>
      <c r="AW24" s="19">
        <v>146.51</v>
      </c>
      <c r="AX24" s="5"/>
      <c r="AY24" s="27">
        <f>1/1.51957</f>
        <v>0.6580809044663951</v>
      </c>
      <c r="AZ24" s="19">
        <v>146.37</v>
      </c>
      <c r="BA24" s="5"/>
      <c r="BB24" s="27">
        <f>1/1.51575</f>
        <v>0.6597394029358403</v>
      </c>
      <c r="BC24" s="19">
        <v>146.43</v>
      </c>
      <c r="BD24" s="5"/>
      <c r="BE24" s="27">
        <f>1/1.51209</f>
        <v>0.6613362961199399</v>
      </c>
      <c r="BF24" s="19">
        <v>146.68</v>
      </c>
      <c r="BG24" s="5"/>
      <c r="BH24" s="27">
        <f>1/1.51209</f>
        <v>0.6613362961199399</v>
      </c>
      <c r="BI24" s="19">
        <v>146.19</v>
      </c>
      <c r="BJ24" s="5"/>
      <c r="BK24" s="27">
        <f>1/1.51354</f>
        <v>0.6607027234166258</v>
      </c>
      <c r="BL24" s="19">
        <v>145.91</v>
      </c>
      <c r="BM24" s="5"/>
      <c r="BN24" s="27">
        <f t="shared" si="0"/>
        <v>0.6622749992867162</v>
      </c>
      <c r="BO24" s="19">
        <f t="shared" si="1"/>
        <v>146.99333333333328</v>
      </c>
      <c r="BP24" s="32"/>
      <c r="BQ24" s="9"/>
    </row>
    <row r="25" spans="1:69" ht="15.75" customHeight="1" thickBot="1">
      <c r="A25" s="35">
        <v>13</v>
      </c>
      <c r="B25" s="36" t="s">
        <v>26</v>
      </c>
      <c r="C25" s="28">
        <v>1</v>
      </c>
      <c r="D25" s="22">
        <v>97.3</v>
      </c>
      <c r="E25" s="21"/>
      <c r="F25" s="28">
        <v>1</v>
      </c>
      <c r="G25" s="22">
        <v>97.86</v>
      </c>
      <c r="H25" s="21"/>
      <c r="I25" s="28">
        <v>1</v>
      </c>
      <c r="J25" s="22">
        <v>98.29</v>
      </c>
      <c r="K25" s="21"/>
      <c r="L25" s="28">
        <v>1</v>
      </c>
      <c r="M25" s="22">
        <v>98.03</v>
      </c>
      <c r="N25" s="21"/>
      <c r="O25" s="28">
        <v>1</v>
      </c>
      <c r="P25" s="22">
        <v>97.82</v>
      </c>
      <c r="Q25" s="21"/>
      <c r="R25" s="28">
        <v>1</v>
      </c>
      <c r="S25" s="22">
        <v>98.28</v>
      </c>
      <c r="T25" s="21"/>
      <c r="U25" s="28">
        <v>1</v>
      </c>
      <c r="V25" s="22">
        <v>97.66</v>
      </c>
      <c r="W25" s="21"/>
      <c r="X25" s="28">
        <v>1</v>
      </c>
      <c r="Y25" s="22">
        <v>97.51</v>
      </c>
      <c r="Z25" s="21"/>
      <c r="AA25" s="28">
        <v>1</v>
      </c>
      <c r="AB25" s="22">
        <v>97.72</v>
      </c>
      <c r="AC25" s="21"/>
      <c r="AD25" s="28">
        <v>1</v>
      </c>
      <c r="AE25" s="22">
        <v>98.13</v>
      </c>
      <c r="AF25" s="21"/>
      <c r="AG25" s="28">
        <v>1</v>
      </c>
      <c r="AH25" s="22">
        <v>98.3</v>
      </c>
      <c r="AI25" s="21"/>
      <c r="AJ25" s="28">
        <v>1</v>
      </c>
      <c r="AK25" s="22">
        <v>97.49</v>
      </c>
      <c r="AL25" s="21"/>
      <c r="AM25" s="28">
        <v>1</v>
      </c>
      <c r="AN25" s="22">
        <v>97.19</v>
      </c>
      <c r="AO25" s="21"/>
      <c r="AP25" s="28">
        <v>1</v>
      </c>
      <c r="AQ25" s="22">
        <v>96.9</v>
      </c>
      <c r="AR25" s="21"/>
      <c r="AS25" s="28">
        <v>1</v>
      </c>
      <c r="AT25" s="22">
        <v>96.42</v>
      </c>
      <c r="AU25" s="21"/>
      <c r="AV25" s="28">
        <v>1</v>
      </c>
      <c r="AW25" s="22">
        <v>96.49</v>
      </c>
      <c r="AX25" s="21"/>
      <c r="AY25" s="28">
        <v>1</v>
      </c>
      <c r="AZ25" s="22">
        <v>96.32</v>
      </c>
      <c r="BA25" s="21"/>
      <c r="BB25" s="28">
        <v>1</v>
      </c>
      <c r="BC25" s="22">
        <v>96.61</v>
      </c>
      <c r="BD25" s="21"/>
      <c r="BE25" s="28">
        <v>1</v>
      </c>
      <c r="BF25" s="22">
        <v>96.68</v>
      </c>
      <c r="BG25" s="21"/>
      <c r="BH25" s="28">
        <v>1</v>
      </c>
      <c r="BI25" s="22">
        <v>96.68</v>
      </c>
      <c r="BJ25" s="21"/>
      <c r="BK25" s="28">
        <v>1</v>
      </c>
      <c r="BL25" s="22">
        <v>96.41</v>
      </c>
      <c r="BM25" s="21"/>
      <c r="BN25" s="28">
        <f t="shared" si="0"/>
        <v>1</v>
      </c>
      <c r="BO25" s="22">
        <f t="shared" si="1"/>
        <v>97.33761904761907</v>
      </c>
      <c r="BP25" s="32"/>
      <c r="BQ25" s="9"/>
    </row>
    <row r="26" spans="1:69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9"/>
      <c r="BO26" s="31"/>
      <c r="BP26" s="32"/>
      <c r="BQ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&amp;L&amp;"Helv,Bold"&amp;12BANKA E SHQIPERISE
Sektori i Informacionit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B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13" sqref="BK13:BL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8" ht="15.75" customHeight="1">
      <c r="A4" s="6" t="s">
        <v>2</v>
      </c>
      <c r="B4" s="5"/>
      <c r="C4" s="4" t="s">
        <v>110</v>
      </c>
      <c r="D4" s="4"/>
      <c r="E4" s="10"/>
      <c r="F4" s="4" t="s">
        <v>111</v>
      </c>
      <c r="G4" s="4"/>
      <c r="H4" s="10"/>
      <c r="I4" s="4" t="s">
        <v>112</v>
      </c>
      <c r="J4" s="4"/>
      <c r="K4" s="10"/>
      <c r="L4" s="4" t="s">
        <v>113</v>
      </c>
      <c r="M4" s="4"/>
      <c r="N4" s="10"/>
      <c r="O4" s="4" t="s">
        <v>114</v>
      </c>
      <c r="P4" s="4"/>
      <c r="Q4" s="10"/>
      <c r="R4" s="4" t="s">
        <v>115</v>
      </c>
      <c r="S4" s="4"/>
      <c r="T4" s="10"/>
      <c r="U4" s="4" t="s">
        <v>116</v>
      </c>
      <c r="V4" s="4"/>
      <c r="W4" s="10"/>
      <c r="X4" s="4" t="s">
        <v>117</v>
      </c>
      <c r="Y4" s="4"/>
      <c r="Z4" s="10"/>
      <c r="AA4" s="4" t="s">
        <v>118</v>
      </c>
      <c r="AB4" s="4"/>
      <c r="AC4" s="10"/>
      <c r="AD4" s="4" t="s">
        <v>119</v>
      </c>
      <c r="AE4" s="4"/>
      <c r="AF4" s="10"/>
      <c r="AG4" s="4" t="s">
        <v>120</v>
      </c>
      <c r="AH4" s="4"/>
      <c r="AI4" s="10"/>
      <c r="AJ4" s="4" t="s">
        <v>121</v>
      </c>
      <c r="AK4" s="4"/>
      <c r="AL4" s="10"/>
      <c r="AM4" s="4" t="s">
        <v>122</v>
      </c>
      <c r="AN4" s="4"/>
      <c r="AO4" s="10"/>
      <c r="AP4" s="4" t="s">
        <v>123</v>
      </c>
      <c r="AQ4" s="4"/>
      <c r="AR4" s="10"/>
      <c r="AS4" s="4" t="s">
        <v>124</v>
      </c>
      <c r="AT4" s="4"/>
      <c r="AU4" s="10"/>
      <c r="AV4" s="4" t="s">
        <v>125</v>
      </c>
      <c r="AW4" s="4"/>
      <c r="AX4" s="10"/>
      <c r="AY4" s="4" t="s">
        <v>126</v>
      </c>
      <c r="AZ4" s="4"/>
      <c r="BA4" s="10"/>
      <c r="BB4" s="4" t="s">
        <v>127</v>
      </c>
      <c r="BC4" s="4"/>
      <c r="BD4" s="10"/>
      <c r="BE4" s="4" t="s">
        <v>128</v>
      </c>
      <c r="BF4" s="4"/>
      <c r="BG4" s="10"/>
      <c r="BH4" s="4" t="s">
        <v>129</v>
      </c>
      <c r="BI4" s="4"/>
      <c r="BJ4" s="26"/>
      <c r="BK4" s="4" t="s">
        <v>130</v>
      </c>
      <c r="BL4" s="4"/>
      <c r="BM4" s="26"/>
      <c r="BN4" s="4" t="s">
        <v>3</v>
      </c>
      <c r="BO4" s="4"/>
      <c r="BP4" s="26"/>
    </row>
    <row r="5" spans="1:68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</row>
    <row r="6" spans="1:68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</row>
    <row r="8" spans="1:68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</row>
    <row r="9" spans="1:68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</row>
    <row r="10" spans="1:68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8" ht="15.75" customHeight="1">
      <c r="A13" s="16">
        <v>1</v>
      </c>
      <c r="B13" s="17" t="s">
        <v>14</v>
      </c>
      <c r="C13" s="27">
        <v>105.01</v>
      </c>
      <c r="D13" s="19">
        <v>92.56</v>
      </c>
      <c r="E13" s="5"/>
      <c r="F13" s="27">
        <v>104.62</v>
      </c>
      <c r="G13" s="19">
        <v>92.91</v>
      </c>
      <c r="H13" s="5"/>
      <c r="I13" s="27">
        <v>104.3</v>
      </c>
      <c r="J13" s="19">
        <v>92.85</v>
      </c>
      <c r="K13" s="5"/>
      <c r="L13" s="27">
        <v>104.65</v>
      </c>
      <c r="M13" s="19">
        <v>92.36</v>
      </c>
      <c r="N13" s="5"/>
      <c r="O13" s="27">
        <v>105.3</v>
      </c>
      <c r="P13" s="19">
        <v>92.52</v>
      </c>
      <c r="Q13" s="5"/>
      <c r="R13" s="27">
        <v>105.76</v>
      </c>
      <c r="S13" s="19">
        <v>92.12</v>
      </c>
      <c r="T13" s="5"/>
      <c r="U13" s="27">
        <v>105.35</v>
      </c>
      <c r="V13" s="19">
        <v>92.18</v>
      </c>
      <c r="W13" s="5"/>
      <c r="X13" s="27">
        <v>106.29</v>
      </c>
      <c r="Y13" s="19">
        <v>91.91</v>
      </c>
      <c r="Z13" s="5"/>
      <c r="AA13" s="27">
        <v>106.99</v>
      </c>
      <c r="AB13" s="19">
        <v>91.84</v>
      </c>
      <c r="AC13" s="5"/>
      <c r="AD13" s="27">
        <v>107.67</v>
      </c>
      <c r="AE13" s="19">
        <v>91.75</v>
      </c>
      <c r="AF13" s="5"/>
      <c r="AG13" s="27">
        <v>107.11</v>
      </c>
      <c r="AH13" s="19">
        <v>92.09</v>
      </c>
      <c r="AI13" s="5"/>
      <c r="AJ13" s="27">
        <v>107.46</v>
      </c>
      <c r="AK13" s="19">
        <v>91.89</v>
      </c>
      <c r="AL13" s="5"/>
      <c r="AM13" s="27">
        <v>107.14</v>
      </c>
      <c r="AN13" s="19">
        <v>92</v>
      </c>
      <c r="AO13" s="5"/>
      <c r="AP13" s="27">
        <v>107.53</v>
      </c>
      <c r="AQ13" s="19">
        <v>91.7</v>
      </c>
      <c r="AR13" s="5"/>
      <c r="AS13" s="27">
        <v>107.92</v>
      </c>
      <c r="AT13" s="19">
        <v>91.84</v>
      </c>
      <c r="AU13" s="5"/>
      <c r="AV13" s="27">
        <v>107.56</v>
      </c>
      <c r="AW13" s="19">
        <v>92.07</v>
      </c>
      <c r="AX13" s="5"/>
      <c r="AY13" s="27">
        <v>107.65</v>
      </c>
      <c r="AZ13" s="19">
        <v>92.01</v>
      </c>
      <c r="BA13" s="5"/>
      <c r="BB13" s="27">
        <v>107.93</v>
      </c>
      <c r="BC13" s="19">
        <v>91.9</v>
      </c>
      <c r="BD13" s="5"/>
      <c r="BE13" s="27">
        <v>107.82</v>
      </c>
      <c r="BF13" s="19">
        <v>92.09</v>
      </c>
      <c r="BG13" s="5"/>
      <c r="BH13" s="27">
        <v>107.87</v>
      </c>
      <c r="BI13" s="19">
        <v>92.09</v>
      </c>
      <c r="BJ13" s="5"/>
      <c r="BK13" s="27">
        <v>107.94</v>
      </c>
      <c r="BL13" s="19">
        <v>92.71</v>
      </c>
      <c r="BM13" s="5"/>
      <c r="BN13" s="27">
        <f>(+C13+F13+I13+L13+O13+R13+U13+X13+AA13+AD13+AG13+AJ13+AM13+AP13+AS13+AV13+AY13+BB13+BE13+BH13+BK13)/21</f>
        <v>106.6604761904762</v>
      </c>
      <c r="BO13" s="19">
        <f>(+D13+G13+J13+M13+P13+S13+V13+Y13+AB13+AE13+AH13+AK13+AN13+AQ13+AT13+AW13+AZ13+BC13+BF13+BI13+BL13)/21</f>
        <v>92.16142857142856</v>
      </c>
      <c r="BP13" s="5"/>
    </row>
    <row r="14" spans="1:68" ht="15.75" customHeight="1">
      <c r="A14" s="16">
        <v>2</v>
      </c>
      <c r="B14" s="17" t="s">
        <v>15</v>
      </c>
      <c r="C14" s="27">
        <f>1/1.8933</f>
        <v>0.5281783129984683</v>
      </c>
      <c r="D14" s="19">
        <v>184.02</v>
      </c>
      <c r="E14" s="5"/>
      <c r="F14" s="27">
        <f>1/1.9</f>
        <v>0.5263157894736842</v>
      </c>
      <c r="G14" s="19">
        <v>184.68</v>
      </c>
      <c r="H14" s="5"/>
      <c r="I14" s="27">
        <f>1/1.9039</f>
        <v>0.5252376700456957</v>
      </c>
      <c r="J14" s="19">
        <v>184.37</v>
      </c>
      <c r="K14" s="5"/>
      <c r="L14" s="27">
        <f>1/1.8973</f>
        <v>0.5270647762610025</v>
      </c>
      <c r="M14" s="19">
        <v>183.38</v>
      </c>
      <c r="N14" s="5"/>
      <c r="O14" s="27">
        <f>1/1.8847</f>
        <v>0.5305884225606197</v>
      </c>
      <c r="P14" s="19">
        <v>183.61</v>
      </c>
      <c r="Q14" s="5"/>
      <c r="R14" s="27">
        <f>1/1.8802</f>
        <v>0.5318583129454313</v>
      </c>
      <c r="S14" s="19">
        <v>183.19</v>
      </c>
      <c r="T14" s="5"/>
      <c r="U14" s="27">
        <f>1/1.8845</f>
        <v>0.5306447333510215</v>
      </c>
      <c r="V14" s="19">
        <v>183</v>
      </c>
      <c r="W14" s="5"/>
      <c r="X14" s="27">
        <f>1/1.8677</f>
        <v>0.5354178936660063</v>
      </c>
      <c r="Y14" s="19">
        <v>182.45</v>
      </c>
      <c r="Z14" s="5"/>
      <c r="AA14" s="27">
        <f>1/1.8584</f>
        <v>0.5380972879896685</v>
      </c>
      <c r="AB14" s="19">
        <v>182.61</v>
      </c>
      <c r="AC14" s="5"/>
      <c r="AD14" s="27">
        <f>1/1.8406</f>
        <v>0.5433010974682169</v>
      </c>
      <c r="AE14" s="19">
        <v>181.84</v>
      </c>
      <c r="AF14" s="5"/>
      <c r="AG14" s="27">
        <f>1/1.8411</f>
        <v>0.5431535495084461</v>
      </c>
      <c r="AH14" s="19">
        <v>181.61</v>
      </c>
      <c r="AI14" s="5"/>
      <c r="AJ14" s="27">
        <f>1/1.8322</f>
        <v>0.5457919441109049</v>
      </c>
      <c r="AK14" s="19">
        <v>180.91</v>
      </c>
      <c r="AL14" s="5"/>
      <c r="AM14" s="27">
        <f>1/1.8397</f>
        <v>0.5435668859053107</v>
      </c>
      <c r="AN14" s="19">
        <v>181.34</v>
      </c>
      <c r="AO14" s="5"/>
      <c r="AP14" s="27">
        <f>1/1.8377</f>
        <v>0.5441584589432443</v>
      </c>
      <c r="AQ14" s="19">
        <v>181.21</v>
      </c>
      <c r="AR14" s="5"/>
      <c r="AS14" s="27">
        <f>1/1.8281</f>
        <v>0.5470160275696078</v>
      </c>
      <c r="AT14" s="19">
        <v>181.2</v>
      </c>
      <c r="AU14" s="5"/>
      <c r="AV14" s="27">
        <f>1/1.8299</f>
        <v>0.5464779496147331</v>
      </c>
      <c r="AW14" s="19">
        <v>181.21</v>
      </c>
      <c r="AX14" s="5"/>
      <c r="AY14" s="27">
        <f>1/1.8265</f>
        <v>0.5474952094169176</v>
      </c>
      <c r="AZ14" s="19">
        <v>180.91</v>
      </c>
      <c r="BA14" s="5"/>
      <c r="BB14" s="27">
        <f>1/1.8279</f>
        <v>0.5470758794244761</v>
      </c>
      <c r="BC14" s="19">
        <v>181.31</v>
      </c>
      <c r="BD14" s="5"/>
      <c r="BE14" s="27">
        <f>1/1.8233</f>
        <v>0.5484560960895081</v>
      </c>
      <c r="BF14" s="19">
        <v>181.04</v>
      </c>
      <c r="BG14" s="5"/>
      <c r="BH14" s="27">
        <f>1/1.8237</f>
        <v>0.5483358008444371</v>
      </c>
      <c r="BI14" s="19">
        <v>181.16</v>
      </c>
      <c r="BJ14" s="5"/>
      <c r="BK14" s="27">
        <f>1/1.819</f>
        <v>0.5497526113249038</v>
      </c>
      <c r="BL14" s="19">
        <v>182.04</v>
      </c>
      <c r="BM14" s="5"/>
      <c r="BN14" s="27">
        <f aca="true" t="shared" si="0" ref="BN14:BN25">(+C14+F14+I14+L14+O14+R14+U14+X14+AA14+AD14+AG14+AJ14+AM14+AP14+AS14+AV14+AY14+BB14+BE14+BH14+BK14)/21</f>
        <v>0.5394278433101096</v>
      </c>
      <c r="BO14" s="19">
        <f aca="true" t="shared" si="1" ref="BO14:BO25">(+D14+G14+J14+M14+P14+S14+V14+Y14+AB14+AE14+AH14+AK14+AN14+AQ14+AT14+AW14+AZ14+BC14+BF14+BI14+BL14)/21</f>
        <v>182.24238095238093</v>
      </c>
      <c r="BP14" s="5"/>
    </row>
    <row r="15" spans="1:68" ht="15.75" customHeight="1">
      <c r="A15" s="16">
        <v>3</v>
      </c>
      <c r="B15" s="17" t="s">
        <v>16</v>
      </c>
      <c r="C15" s="27">
        <v>1.1986</v>
      </c>
      <c r="D15" s="19">
        <v>81.09</v>
      </c>
      <c r="E15" s="5"/>
      <c r="F15" s="27">
        <v>1.191</v>
      </c>
      <c r="G15" s="19">
        <v>81.61</v>
      </c>
      <c r="H15" s="5"/>
      <c r="I15" s="27">
        <v>1.191</v>
      </c>
      <c r="J15" s="19">
        <v>81.31</v>
      </c>
      <c r="K15" s="5"/>
      <c r="L15" s="27">
        <v>1.1948</v>
      </c>
      <c r="M15" s="19">
        <v>80.9</v>
      </c>
      <c r="N15" s="5"/>
      <c r="O15" s="27">
        <v>1.2058</v>
      </c>
      <c r="P15" s="19">
        <v>80.79</v>
      </c>
      <c r="Q15" s="5"/>
      <c r="R15" s="27">
        <v>1.2036</v>
      </c>
      <c r="S15" s="19">
        <v>80.95</v>
      </c>
      <c r="T15" s="5"/>
      <c r="U15" s="27">
        <v>1.1985</v>
      </c>
      <c r="V15" s="19">
        <v>81.02</v>
      </c>
      <c r="W15" s="5"/>
      <c r="X15" s="27">
        <v>1.2105</v>
      </c>
      <c r="Y15" s="19">
        <v>80.7</v>
      </c>
      <c r="Z15" s="5"/>
      <c r="AA15" s="27">
        <v>1.2202</v>
      </c>
      <c r="AB15" s="19">
        <v>80.53</v>
      </c>
      <c r="AC15" s="5"/>
      <c r="AD15" s="27">
        <v>1.2244</v>
      </c>
      <c r="AE15" s="19">
        <v>80.69</v>
      </c>
      <c r="AF15" s="5"/>
      <c r="AG15" s="27">
        <v>1.2205</v>
      </c>
      <c r="AH15" s="19">
        <v>80.82</v>
      </c>
      <c r="AI15" s="5"/>
      <c r="AJ15" s="27">
        <v>1.2221</v>
      </c>
      <c r="AK15" s="19">
        <v>80.8</v>
      </c>
      <c r="AL15" s="5"/>
      <c r="AM15" s="27">
        <v>1.2196</v>
      </c>
      <c r="AN15" s="19">
        <v>80.82</v>
      </c>
      <c r="AO15" s="5"/>
      <c r="AP15" s="27">
        <v>1.2238</v>
      </c>
      <c r="AQ15" s="19">
        <v>80.58</v>
      </c>
      <c r="AR15" s="5"/>
      <c r="AS15" s="27">
        <v>1.2327</v>
      </c>
      <c r="AT15" s="19">
        <v>80.41</v>
      </c>
      <c r="AU15" s="5"/>
      <c r="AV15" s="27">
        <v>1.2305</v>
      </c>
      <c r="AW15" s="19">
        <v>80.48</v>
      </c>
      <c r="AX15" s="5"/>
      <c r="AY15" s="27">
        <v>1.2291</v>
      </c>
      <c r="AZ15" s="19">
        <v>80.59</v>
      </c>
      <c r="BA15" s="5"/>
      <c r="BB15" s="27">
        <v>1.2315</v>
      </c>
      <c r="BC15" s="19">
        <v>80.55</v>
      </c>
      <c r="BD15" s="5"/>
      <c r="BE15" s="27">
        <v>1.2343</v>
      </c>
      <c r="BF15" s="19">
        <v>80.45</v>
      </c>
      <c r="BG15" s="5"/>
      <c r="BH15" s="27">
        <v>1.2344</v>
      </c>
      <c r="BI15" s="19">
        <v>80.47</v>
      </c>
      <c r="BJ15" s="5"/>
      <c r="BK15" s="27">
        <v>1.2453</v>
      </c>
      <c r="BL15" s="19">
        <v>80.36</v>
      </c>
      <c r="BM15" s="5"/>
      <c r="BN15" s="27">
        <f t="shared" si="0"/>
        <v>1.2172476190476191</v>
      </c>
      <c r="BO15" s="19">
        <f t="shared" si="1"/>
        <v>80.75809523809522</v>
      </c>
      <c r="BP15" s="5"/>
    </row>
    <row r="16" spans="1:68" ht="15.75" customHeight="1">
      <c r="A16" s="16">
        <v>4</v>
      </c>
      <c r="B16" s="17" t="s">
        <v>17</v>
      </c>
      <c r="C16" s="27">
        <f>1/1.2865</f>
        <v>0.777302759424796</v>
      </c>
      <c r="D16" s="19">
        <v>125.04</v>
      </c>
      <c r="E16" s="5"/>
      <c r="F16" s="27">
        <f>1/1.2949</f>
        <v>0.7722604062089737</v>
      </c>
      <c r="G16" s="19">
        <v>125.86</v>
      </c>
      <c r="H16" s="5"/>
      <c r="I16" s="27">
        <f>1/1.2971</f>
        <v>0.7709505820676895</v>
      </c>
      <c r="J16" s="19">
        <v>125.61</v>
      </c>
      <c r="K16" s="5"/>
      <c r="L16" s="27">
        <f>1/1.2949</f>
        <v>0.7722604062089737</v>
      </c>
      <c r="M16" s="19">
        <v>125.16</v>
      </c>
      <c r="N16" s="5"/>
      <c r="O16" s="27">
        <f>1/1.2839</f>
        <v>0.7788768595685022</v>
      </c>
      <c r="P16" s="19">
        <v>125.08</v>
      </c>
      <c r="Q16" s="5"/>
      <c r="R16" s="27">
        <f>1/1.2844</f>
        <v>0.7785736530675802</v>
      </c>
      <c r="S16" s="19">
        <v>125.14</v>
      </c>
      <c r="T16" s="5"/>
      <c r="U16" s="27">
        <f>1/1.2882</f>
        <v>0.7762769756249029</v>
      </c>
      <c r="V16" s="19">
        <v>125.09</v>
      </c>
      <c r="W16" s="5"/>
      <c r="X16" s="27">
        <f>1/1.2767</f>
        <v>0.7832693663350827</v>
      </c>
      <c r="Y16" s="19">
        <v>124.72</v>
      </c>
      <c r="Z16" s="5"/>
      <c r="AA16" s="27">
        <f>1/1.2649</f>
        <v>0.7905763301446755</v>
      </c>
      <c r="AB16" s="19">
        <v>124.29</v>
      </c>
      <c r="AC16" s="5"/>
      <c r="AD16" s="27">
        <f>1/1.2617</f>
        <v>0.792581437742728</v>
      </c>
      <c r="AE16" s="19">
        <v>124.65</v>
      </c>
      <c r="AF16" s="5"/>
      <c r="AG16" s="27">
        <f>1/1.2647</f>
        <v>0.7907013520993121</v>
      </c>
      <c r="AH16" s="19">
        <v>124.75</v>
      </c>
      <c r="AI16" s="5"/>
      <c r="AJ16" s="27">
        <f>1/1.2618</f>
        <v>0.7925186241876684</v>
      </c>
      <c r="AK16" s="19">
        <v>124.59</v>
      </c>
      <c r="AL16" s="5"/>
      <c r="AM16" s="27">
        <f>1/1.2646</f>
        <v>0.7907638779060573</v>
      </c>
      <c r="AN16" s="19">
        <v>124.65</v>
      </c>
      <c r="AO16" s="5"/>
      <c r="AP16" s="27">
        <f>1/1.2631</f>
        <v>0.791702953052015</v>
      </c>
      <c r="AQ16" s="19">
        <v>124.55</v>
      </c>
      <c r="AR16" s="5"/>
      <c r="AS16" s="27">
        <f>1/1.255</f>
        <v>0.7968127490039841</v>
      </c>
      <c r="AT16" s="19">
        <v>124.39</v>
      </c>
      <c r="AU16" s="5"/>
      <c r="AV16" s="27">
        <f>1/1.2569</f>
        <v>0.7956082425013924</v>
      </c>
      <c r="AW16" s="19">
        <v>124.47</v>
      </c>
      <c r="AX16" s="5"/>
      <c r="AY16" s="27">
        <f>1/1.2569</f>
        <v>0.7956082425013924</v>
      </c>
      <c r="AZ16" s="19">
        <v>124.5</v>
      </c>
      <c r="BA16" s="5"/>
      <c r="BB16" s="27">
        <f>1/1.2562</f>
        <v>0.7960515841426524</v>
      </c>
      <c r="BC16" s="19">
        <v>124.6</v>
      </c>
      <c r="BD16" s="5"/>
      <c r="BE16" s="27">
        <f>1/1.253</f>
        <v>0.7980845969672786</v>
      </c>
      <c r="BF16" s="19">
        <v>124.42</v>
      </c>
      <c r="BG16" s="5"/>
      <c r="BH16" s="27">
        <f>1/1.2515</f>
        <v>0.7990411506192568</v>
      </c>
      <c r="BI16" s="19">
        <v>124.32</v>
      </c>
      <c r="BJ16" s="5"/>
      <c r="BK16" s="27">
        <f>1/1.2381</f>
        <v>0.80768920119538</v>
      </c>
      <c r="BL16" s="19">
        <v>123.9</v>
      </c>
      <c r="BM16" s="5"/>
      <c r="BN16" s="27">
        <f t="shared" si="0"/>
        <v>0.7879767309795378</v>
      </c>
      <c r="BO16" s="19">
        <f t="shared" si="1"/>
        <v>124.75142857142858</v>
      </c>
      <c r="BP16" s="5"/>
    </row>
    <row r="17" spans="1:68" ht="15.75" customHeight="1">
      <c r="A17" s="16">
        <v>5</v>
      </c>
      <c r="B17" s="17" t="s">
        <v>18</v>
      </c>
      <c r="C17" s="27">
        <v>428.75</v>
      </c>
      <c r="D17" s="19">
        <v>41671.64</v>
      </c>
      <c r="E17" s="5"/>
      <c r="F17" s="27">
        <v>428.95</v>
      </c>
      <c r="G17" s="19">
        <v>41692.87</v>
      </c>
      <c r="H17" s="5"/>
      <c r="I17" s="27">
        <v>430.4</v>
      </c>
      <c r="J17" s="19">
        <v>41679.58</v>
      </c>
      <c r="K17" s="5"/>
      <c r="L17" s="27">
        <v>430</v>
      </c>
      <c r="M17" s="19">
        <v>41561.29</v>
      </c>
      <c r="N17" s="5"/>
      <c r="O17" s="27">
        <v>425.7</v>
      </c>
      <c r="P17" s="19">
        <v>41472.76</v>
      </c>
      <c r="Q17" s="5"/>
      <c r="R17" s="27">
        <v>426.8</v>
      </c>
      <c r="S17" s="19">
        <v>41582.77</v>
      </c>
      <c r="T17" s="5"/>
      <c r="U17" s="27">
        <v>428.15</v>
      </c>
      <c r="V17" s="19">
        <v>41576.93</v>
      </c>
      <c r="W17" s="5"/>
      <c r="X17" s="27">
        <v>426</v>
      </c>
      <c r="Y17" s="19">
        <v>41614.88</v>
      </c>
      <c r="Z17" s="5"/>
      <c r="AA17" s="27">
        <v>421.2</v>
      </c>
      <c r="AB17" s="19">
        <v>41388.17</v>
      </c>
      <c r="AC17" s="5"/>
      <c r="AD17" s="27">
        <v>419.6</v>
      </c>
      <c r="AE17" s="19">
        <v>41453.33</v>
      </c>
      <c r="AF17" s="5"/>
      <c r="AG17" s="27">
        <v>420</v>
      </c>
      <c r="AH17" s="19">
        <v>41429.5</v>
      </c>
      <c r="AI17" s="5"/>
      <c r="AJ17" s="27">
        <v>419.3</v>
      </c>
      <c r="AK17" s="19">
        <v>41402.38</v>
      </c>
      <c r="AL17" s="5"/>
      <c r="AM17" s="27">
        <v>421.5</v>
      </c>
      <c r="AN17" s="19">
        <v>41547.61</v>
      </c>
      <c r="AO17" s="5"/>
      <c r="AP17" s="27">
        <v>420.6</v>
      </c>
      <c r="AQ17" s="19">
        <v>41475.02</v>
      </c>
      <c r="AR17" s="5"/>
      <c r="AS17" s="27">
        <v>417.5</v>
      </c>
      <c r="AT17" s="19">
        <v>41381.21</v>
      </c>
      <c r="AU17" s="5"/>
      <c r="AV17" s="27">
        <v>417.9</v>
      </c>
      <c r="AW17" s="19">
        <v>41384.29</v>
      </c>
      <c r="AX17" s="5"/>
      <c r="AY17" s="27">
        <v>418.2</v>
      </c>
      <c r="AZ17" s="19">
        <v>41422.71</v>
      </c>
      <c r="BA17" s="5"/>
      <c r="BB17" s="27">
        <v>418.4</v>
      </c>
      <c r="BC17" s="19">
        <v>41501.79</v>
      </c>
      <c r="BD17" s="5"/>
      <c r="BE17" s="27">
        <v>418.25</v>
      </c>
      <c r="BF17" s="19">
        <v>41529.79</v>
      </c>
      <c r="BG17" s="5"/>
      <c r="BH17" s="27">
        <v>419.3</v>
      </c>
      <c r="BI17" s="19">
        <v>41652.21</v>
      </c>
      <c r="BJ17" s="5"/>
      <c r="BK17" s="27">
        <v>417</v>
      </c>
      <c r="BL17" s="19">
        <v>41731.28</v>
      </c>
      <c r="BM17" s="5"/>
      <c r="BN17" s="27">
        <f t="shared" si="0"/>
        <v>422.54761904761904</v>
      </c>
      <c r="BO17" s="19">
        <f t="shared" si="1"/>
        <v>41531.048095238104</v>
      </c>
      <c r="BP17" s="5"/>
    </row>
    <row r="18" spans="1:68" ht="15.75" customHeight="1">
      <c r="A18" s="16">
        <v>6</v>
      </c>
      <c r="B18" s="20" t="s">
        <v>19</v>
      </c>
      <c r="C18" s="27">
        <v>6.82</v>
      </c>
      <c r="D18" s="19">
        <v>662.86</v>
      </c>
      <c r="E18" s="5"/>
      <c r="F18" s="27">
        <v>6.89</v>
      </c>
      <c r="G18" s="19">
        <v>669.69</v>
      </c>
      <c r="H18" s="5"/>
      <c r="I18" s="27">
        <v>7.02</v>
      </c>
      <c r="J18" s="19">
        <v>679.81</v>
      </c>
      <c r="K18" s="5"/>
      <c r="L18" s="27">
        <v>7.05</v>
      </c>
      <c r="M18" s="19">
        <v>681.41</v>
      </c>
      <c r="N18" s="5"/>
      <c r="O18" s="27">
        <v>6.93</v>
      </c>
      <c r="P18" s="19">
        <v>675.14</v>
      </c>
      <c r="Q18" s="5"/>
      <c r="R18" s="27">
        <v>7.03</v>
      </c>
      <c r="S18" s="19">
        <v>684.93</v>
      </c>
      <c r="T18" s="5"/>
      <c r="U18" s="27">
        <v>7.08</v>
      </c>
      <c r="V18" s="19">
        <v>687.53</v>
      </c>
      <c r="W18" s="5"/>
      <c r="X18" s="27">
        <v>7</v>
      </c>
      <c r="Y18" s="19">
        <v>683.81</v>
      </c>
      <c r="Z18" s="5"/>
      <c r="AA18" s="27">
        <v>6.89</v>
      </c>
      <c r="AB18" s="19">
        <v>677.03</v>
      </c>
      <c r="AC18" s="5"/>
      <c r="AD18" s="27">
        <v>6.88</v>
      </c>
      <c r="AE18" s="19">
        <v>679.69</v>
      </c>
      <c r="AF18" s="5"/>
      <c r="AG18" s="27">
        <v>6.97</v>
      </c>
      <c r="AH18" s="19">
        <v>687.53</v>
      </c>
      <c r="AI18" s="5"/>
      <c r="AJ18" s="27">
        <v>7.01</v>
      </c>
      <c r="AK18" s="19">
        <v>692.18</v>
      </c>
      <c r="AL18" s="5"/>
      <c r="AM18" s="27">
        <v>7.16</v>
      </c>
      <c r="AN18" s="19">
        <v>705.77</v>
      </c>
      <c r="AO18" s="5"/>
      <c r="AP18" s="27">
        <v>7.11</v>
      </c>
      <c r="AQ18" s="19">
        <v>701.11</v>
      </c>
      <c r="AR18" s="5"/>
      <c r="AS18" s="27">
        <v>6.96</v>
      </c>
      <c r="AT18" s="19">
        <v>689.85</v>
      </c>
      <c r="AU18" s="5"/>
      <c r="AV18" s="27">
        <v>6.97</v>
      </c>
      <c r="AW18" s="19">
        <v>690.23</v>
      </c>
      <c r="AX18" s="5"/>
      <c r="AY18" s="27">
        <v>7.03</v>
      </c>
      <c r="AZ18" s="19">
        <v>696.32</v>
      </c>
      <c r="BA18" s="5"/>
      <c r="BB18" s="27">
        <v>7.08</v>
      </c>
      <c r="BC18" s="19">
        <v>702.28</v>
      </c>
      <c r="BD18" s="5"/>
      <c r="BE18" s="27">
        <v>7.14</v>
      </c>
      <c r="BF18" s="19">
        <v>708.96</v>
      </c>
      <c r="BG18" s="5"/>
      <c r="BH18" s="27">
        <v>7.23</v>
      </c>
      <c r="BI18" s="19">
        <v>718.21</v>
      </c>
      <c r="BJ18" s="5"/>
      <c r="BK18" s="27">
        <v>7.17</v>
      </c>
      <c r="BL18" s="19">
        <v>717.54</v>
      </c>
      <c r="BM18" s="5"/>
      <c r="BN18" s="27">
        <f t="shared" si="0"/>
        <v>7.019999999999998</v>
      </c>
      <c r="BO18" s="19">
        <f t="shared" si="1"/>
        <v>690.0895238095238</v>
      </c>
      <c r="BP18" s="5"/>
    </row>
    <row r="19" spans="1:68" ht="15.75" customHeight="1">
      <c r="A19" s="16">
        <v>7</v>
      </c>
      <c r="B19" s="17" t="s">
        <v>20</v>
      </c>
      <c r="C19" s="27">
        <f>1/0.7745</f>
        <v>1.2911555842479019</v>
      </c>
      <c r="D19" s="19">
        <v>75.28</v>
      </c>
      <c r="E19" s="5"/>
      <c r="F19" s="27">
        <f>1/0.7762</f>
        <v>1.2883277505797475</v>
      </c>
      <c r="G19" s="19">
        <v>75.44</v>
      </c>
      <c r="H19" s="5"/>
      <c r="I19" s="27">
        <f>1/0.7819</f>
        <v>1.278935925310142</v>
      </c>
      <c r="J19" s="19">
        <v>75.72</v>
      </c>
      <c r="K19" s="5"/>
      <c r="L19" s="27">
        <f>1/0.7784</f>
        <v>1.2846865364850977</v>
      </c>
      <c r="M19" s="19">
        <v>75.24</v>
      </c>
      <c r="N19" s="5"/>
      <c r="O19" s="27">
        <f>1/0.7745</f>
        <v>1.2911555842479019</v>
      </c>
      <c r="P19" s="19">
        <v>75.45</v>
      </c>
      <c r="Q19" s="5"/>
      <c r="R19" s="27">
        <f>1/0.7737</f>
        <v>1.2924906294429364</v>
      </c>
      <c r="S19" s="19">
        <v>75.38</v>
      </c>
      <c r="T19" s="5"/>
      <c r="U19" s="27">
        <f>1/0.7779</f>
        <v>1.2855122766422418</v>
      </c>
      <c r="V19" s="19">
        <v>75.54</v>
      </c>
      <c r="W19" s="5"/>
      <c r="X19" s="27">
        <f>1/0.7716</f>
        <v>1.2960082944530846</v>
      </c>
      <c r="Y19" s="19">
        <v>75.38</v>
      </c>
      <c r="Z19" s="5"/>
      <c r="AA19" s="27">
        <f>1/0.7648</f>
        <v>1.307531380753138</v>
      </c>
      <c r="AB19" s="19">
        <v>75.15</v>
      </c>
      <c r="AC19" s="5"/>
      <c r="AD19" s="27">
        <f>1/0.7573</f>
        <v>1.320480654958405</v>
      </c>
      <c r="AE19" s="19">
        <v>74.82</v>
      </c>
      <c r="AF19" s="5"/>
      <c r="AG19" s="27">
        <f>1/0.7579</f>
        <v>1.3194352816994326</v>
      </c>
      <c r="AH19" s="19">
        <v>74.76</v>
      </c>
      <c r="AI19" s="5"/>
      <c r="AJ19" s="27">
        <f>1/0.755</f>
        <v>1.3245033112582782</v>
      </c>
      <c r="AK19" s="19">
        <v>74.55</v>
      </c>
      <c r="AL19" s="5"/>
      <c r="AM19" s="27">
        <f>1/0.7595</f>
        <v>1.316655694535879</v>
      </c>
      <c r="AN19" s="19">
        <v>74.86</v>
      </c>
      <c r="AO19" s="5"/>
      <c r="AP19" s="27">
        <f>1/0.7598</f>
        <v>1.3161358252171624</v>
      </c>
      <c r="AQ19" s="19">
        <v>74.92</v>
      </c>
      <c r="AR19" s="5"/>
      <c r="AS19" s="27">
        <f>1/0.7567</f>
        <v>1.3215276860050218</v>
      </c>
      <c r="AT19" s="19">
        <v>75</v>
      </c>
      <c r="AU19" s="5"/>
      <c r="AV19" s="27">
        <f>1/0.7595</f>
        <v>1.316655694535879</v>
      </c>
      <c r="AW19" s="19">
        <v>75.21</v>
      </c>
      <c r="AX19" s="5"/>
      <c r="AY19" s="27">
        <f>1/0.759</f>
        <v>1.3175230566534915</v>
      </c>
      <c r="AZ19" s="19">
        <v>75.18</v>
      </c>
      <c r="BA19" s="5"/>
      <c r="BB19" s="27">
        <f>1/0.762</f>
        <v>1.3123359580052494</v>
      </c>
      <c r="BC19" s="19">
        <v>75.58</v>
      </c>
      <c r="BD19" s="5"/>
      <c r="BE19" s="27">
        <f>1/0.7606</f>
        <v>1.3147515119642386</v>
      </c>
      <c r="BF19" s="19">
        <v>75.52</v>
      </c>
      <c r="BG19" s="5"/>
      <c r="BH19" s="27">
        <f>1/0.762</f>
        <v>1.3123359580052494</v>
      </c>
      <c r="BI19" s="19">
        <v>75.7</v>
      </c>
      <c r="BJ19" s="18"/>
      <c r="BK19" s="27">
        <f>1/0.7569</f>
        <v>1.321178491214163</v>
      </c>
      <c r="BL19" s="19">
        <v>75.75</v>
      </c>
      <c r="BM19" s="18"/>
      <c r="BN19" s="27">
        <f t="shared" si="0"/>
        <v>1.3061582422006974</v>
      </c>
      <c r="BO19" s="19">
        <f t="shared" si="1"/>
        <v>75.25857142857141</v>
      </c>
      <c r="BP19" s="18"/>
    </row>
    <row r="20" spans="1:68" ht="15.75" customHeight="1">
      <c r="A20" s="16">
        <v>8</v>
      </c>
      <c r="B20" s="17" t="s">
        <v>21</v>
      </c>
      <c r="C20" s="27">
        <v>1.2551</v>
      </c>
      <c r="D20" s="19">
        <v>77.44</v>
      </c>
      <c r="E20" s="5"/>
      <c r="F20" s="27">
        <v>1.2488</v>
      </c>
      <c r="G20" s="19">
        <v>77.83</v>
      </c>
      <c r="H20" s="5"/>
      <c r="I20" s="27">
        <v>1.2433</v>
      </c>
      <c r="J20" s="19">
        <v>77.89</v>
      </c>
      <c r="K20" s="5"/>
      <c r="L20" s="27">
        <v>1.2439</v>
      </c>
      <c r="M20" s="19">
        <v>77.7</v>
      </c>
      <c r="N20" s="5"/>
      <c r="O20" s="27">
        <v>1.2381</v>
      </c>
      <c r="P20" s="19">
        <v>78.69</v>
      </c>
      <c r="Q20" s="5"/>
      <c r="R20" s="27">
        <v>1.2373</v>
      </c>
      <c r="S20" s="19">
        <v>78.74</v>
      </c>
      <c r="T20" s="5"/>
      <c r="U20" s="27">
        <v>1.2424</v>
      </c>
      <c r="V20" s="19">
        <v>78.16</v>
      </c>
      <c r="W20" s="5"/>
      <c r="X20" s="27">
        <v>1.2483</v>
      </c>
      <c r="Y20" s="19">
        <v>78.26</v>
      </c>
      <c r="Z20" s="5"/>
      <c r="AA20" s="27">
        <v>1.2517</v>
      </c>
      <c r="AB20" s="19">
        <v>78.5</v>
      </c>
      <c r="AC20" s="5"/>
      <c r="AD20" s="27">
        <v>1.2683</v>
      </c>
      <c r="AE20" s="19">
        <v>77.89</v>
      </c>
      <c r="AF20" s="5"/>
      <c r="AG20" s="27">
        <v>1.2687</v>
      </c>
      <c r="AH20" s="19">
        <v>77.75</v>
      </c>
      <c r="AI20" s="5"/>
      <c r="AJ20" s="27">
        <v>1.2644</v>
      </c>
      <c r="AK20" s="19">
        <v>78.09</v>
      </c>
      <c r="AL20" s="5"/>
      <c r="AM20" s="27">
        <v>1.2599</v>
      </c>
      <c r="AN20" s="19">
        <v>78.24</v>
      </c>
      <c r="AO20" s="5"/>
      <c r="AP20" s="27">
        <v>1.2572</v>
      </c>
      <c r="AQ20" s="19">
        <v>78.44</v>
      </c>
      <c r="AR20" s="5"/>
      <c r="AS20" s="27">
        <v>1.2616</v>
      </c>
      <c r="AT20" s="19">
        <v>78.56</v>
      </c>
      <c r="AU20" s="5"/>
      <c r="AV20" s="27">
        <v>1.2609</v>
      </c>
      <c r="AW20" s="19">
        <v>78.54</v>
      </c>
      <c r="AX20" s="5"/>
      <c r="AY20" s="27">
        <v>1.2602</v>
      </c>
      <c r="AZ20" s="19">
        <v>78.6</v>
      </c>
      <c r="BA20" s="5"/>
      <c r="BB20" s="27">
        <v>1.2659</v>
      </c>
      <c r="BC20" s="19">
        <v>78.36</v>
      </c>
      <c r="BD20" s="5"/>
      <c r="BE20" s="27">
        <v>1.2651</v>
      </c>
      <c r="BF20" s="19">
        <v>78.49</v>
      </c>
      <c r="BG20" s="5"/>
      <c r="BH20" s="27">
        <v>1.2564</v>
      </c>
      <c r="BI20" s="19">
        <v>79.07</v>
      </c>
      <c r="BJ20" s="5"/>
      <c r="BK20" s="27">
        <v>1.2577</v>
      </c>
      <c r="BL20" s="19">
        <v>79.57</v>
      </c>
      <c r="BM20" s="5"/>
      <c r="BN20" s="27">
        <f t="shared" si="0"/>
        <v>1.2550095238095238</v>
      </c>
      <c r="BO20" s="19">
        <f t="shared" si="1"/>
        <v>78.3242857142857</v>
      </c>
      <c r="BP20" s="5"/>
    </row>
    <row r="21" spans="1:68" ht="15.75" customHeight="1">
      <c r="A21" s="16">
        <v>9</v>
      </c>
      <c r="B21" s="17" t="s">
        <v>22</v>
      </c>
      <c r="C21" s="27">
        <v>7.17</v>
      </c>
      <c r="D21" s="19">
        <v>13.56</v>
      </c>
      <c r="E21" s="5"/>
      <c r="F21" s="27">
        <v>7.0931</v>
      </c>
      <c r="G21" s="19">
        <v>13.7</v>
      </c>
      <c r="H21" s="5"/>
      <c r="I21" s="27">
        <v>7.0703</v>
      </c>
      <c r="J21" s="19">
        <v>13.7</v>
      </c>
      <c r="K21" s="5"/>
      <c r="L21" s="27">
        <v>7.0746</v>
      </c>
      <c r="M21" s="19">
        <v>13.66</v>
      </c>
      <c r="N21" s="5"/>
      <c r="O21" s="27">
        <v>7.1462</v>
      </c>
      <c r="P21" s="19">
        <v>13.63</v>
      </c>
      <c r="Q21" s="5"/>
      <c r="R21" s="27">
        <v>7.1642</v>
      </c>
      <c r="S21" s="19">
        <v>13.6</v>
      </c>
      <c r="T21" s="5"/>
      <c r="U21" s="27">
        <v>7.1523</v>
      </c>
      <c r="V21" s="19">
        <v>13.58</v>
      </c>
      <c r="W21" s="5"/>
      <c r="X21" s="27">
        <v>7.2123</v>
      </c>
      <c r="Y21" s="19">
        <v>13.54</v>
      </c>
      <c r="Z21" s="5"/>
      <c r="AA21" s="27">
        <v>7.2758</v>
      </c>
      <c r="AB21" s="19">
        <v>13.51</v>
      </c>
      <c r="AC21" s="5"/>
      <c r="AD21" s="27">
        <v>7.2962</v>
      </c>
      <c r="AE21" s="19">
        <v>13.54</v>
      </c>
      <c r="AF21" s="5"/>
      <c r="AG21" s="27">
        <v>7.293</v>
      </c>
      <c r="AH21" s="19">
        <v>13.53</v>
      </c>
      <c r="AI21" s="5"/>
      <c r="AJ21" s="27">
        <v>7.3053</v>
      </c>
      <c r="AK21" s="19">
        <v>13.52</v>
      </c>
      <c r="AL21" s="5"/>
      <c r="AM21" s="27">
        <v>7.2602</v>
      </c>
      <c r="AN21" s="19">
        <v>13.58</v>
      </c>
      <c r="AO21" s="5"/>
      <c r="AP21" s="27">
        <v>7.2747</v>
      </c>
      <c r="AQ21" s="19">
        <v>13.56</v>
      </c>
      <c r="AR21" s="5"/>
      <c r="AS21" s="27">
        <v>7.3149</v>
      </c>
      <c r="AT21" s="19">
        <v>13.55</v>
      </c>
      <c r="AU21" s="5"/>
      <c r="AV21" s="27">
        <v>7.3062</v>
      </c>
      <c r="AW21" s="19">
        <v>13.55</v>
      </c>
      <c r="AX21" s="5"/>
      <c r="AY21" s="27">
        <v>7.2952</v>
      </c>
      <c r="AZ21" s="19">
        <v>13.58</v>
      </c>
      <c r="BA21" s="5"/>
      <c r="BB21" s="27">
        <v>7.3163</v>
      </c>
      <c r="BC21" s="19">
        <v>13.56</v>
      </c>
      <c r="BD21" s="5"/>
      <c r="BE21" s="27">
        <v>7.3384</v>
      </c>
      <c r="BF21" s="19">
        <v>13.53</v>
      </c>
      <c r="BG21" s="5"/>
      <c r="BH21" s="27">
        <v>7.328</v>
      </c>
      <c r="BI21" s="19">
        <v>13.56</v>
      </c>
      <c r="BJ21" s="5"/>
      <c r="BK21" s="27">
        <v>7.386</v>
      </c>
      <c r="BL21" s="19">
        <v>13.55</v>
      </c>
      <c r="BM21" s="5"/>
      <c r="BN21" s="27">
        <f t="shared" si="0"/>
        <v>7.241580952380953</v>
      </c>
      <c r="BO21" s="19">
        <f t="shared" si="1"/>
        <v>13.575714285714287</v>
      </c>
      <c r="BP21" s="5"/>
    </row>
    <row r="22" spans="1:68" ht="15.75" customHeight="1">
      <c r="A22" s="16">
        <v>10</v>
      </c>
      <c r="B22" s="17" t="s">
        <v>23</v>
      </c>
      <c r="C22" s="27">
        <v>6.3281</v>
      </c>
      <c r="D22" s="19">
        <v>15.36</v>
      </c>
      <c r="E22" s="5"/>
      <c r="F22" s="27">
        <v>6.2687</v>
      </c>
      <c r="G22" s="19">
        <v>15.51</v>
      </c>
      <c r="H22" s="5"/>
      <c r="I22" s="27">
        <v>6.2619</v>
      </c>
      <c r="J22" s="19">
        <v>15.46</v>
      </c>
      <c r="K22" s="5"/>
      <c r="L22" s="27">
        <v>6.2612</v>
      </c>
      <c r="M22" s="19">
        <v>15.44</v>
      </c>
      <c r="N22" s="5"/>
      <c r="O22" s="27">
        <v>6.332</v>
      </c>
      <c r="P22" s="19">
        <v>15.39</v>
      </c>
      <c r="Q22" s="5"/>
      <c r="R22" s="27">
        <v>6.303</v>
      </c>
      <c r="S22" s="19">
        <v>15.46</v>
      </c>
      <c r="T22" s="5"/>
      <c r="U22" s="27">
        <v>6.2731</v>
      </c>
      <c r="V22" s="19">
        <v>15.48</v>
      </c>
      <c r="W22" s="5"/>
      <c r="X22" s="27">
        <v>6.3348</v>
      </c>
      <c r="Y22" s="19">
        <v>15.42</v>
      </c>
      <c r="Z22" s="5"/>
      <c r="AA22" s="27">
        <v>6.4039</v>
      </c>
      <c r="AB22" s="19">
        <v>15.34</v>
      </c>
      <c r="AC22" s="5"/>
      <c r="AD22" s="27">
        <v>6.4165</v>
      </c>
      <c r="AE22" s="19">
        <v>15.4</v>
      </c>
      <c r="AF22" s="5"/>
      <c r="AG22" s="27">
        <v>6.3945</v>
      </c>
      <c r="AH22" s="19">
        <v>15.43</v>
      </c>
      <c r="AI22" s="5"/>
      <c r="AJ22" s="27">
        <v>6.422</v>
      </c>
      <c r="AK22" s="19">
        <v>15.38</v>
      </c>
      <c r="AL22" s="5"/>
      <c r="AM22" s="27">
        <v>6.416</v>
      </c>
      <c r="AN22" s="19">
        <v>15.36</v>
      </c>
      <c r="AO22" s="5"/>
      <c r="AP22" s="27">
        <v>6.4295</v>
      </c>
      <c r="AQ22" s="19">
        <v>15.34</v>
      </c>
      <c r="AR22" s="5"/>
      <c r="AS22" s="27">
        <v>6.4666</v>
      </c>
      <c r="AT22" s="19">
        <v>15.33</v>
      </c>
      <c r="AU22" s="5"/>
      <c r="AV22" s="27">
        <v>6.443</v>
      </c>
      <c r="AW22" s="19">
        <v>15.37</v>
      </c>
      <c r="AX22" s="5"/>
      <c r="AY22" s="27">
        <v>6.4108</v>
      </c>
      <c r="AZ22" s="19">
        <v>15.45</v>
      </c>
      <c r="BA22" s="5"/>
      <c r="BB22" s="27">
        <v>6.3811</v>
      </c>
      <c r="BC22" s="19">
        <v>15.54</v>
      </c>
      <c r="BD22" s="5"/>
      <c r="BE22" s="27">
        <v>6.3785</v>
      </c>
      <c r="BF22" s="19">
        <v>15.57</v>
      </c>
      <c r="BG22" s="5"/>
      <c r="BH22" s="27">
        <v>6.3599</v>
      </c>
      <c r="BI22" s="19">
        <v>15.62</v>
      </c>
      <c r="BJ22" s="5"/>
      <c r="BK22" s="27">
        <v>6.4127</v>
      </c>
      <c r="BL22" s="19">
        <v>15.61</v>
      </c>
      <c r="BM22" s="5"/>
      <c r="BN22" s="27">
        <f t="shared" si="0"/>
        <v>6.3665619047619035</v>
      </c>
      <c r="BO22" s="19">
        <f t="shared" si="1"/>
        <v>15.440952380952384</v>
      </c>
      <c r="BP22" s="5"/>
    </row>
    <row r="23" spans="1:68" ht="15.75" customHeight="1">
      <c r="A23" s="16">
        <v>11</v>
      </c>
      <c r="B23" s="17" t="s">
        <v>24</v>
      </c>
      <c r="C23" s="27">
        <v>5.7851</v>
      </c>
      <c r="D23" s="19">
        <v>16.8</v>
      </c>
      <c r="E23" s="5"/>
      <c r="F23" s="27">
        <v>5.7479</v>
      </c>
      <c r="G23" s="19">
        <v>16.91</v>
      </c>
      <c r="H23" s="5"/>
      <c r="I23" s="27">
        <v>5.7379</v>
      </c>
      <c r="J23" s="19">
        <v>16.88</v>
      </c>
      <c r="K23" s="5"/>
      <c r="L23" s="27">
        <v>5.7475</v>
      </c>
      <c r="M23" s="19">
        <v>16.82</v>
      </c>
      <c r="N23" s="5"/>
      <c r="O23" s="27">
        <v>5.795</v>
      </c>
      <c r="P23" s="19">
        <v>16.81</v>
      </c>
      <c r="Q23" s="5"/>
      <c r="R23" s="27">
        <v>5.7914</v>
      </c>
      <c r="S23" s="19">
        <v>16.82</v>
      </c>
      <c r="T23" s="5"/>
      <c r="U23" s="27">
        <v>5.7769</v>
      </c>
      <c r="V23" s="19">
        <v>16.81</v>
      </c>
      <c r="W23" s="5"/>
      <c r="X23" s="27">
        <v>5.8266</v>
      </c>
      <c r="Y23" s="19">
        <v>16.77</v>
      </c>
      <c r="Z23" s="5"/>
      <c r="AA23" s="27">
        <v>5.8816</v>
      </c>
      <c r="AB23" s="19">
        <v>16.71</v>
      </c>
      <c r="AC23" s="5"/>
      <c r="AD23" s="27">
        <v>5.8969</v>
      </c>
      <c r="AE23" s="19">
        <v>16.75</v>
      </c>
      <c r="AF23" s="5"/>
      <c r="AG23" s="27">
        <v>5.8821</v>
      </c>
      <c r="AH23" s="19">
        <v>16.77</v>
      </c>
      <c r="AI23" s="5"/>
      <c r="AJ23" s="27">
        <v>5.9011</v>
      </c>
      <c r="AK23" s="19">
        <v>16.73</v>
      </c>
      <c r="AL23" s="5"/>
      <c r="AM23" s="27">
        <v>5.8864</v>
      </c>
      <c r="AN23" s="19">
        <v>16.75</v>
      </c>
      <c r="AO23" s="5"/>
      <c r="AP23" s="27">
        <v>5.8936</v>
      </c>
      <c r="AQ23" s="19">
        <v>16.73</v>
      </c>
      <c r="AR23" s="5"/>
      <c r="AS23" s="27">
        <v>5.9345</v>
      </c>
      <c r="AT23" s="19">
        <v>16.7</v>
      </c>
      <c r="AU23" s="5"/>
      <c r="AV23" s="27">
        <v>5.9251</v>
      </c>
      <c r="AW23" s="19">
        <v>16.71</v>
      </c>
      <c r="AX23" s="5"/>
      <c r="AY23" s="27">
        <v>5.922</v>
      </c>
      <c r="AZ23" s="19">
        <v>16.73</v>
      </c>
      <c r="BA23" s="5"/>
      <c r="BB23" s="27">
        <v>5.9236</v>
      </c>
      <c r="BC23" s="19">
        <v>16.75</v>
      </c>
      <c r="BD23" s="5"/>
      <c r="BE23" s="27">
        <v>5.939</v>
      </c>
      <c r="BF23" s="19">
        <v>16.72</v>
      </c>
      <c r="BG23" s="5"/>
      <c r="BH23" s="27">
        <v>5.9449</v>
      </c>
      <c r="BI23" s="19">
        <v>16.71</v>
      </c>
      <c r="BJ23" s="5"/>
      <c r="BK23" s="27">
        <v>6.0098</v>
      </c>
      <c r="BL23" s="19">
        <v>16.65</v>
      </c>
      <c r="BM23" s="5"/>
      <c r="BN23" s="27">
        <f t="shared" si="0"/>
        <v>5.864233333333333</v>
      </c>
      <c r="BO23" s="19">
        <f t="shared" si="1"/>
        <v>16.76333333333333</v>
      </c>
      <c r="BP23" s="5"/>
    </row>
    <row r="24" spans="1:68" ht="15.75" customHeight="1">
      <c r="A24" s="16">
        <v>12</v>
      </c>
      <c r="B24" s="17" t="s">
        <v>25</v>
      </c>
      <c r="C24" s="27">
        <f>1/1.5111</f>
        <v>0.661769571835087</v>
      </c>
      <c r="D24" s="19">
        <v>146.87</v>
      </c>
      <c r="E24" s="5"/>
      <c r="F24" s="27">
        <f>1/1.51038</f>
        <v>0.6620850382023067</v>
      </c>
      <c r="G24" s="19">
        <v>146.81</v>
      </c>
      <c r="H24" s="5"/>
      <c r="I24" s="27">
        <f>1/1.51725</f>
        <v>0.6590871642774757</v>
      </c>
      <c r="J24" s="19">
        <v>146.93</v>
      </c>
      <c r="K24" s="5"/>
      <c r="L24" s="27">
        <f>1/1.5176</f>
        <v>0.6589351607801792</v>
      </c>
      <c r="M24" s="19">
        <v>146.68</v>
      </c>
      <c r="N24" s="5"/>
      <c r="O24" s="27">
        <f>1/1.51639</f>
        <v>0.6594609566140637</v>
      </c>
      <c r="P24" s="19">
        <v>147.73</v>
      </c>
      <c r="Q24" s="5"/>
      <c r="R24" s="27">
        <f>1/1.50796</f>
        <v>0.6631475635958514</v>
      </c>
      <c r="S24" s="19">
        <v>146.92</v>
      </c>
      <c r="T24" s="5"/>
      <c r="U24" s="27">
        <f>1/1.50861</f>
        <v>0.66286183970675</v>
      </c>
      <c r="V24" s="19">
        <v>146.5</v>
      </c>
      <c r="W24" s="5"/>
      <c r="X24" s="27">
        <f>1/1.51058</f>
        <v>0.6619973784903812</v>
      </c>
      <c r="Y24" s="19">
        <v>147.56</v>
      </c>
      <c r="Z24" s="5"/>
      <c r="AA24" s="27">
        <f>1/1.50274</f>
        <v>0.6654511093069992</v>
      </c>
      <c r="AB24" s="19">
        <v>147.66</v>
      </c>
      <c r="AC24" s="5"/>
      <c r="AD24" s="27">
        <f>1/1.49342</f>
        <v>0.6696039961966493</v>
      </c>
      <c r="AE24" s="19">
        <v>147.54</v>
      </c>
      <c r="AF24" s="5"/>
      <c r="AG24" s="27">
        <f>1/1.48952</f>
        <v>0.6713572157473549</v>
      </c>
      <c r="AH24" s="19">
        <v>146.93</v>
      </c>
      <c r="AI24" s="5"/>
      <c r="AJ24" s="27">
        <f>1/1.49193</f>
        <v>0.6702727339754546</v>
      </c>
      <c r="AK24" s="19">
        <v>147.32</v>
      </c>
      <c r="AL24" s="5"/>
      <c r="AM24" s="27">
        <f>1/1.49015</f>
        <v>0.6710733818743079</v>
      </c>
      <c r="AN24" s="19">
        <v>146.89</v>
      </c>
      <c r="AO24" s="5"/>
      <c r="AP24" s="27">
        <f>1/1.49263</f>
        <v>0.6699583955836343</v>
      </c>
      <c r="AQ24" s="19">
        <v>147.19</v>
      </c>
      <c r="AR24" s="5"/>
      <c r="AS24" s="27">
        <f>1/1.49089</f>
        <v>0.6707402960647667</v>
      </c>
      <c r="AT24" s="19">
        <v>147.77</v>
      </c>
      <c r="AU24" s="5"/>
      <c r="AV24" s="27">
        <f>1/1.48614</f>
        <v>0.6728841158975601</v>
      </c>
      <c r="AW24" s="19">
        <v>147.17</v>
      </c>
      <c r="AX24" s="5"/>
      <c r="AY24" s="27">
        <f>1/1.48999</f>
        <v>0.6711454439291539</v>
      </c>
      <c r="AZ24" s="19">
        <v>147.58</v>
      </c>
      <c r="BA24" s="5"/>
      <c r="BB24" s="27">
        <f>1/1.48659</f>
        <v>0.6726804297082585</v>
      </c>
      <c r="BC24" s="19">
        <v>147.46</v>
      </c>
      <c r="BD24" s="5"/>
      <c r="BE24" s="27">
        <f>1/1.48547</f>
        <v>0.6731876106552135</v>
      </c>
      <c r="BF24" s="19">
        <v>147.5</v>
      </c>
      <c r="BG24" s="5"/>
      <c r="BH24" s="27">
        <f>1/1.48516</f>
        <v>0.6733281262624902</v>
      </c>
      <c r="BI24" s="19">
        <v>147.53</v>
      </c>
      <c r="BJ24" s="5"/>
      <c r="BK24" s="27">
        <f>1/1.48516</f>
        <v>0.6733281262624902</v>
      </c>
      <c r="BL24" s="19">
        <v>148.63</v>
      </c>
      <c r="BM24" s="5"/>
      <c r="BN24" s="27">
        <f t="shared" si="0"/>
        <v>0.6673502692841156</v>
      </c>
      <c r="BO24" s="19">
        <f t="shared" si="1"/>
        <v>147.29380952380956</v>
      </c>
      <c r="BP24" s="5"/>
    </row>
    <row r="25" spans="1:68" ht="15.75" customHeight="1" thickBot="1">
      <c r="A25" s="35">
        <v>13</v>
      </c>
      <c r="B25" s="36" t="s">
        <v>26</v>
      </c>
      <c r="C25" s="28">
        <v>1</v>
      </c>
      <c r="D25" s="22">
        <v>97.19</v>
      </c>
      <c r="E25" s="21"/>
      <c r="F25" s="28">
        <v>1</v>
      </c>
      <c r="G25" s="22">
        <v>97.2</v>
      </c>
      <c r="H25" s="21"/>
      <c r="I25" s="28">
        <v>1</v>
      </c>
      <c r="J25" s="22">
        <v>96.84</v>
      </c>
      <c r="K25" s="21"/>
      <c r="L25" s="28">
        <v>1</v>
      </c>
      <c r="M25" s="22">
        <v>96.65</v>
      </c>
      <c r="N25" s="21"/>
      <c r="O25" s="28">
        <v>1</v>
      </c>
      <c r="P25" s="22">
        <v>97.42</v>
      </c>
      <c r="Q25" s="21"/>
      <c r="R25" s="28">
        <v>1</v>
      </c>
      <c r="S25" s="22">
        <v>97.43</v>
      </c>
      <c r="T25" s="21"/>
      <c r="U25" s="28">
        <v>1</v>
      </c>
      <c r="V25" s="22">
        <v>97.11</v>
      </c>
      <c r="W25" s="21"/>
      <c r="X25" s="28">
        <v>1</v>
      </c>
      <c r="Y25" s="22">
        <v>97.69</v>
      </c>
      <c r="Z25" s="21"/>
      <c r="AA25" s="28">
        <v>1</v>
      </c>
      <c r="AB25" s="22">
        <v>98.26</v>
      </c>
      <c r="AC25" s="21"/>
      <c r="AD25" s="28">
        <v>1</v>
      </c>
      <c r="AE25" s="22">
        <v>98.79</v>
      </c>
      <c r="AF25" s="21"/>
      <c r="AG25" s="28">
        <v>1</v>
      </c>
      <c r="AH25" s="22">
        <v>98.64</v>
      </c>
      <c r="AI25" s="21"/>
      <c r="AJ25" s="28">
        <v>1</v>
      </c>
      <c r="AK25" s="22">
        <v>98.74</v>
      </c>
      <c r="AL25" s="21"/>
      <c r="AM25" s="28">
        <v>1</v>
      </c>
      <c r="AN25" s="22">
        <v>98.57</v>
      </c>
      <c r="AO25" s="21"/>
      <c r="AP25" s="28">
        <v>1</v>
      </c>
      <c r="AQ25" s="22">
        <v>98.61</v>
      </c>
      <c r="AR25" s="21"/>
      <c r="AS25" s="28">
        <v>1</v>
      </c>
      <c r="AT25" s="22">
        <v>99.12</v>
      </c>
      <c r="AU25" s="21"/>
      <c r="AV25" s="28">
        <v>1</v>
      </c>
      <c r="AW25" s="22">
        <v>99.03</v>
      </c>
      <c r="AX25" s="21"/>
      <c r="AY25" s="28">
        <v>1</v>
      </c>
      <c r="AZ25" s="22">
        <v>99.05</v>
      </c>
      <c r="BA25" s="21"/>
      <c r="BB25" s="28">
        <v>1</v>
      </c>
      <c r="BC25" s="22">
        <v>99.19</v>
      </c>
      <c r="BD25" s="21"/>
      <c r="BE25" s="28">
        <v>1</v>
      </c>
      <c r="BF25" s="22">
        <v>99.29</v>
      </c>
      <c r="BG25" s="21"/>
      <c r="BH25" s="28">
        <v>1</v>
      </c>
      <c r="BI25" s="22">
        <v>99.34</v>
      </c>
      <c r="BJ25" s="21"/>
      <c r="BK25" s="28">
        <v>1</v>
      </c>
      <c r="BL25" s="22">
        <v>100.08</v>
      </c>
      <c r="BM25" s="21"/>
      <c r="BN25" s="28">
        <f t="shared" si="0"/>
        <v>1</v>
      </c>
      <c r="BO25" s="22">
        <f t="shared" si="1"/>
        <v>98.29714285714284</v>
      </c>
      <c r="BP25" s="21"/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17" r:id="rId1"/>
  <headerFooter alignWithMargins="0">
    <oddHeader>&amp;LBanka e Shqiperise
Sektori i Informacionit
Kurset mujore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9" ht="15.75" customHeight="1">
      <c r="A4" s="6" t="s">
        <v>2</v>
      </c>
      <c r="B4" s="5"/>
      <c r="C4" s="4" t="s">
        <v>133</v>
      </c>
      <c r="D4" s="4"/>
      <c r="E4" s="10"/>
      <c r="F4" s="4" t="s">
        <v>134</v>
      </c>
      <c r="G4" s="4"/>
      <c r="H4" s="10"/>
      <c r="I4" s="4" t="s">
        <v>135</v>
      </c>
      <c r="J4" s="4"/>
      <c r="K4" s="10"/>
      <c r="L4" s="4" t="s">
        <v>136</v>
      </c>
      <c r="M4" s="4"/>
      <c r="N4" s="10"/>
      <c r="O4" s="4" t="s">
        <v>137</v>
      </c>
      <c r="P4" s="4"/>
      <c r="Q4" s="10"/>
      <c r="R4" s="4" t="s">
        <v>138</v>
      </c>
      <c r="S4" s="4"/>
      <c r="T4" s="10"/>
      <c r="U4" s="4" t="s">
        <v>139</v>
      </c>
      <c r="V4" s="4"/>
      <c r="W4" s="10"/>
      <c r="X4" s="4" t="s">
        <v>140</v>
      </c>
      <c r="Y4" s="4"/>
      <c r="Z4" s="10"/>
      <c r="AA4" s="4" t="s">
        <v>141</v>
      </c>
      <c r="AB4" s="4"/>
      <c r="AC4" s="10"/>
      <c r="AD4" s="4" t="s">
        <v>142</v>
      </c>
      <c r="AE4" s="4"/>
      <c r="AF4" s="10"/>
      <c r="AG4" s="4" t="s">
        <v>143</v>
      </c>
      <c r="AH4" s="4"/>
      <c r="AI4" s="10"/>
      <c r="AJ4" s="4" t="s">
        <v>144</v>
      </c>
      <c r="AK4" s="4"/>
      <c r="AL4" s="10"/>
      <c r="AM4" s="4" t="s">
        <v>145</v>
      </c>
      <c r="AN4" s="4"/>
      <c r="AO4" s="10"/>
      <c r="AP4" s="4" t="s">
        <v>146</v>
      </c>
      <c r="AQ4" s="4"/>
      <c r="AR4" s="10"/>
      <c r="AS4" s="4" t="s">
        <v>147</v>
      </c>
      <c r="AT4" s="4"/>
      <c r="AU4" s="10"/>
      <c r="AV4" s="4" t="s">
        <v>148</v>
      </c>
      <c r="AW4" s="4"/>
      <c r="AX4" s="10"/>
      <c r="AY4" s="4" t="s">
        <v>149</v>
      </c>
      <c r="AZ4" s="4"/>
      <c r="BA4" s="10"/>
      <c r="BB4" s="4" t="s">
        <v>150</v>
      </c>
      <c r="BC4" s="4"/>
      <c r="BD4" s="10"/>
      <c r="BE4" s="4" t="s">
        <v>151</v>
      </c>
      <c r="BF4" s="4"/>
      <c r="BG4" s="10"/>
      <c r="BH4" s="4" t="s">
        <v>152</v>
      </c>
      <c r="BI4" s="4"/>
      <c r="BJ4" s="26"/>
      <c r="BK4" s="4" t="s">
        <v>153</v>
      </c>
      <c r="BL4" s="4"/>
      <c r="BM4" s="26"/>
      <c r="BN4" s="4" t="s">
        <v>154</v>
      </c>
      <c r="BO4" s="4"/>
      <c r="BP4" s="4" t="s">
        <v>3</v>
      </c>
      <c r="BQ4" s="4"/>
    </row>
    <row r="5" spans="1:69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  <c r="BQ5" s="26"/>
    </row>
    <row r="6" spans="1:69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 t="s">
        <v>5</v>
      </c>
      <c r="BQ7" s="12" t="s">
        <v>5</v>
      </c>
    </row>
    <row r="8" spans="1:69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 t="s">
        <v>8</v>
      </c>
      <c r="BQ8" s="12" t="s">
        <v>9</v>
      </c>
    </row>
    <row r="9" spans="1:69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 t="s">
        <v>7</v>
      </c>
      <c r="BQ9" s="12" t="s">
        <v>11</v>
      </c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 t="s">
        <v>10</v>
      </c>
      <c r="BQ10" s="12" t="s">
        <v>12</v>
      </c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9" ht="15.75" customHeight="1">
      <c r="A13" s="16">
        <v>1</v>
      </c>
      <c r="B13" s="17" t="s">
        <v>14</v>
      </c>
      <c r="C13" s="27">
        <v>108.65</v>
      </c>
      <c r="D13" s="19">
        <v>92.63</v>
      </c>
      <c r="E13" s="5"/>
      <c r="F13" s="27">
        <v>108.28</v>
      </c>
      <c r="G13" s="19">
        <v>93.02</v>
      </c>
      <c r="H13" s="5"/>
      <c r="I13" s="27">
        <v>107.96</v>
      </c>
      <c r="J13" s="19">
        <v>93.28</v>
      </c>
      <c r="K13" s="5"/>
      <c r="L13" s="27">
        <v>107.07</v>
      </c>
      <c r="M13" s="19">
        <v>94.11</v>
      </c>
      <c r="N13" s="5"/>
      <c r="O13" s="27">
        <v>106.57</v>
      </c>
      <c r="P13" s="19">
        <v>94.39</v>
      </c>
      <c r="Q13" s="5"/>
      <c r="R13" s="27">
        <v>106.9</v>
      </c>
      <c r="S13" s="19">
        <v>94.07</v>
      </c>
      <c r="T13" s="5"/>
      <c r="U13" s="27">
        <v>107.33</v>
      </c>
      <c r="V13" s="19">
        <v>94.12</v>
      </c>
      <c r="W13" s="5"/>
      <c r="X13" s="27">
        <v>107.4</v>
      </c>
      <c r="Y13" s="19">
        <v>94.18</v>
      </c>
      <c r="Z13" s="5"/>
      <c r="AA13" s="27">
        <v>109.22</v>
      </c>
      <c r="AB13" s="19">
        <v>93.73</v>
      </c>
      <c r="AC13" s="5"/>
      <c r="AD13" s="27">
        <v>109.22</v>
      </c>
      <c r="AE13" s="19">
        <v>93.42</v>
      </c>
      <c r="AF13" s="5"/>
      <c r="AG13" s="27">
        <v>109.46</v>
      </c>
      <c r="AH13" s="19">
        <v>93.65</v>
      </c>
      <c r="AI13" s="5"/>
      <c r="AJ13" s="27">
        <v>109.24</v>
      </c>
      <c r="AK13" s="19">
        <v>93.7</v>
      </c>
      <c r="AL13" s="5"/>
      <c r="AM13" s="27">
        <v>108.92</v>
      </c>
      <c r="AN13" s="19">
        <v>93.74</v>
      </c>
      <c r="AO13" s="5"/>
      <c r="AP13" s="27">
        <v>108.78</v>
      </c>
      <c r="AQ13" s="19">
        <v>93.14</v>
      </c>
      <c r="AR13" s="5"/>
      <c r="AS13" s="27">
        <v>109.33</v>
      </c>
      <c r="AT13" s="19">
        <v>93.13</v>
      </c>
      <c r="AU13" s="5"/>
      <c r="AV13" s="27">
        <v>108.81</v>
      </c>
      <c r="AW13" s="19">
        <v>93.32</v>
      </c>
      <c r="AX13" s="5"/>
      <c r="AY13" s="27">
        <v>108.63</v>
      </c>
      <c r="AZ13" s="19">
        <v>93.79</v>
      </c>
      <c r="BA13" s="5"/>
      <c r="BB13" s="27">
        <v>109.21</v>
      </c>
      <c r="BC13" s="19">
        <v>93.83</v>
      </c>
      <c r="BD13" s="5"/>
      <c r="BE13" s="27">
        <v>109.3</v>
      </c>
      <c r="BF13" s="19">
        <v>93.13</v>
      </c>
      <c r="BG13" s="5"/>
      <c r="BH13" s="27">
        <v>109.77</v>
      </c>
      <c r="BI13" s="19">
        <v>93.25</v>
      </c>
      <c r="BJ13" s="5"/>
      <c r="BK13" s="27">
        <v>110.33</v>
      </c>
      <c r="BL13" s="19">
        <v>93.19</v>
      </c>
      <c r="BM13" s="5"/>
      <c r="BN13" s="27">
        <v>110.56</v>
      </c>
      <c r="BO13" s="19">
        <v>92.94</v>
      </c>
      <c r="BP13" s="27">
        <f>(+C13+F13+I13+L13+O13+R13+U13+X13+AA13+AD13+AG13+AJ13+AM13+AP13+AS13+AV13+AY13+BB13+BE13+BH13+BK13+BN13)/22</f>
        <v>108.67909090909092</v>
      </c>
      <c r="BQ13" s="19">
        <f>(+D13+G13+J13+M13+P13+S13+V13+Y13+AB13+AE13+AH13+AK13+AN13+AQ13+AT13+AW13+AZ13+BC13+BF13+BI13+BL13+BO13)/22</f>
        <v>93.53454545454544</v>
      </c>
    </row>
    <row r="14" spans="1:69" ht="15.75" customHeight="1">
      <c r="A14" s="16">
        <v>2</v>
      </c>
      <c r="B14" s="17" t="s">
        <v>15</v>
      </c>
      <c r="C14" s="27">
        <f>1/1.8137</f>
        <v>0.5513591001819484</v>
      </c>
      <c r="D14" s="19">
        <v>182.53</v>
      </c>
      <c r="E14" s="5"/>
      <c r="F14" s="27">
        <f>1/1.8165</f>
        <v>0.5505092210294522</v>
      </c>
      <c r="G14" s="19">
        <v>182.97</v>
      </c>
      <c r="H14" s="5"/>
      <c r="I14" s="27">
        <f>1/1.8176</f>
        <v>0.5501760563380281</v>
      </c>
      <c r="J14" s="19">
        <v>183.03</v>
      </c>
      <c r="K14" s="5"/>
      <c r="L14" s="27">
        <f>1/1.8201</f>
        <v>0.5494203615185979</v>
      </c>
      <c r="M14" s="19">
        <v>183.39</v>
      </c>
      <c r="N14" s="5"/>
      <c r="O14" s="27">
        <f>1/1.8315</f>
        <v>0.546000546000546</v>
      </c>
      <c r="P14" s="19">
        <v>184.24</v>
      </c>
      <c r="Q14" s="5"/>
      <c r="R14" s="27">
        <f>1/1.8358</f>
        <v>0.5447216472382612</v>
      </c>
      <c r="S14" s="19">
        <v>184.61</v>
      </c>
      <c r="T14" s="5"/>
      <c r="U14" s="27">
        <f>1/1.8246</f>
        <v>0.5480653293872629</v>
      </c>
      <c r="V14" s="19">
        <v>184.32</v>
      </c>
      <c r="W14" s="5"/>
      <c r="X14" s="27">
        <f>1/1.8237</f>
        <v>0.5483358008444371</v>
      </c>
      <c r="Y14" s="19">
        <v>184.46</v>
      </c>
      <c r="Z14" s="5"/>
      <c r="AA14" s="27">
        <f>1/1.8031</f>
        <v>0.5546004104043037</v>
      </c>
      <c r="AB14" s="19">
        <v>184.59</v>
      </c>
      <c r="AC14" s="5"/>
      <c r="AD14" s="27">
        <f>1/1.8105</f>
        <v>0.5523336095001381</v>
      </c>
      <c r="AE14" s="19">
        <v>184.73</v>
      </c>
      <c r="AF14" s="5"/>
      <c r="AG14" s="27">
        <f>1/1.8071</f>
        <v>0.5533728072602513</v>
      </c>
      <c r="AH14" s="19">
        <v>185.25</v>
      </c>
      <c r="AI14" s="5"/>
      <c r="AJ14" s="27">
        <f>1/1.8199</f>
        <v>0.5494807407000385</v>
      </c>
      <c r="AK14" s="19">
        <v>186.27</v>
      </c>
      <c r="AL14" s="5"/>
      <c r="AM14" s="27">
        <f>1/1.8244</f>
        <v>0.5481254110940583</v>
      </c>
      <c r="AN14" s="19">
        <v>186.28</v>
      </c>
      <c r="AO14" s="5"/>
      <c r="AP14" s="27">
        <f>1/1.8273</f>
        <v>0.5472555135992996</v>
      </c>
      <c r="AQ14" s="19">
        <v>185.13</v>
      </c>
      <c r="AR14" s="5"/>
      <c r="AS14" s="27">
        <f>1/1.818</f>
        <v>0.5500550055005501</v>
      </c>
      <c r="AT14" s="19">
        <v>185.1</v>
      </c>
      <c r="AU14" s="5"/>
      <c r="AV14" s="27">
        <f>1/1.8192</f>
        <v>0.5496921723834652</v>
      </c>
      <c r="AW14" s="19">
        <v>184.73</v>
      </c>
      <c r="AX14" s="5"/>
      <c r="AY14" s="27">
        <f>1/1.821</f>
        <v>0.5491488193300385</v>
      </c>
      <c r="AZ14" s="19">
        <v>185.53</v>
      </c>
      <c r="BA14" s="5"/>
      <c r="BB14" s="27">
        <f>1/1.8207</f>
        <v>0.5492393035645631</v>
      </c>
      <c r="BC14" s="19">
        <v>186.56</v>
      </c>
      <c r="BD14" s="5"/>
      <c r="BE14" s="27">
        <f>1/1.829</f>
        <v>0.5467468562055768</v>
      </c>
      <c r="BF14" s="19">
        <v>186.17</v>
      </c>
      <c r="BG14" s="5"/>
      <c r="BH14" s="27">
        <f>1/1.8204</f>
        <v>0.5493298176225005</v>
      </c>
      <c r="BI14" s="19">
        <v>186.33</v>
      </c>
      <c r="BJ14" s="5"/>
      <c r="BK14" s="27">
        <f>1/1.8151</f>
        <v>0.5509338328466752</v>
      </c>
      <c r="BL14" s="19">
        <v>186.62</v>
      </c>
      <c r="BM14" s="5"/>
      <c r="BN14" s="27">
        <f>1/1.7954</f>
        <v>0.5569789461958338</v>
      </c>
      <c r="BO14" s="19">
        <v>184.49</v>
      </c>
      <c r="BP14" s="27">
        <f aca="true" t="shared" si="0" ref="BP14:BP25">(+C14+F14+I14+L14+O14+R14+U14+X14+AA14+AD14+AG14+AJ14+AM14+AP14+AS14+AV14+AY14+BB14+BE14+BH14+BK14+BN14)/22</f>
        <v>0.5498127867611741</v>
      </c>
      <c r="BQ14" s="19">
        <f aca="true" t="shared" si="1" ref="BQ14:BQ25">(+D14+G14+J14+M14+P14+S14+V14+Y14+AB14+AE14+AH14+AK14+AN14+AQ14+AT14+AW14+AZ14+BC14+BF14+BI14+BL14+BO14)/22</f>
        <v>184.87863636363636</v>
      </c>
    </row>
    <row r="15" spans="1:69" ht="15.75" customHeight="1">
      <c r="A15" s="16">
        <v>3</v>
      </c>
      <c r="B15" s="17" t="s">
        <v>16</v>
      </c>
      <c r="C15" s="27">
        <v>1.2492</v>
      </c>
      <c r="D15" s="19">
        <v>80.56</v>
      </c>
      <c r="E15" s="5"/>
      <c r="F15" s="27">
        <v>1.2499</v>
      </c>
      <c r="G15" s="19">
        <v>80.59</v>
      </c>
      <c r="H15" s="5"/>
      <c r="I15" s="27">
        <v>1.2497</v>
      </c>
      <c r="J15" s="19">
        <v>80.58</v>
      </c>
      <c r="K15" s="5"/>
      <c r="L15" s="27">
        <v>1.2482</v>
      </c>
      <c r="M15" s="19">
        <v>80.72</v>
      </c>
      <c r="N15" s="5"/>
      <c r="O15" s="27">
        <v>1.2432</v>
      </c>
      <c r="P15" s="19">
        <v>80.92</v>
      </c>
      <c r="Q15" s="5"/>
      <c r="R15" s="27">
        <v>1.245</v>
      </c>
      <c r="S15" s="19">
        <v>80.77</v>
      </c>
      <c r="T15" s="5"/>
      <c r="U15" s="27">
        <v>1.2537</v>
      </c>
      <c r="V15" s="19">
        <v>80.58</v>
      </c>
      <c r="W15" s="5"/>
      <c r="X15" s="27">
        <v>1.254</v>
      </c>
      <c r="Y15" s="19">
        <v>80.66</v>
      </c>
      <c r="Z15" s="5"/>
      <c r="AA15" s="27">
        <v>1.2767</v>
      </c>
      <c r="AB15" s="19">
        <v>80.19</v>
      </c>
      <c r="AC15" s="5"/>
      <c r="AD15" s="27">
        <v>1.2688</v>
      </c>
      <c r="AE15" s="19">
        <v>80.42</v>
      </c>
      <c r="AF15" s="5"/>
      <c r="AG15" s="27">
        <v>1.2774</v>
      </c>
      <c r="AH15" s="19">
        <v>80.25</v>
      </c>
      <c r="AI15" s="5"/>
      <c r="AJ15" s="27">
        <v>1.2709</v>
      </c>
      <c r="AK15" s="19">
        <v>80.54</v>
      </c>
      <c r="AL15" s="5"/>
      <c r="AM15" s="27">
        <v>1.2696</v>
      </c>
      <c r="AN15" s="19">
        <v>80.42</v>
      </c>
      <c r="AO15" s="5"/>
      <c r="AP15" s="27">
        <v>1.2633</v>
      </c>
      <c r="AQ15" s="19">
        <v>80.2</v>
      </c>
      <c r="AR15" s="5"/>
      <c r="AS15" s="27">
        <v>1.2765</v>
      </c>
      <c r="AT15" s="19">
        <v>79.76</v>
      </c>
      <c r="AU15" s="5"/>
      <c r="AV15" s="27">
        <v>1.2682</v>
      </c>
      <c r="AW15" s="19">
        <v>80.07</v>
      </c>
      <c r="AX15" s="5"/>
      <c r="AY15" s="27">
        <v>1.2736</v>
      </c>
      <c r="AZ15" s="19">
        <v>80</v>
      </c>
      <c r="BA15" s="5"/>
      <c r="BB15" s="27">
        <v>1.2757</v>
      </c>
      <c r="BC15" s="19">
        <v>80.32</v>
      </c>
      <c r="BD15" s="5"/>
      <c r="BE15" s="27">
        <v>1.2684</v>
      </c>
      <c r="BF15" s="19">
        <v>80.25</v>
      </c>
      <c r="BG15" s="5"/>
      <c r="BH15" s="27">
        <v>1.2759</v>
      </c>
      <c r="BI15" s="19">
        <v>80.22</v>
      </c>
      <c r="BJ15" s="5"/>
      <c r="BK15" s="27">
        <v>1.2821</v>
      </c>
      <c r="BL15" s="19">
        <v>80.19</v>
      </c>
      <c r="BM15" s="5"/>
      <c r="BN15" s="27">
        <v>1.2845</v>
      </c>
      <c r="BO15" s="19">
        <v>80</v>
      </c>
      <c r="BP15" s="27">
        <f t="shared" si="0"/>
        <v>1.26475</v>
      </c>
      <c r="BQ15" s="19">
        <f t="shared" si="1"/>
        <v>80.3731818181818</v>
      </c>
    </row>
    <row r="16" spans="1:69" ht="15.75" customHeight="1">
      <c r="A16" s="16">
        <v>4</v>
      </c>
      <c r="B16" s="17" t="s">
        <v>17</v>
      </c>
      <c r="C16" s="27">
        <f>1/1.2258</f>
        <v>0.8157937673356176</v>
      </c>
      <c r="D16" s="19">
        <v>123.37</v>
      </c>
      <c r="E16" s="5"/>
      <c r="F16" s="27">
        <f>1/1.2279</f>
        <v>0.8143985666585227</v>
      </c>
      <c r="G16" s="19">
        <v>123.68</v>
      </c>
      <c r="H16" s="5"/>
      <c r="I16" s="27">
        <f>1/1.2274</f>
        <v>0.814730324262669</v>
      </c>
      <c r="J16" s="19">
        <v>123.6</v>
      </c>
      <c r="K16" s="5"/>
      <c r="L16" s="27">
        <f>1/1.2268</f>
        <v>0.8151287903488752</v>
      </c>
      <c r="M16" s="19">
        <v>123.61</v>
      </c>
      <c r="N16" s="5"/>
      <c r="O16" s="27">
        <f>1/1.2308</f>
        <v>0.8124796880077999</v>
      </c>
      <c r="P16" s="19">
        <v>123.81</v>
      </c>
      <c r="Q16" s="5"/>
      <c r="R16" s="27">
        <f>1/1.2314</f>
        <v>0.8120838070488874</v>
      </c>
      <c r="S16" s="19">
        <v>123.83</v>
      </c>
      <c r="T16" s="5"/>
      <c r="U16" s="27">
        <f>1/1.2231</f>
        <v>0.817594636579184</v>
      </c>
      <c r="V16" s="19">
        <v>123.56</v>
      </c>
      <c r="W16" s="5"/>
      <c r="X16" s="27">
        <f>1/1.222</f>
        <v>0.8183306055646481</v>
      </c>
      <c r="Y16" s="19">
        <v>123.6</v>
      </c>
      <c r="Z16" s="5"/>
      <c r="AA16" s="27">
        <f>1/1.2042</f>
        <v>0.8304268393954493</v>
      </c>
      <c r="AB16" s="19">
        <v>123.28</v>
      </c>
      <c r="AC16" s="5"/>
      <c r="AD16" s="27">
        <f>1/1.2133</f>
        <v>0.8241984669908514</v>
      </c>
      <c r="AE16" s="19">
        <v>123.79</v>
      </c>
      <c r="AF16" s="5"/>
      <c r="AG16" s="27">
        <f>1/1.2039</f>
        <v>0.8306337735692333</v>
      </c>
      <c r="AH16" s="19">
        <v>123.41</v>
      </c>
      <c r="AI16" s="5"/>
      <c r="AJ16" s="27">
        <f>1/1.2102</f>
        <v>0.8263097008758883</v>
      </c>
      <c r="AK16" s="19">
        <v>123.87</v>
      </c>
      <c r="AL16" s="5"/>
      <c r="AM16" s="27">
        <f>1/1.2153</f>
        <v>0.8228420966016621</v>
      </c>
      <c r="AN16" s="19">
        <v>124.09</v>
      </c>
      <c r="AO16" s="5"/>
      <c r="AP16" s="27">
        <f>1/1.2224</f>
        <v>0.8180628272251309</v>
      </c>
      <c r="AQ16" s="19">
        <v>123.85</v>
      </c>
      <c r="AR16" s="5"/>
      <c r="AS16" s="27">
        <f>1/1.2083</f>
        <v>0.8276090374906895</v>
      </c>
      <c r="AT16" s="19">
        <v>123.03</v>
      </c>
      <c r="AU16" s="5"/>
      <c r="AV16" s="27">
        <f>1/1.2144</f>
        <v>0.8234519104084322</v>
      </c>
      <c r="AW16" s="19">
        <v>123.32</v>
      </c>
      <c r="AX16" s="5"/>
      <c r="AY16" s="27">
        <f>1/1.2092</f>
        <v>0.8269930532583526</v>
      </c>
      <c r="AZ16" s="19">
        <v>123.2</v>
      </c>
      <c r="BA16" s="5"/>
      <c r="BB16" s="27">
        <f>1/1.2067</f>
        <v>0.8287063893262616</v>
      </c>
      <c r="BC16" s="19">
        <v>123.65</v>
      </c>
      <c r="BD16" s="5"/>
      <c r="BE16" s="27">
        <f>1/1.2159</f>
        <v>0.8224360555966773</v>
      </c>
      <c r="BF16" s="19">
        <v>123.76</v>
      </c>
      <c r="BG16" s="5"/>
      <c r="BH16" s="27">
        <f>1/1.2101</f>
        <v>0.8263779852904719</v>
      </c>
      <c r="BI16" s="19">
        <v>123.86</v>
      </c>
      <c r="BJ16" s="5"/>
      <c r="BK16" s="27">
        <f>1/1.2055</f>
        <v>0.8295313148071339</v>
      </c>
      <c r="BL16" s="19">
        <v>123.95</v>
      </c>
      <c r="BM16" s="5"/>
      <c r="BN16" s="27">
        <f>1/1.2059</f>
        <v>0.8292561572269674</v>
      </c>
      <c r="BO16" s="19">
        <v>123.92</v>
      </c>
      <c r="BP16" s="27">
        <f t="shared" si="0"/>
        <v>0.8221534451758821</v>
      </c>
      <c r="BQ16" s="19">
        <f t="shared" si="1"/>
        <v>123.63818181818183</v>
      </c>
    </row>
    <row r="17" spans="1:69" ht="15.75" customHeight="1">
      <c r="A17" s="16">
        <v>5</v>
      </c>
      <c r="B17" s="17" t="s">
        <v>18</v>
      </c>
      <c r="C17" s="27">
        <v>415.75</v>
      </c>
      <c r="D17" s="19">
        <v>41841.77</v>
      </c>
      <c r="E17" s="5"/>
      <c r="F17" s="27">
        <v>417</v>
      </c>
      <c r="G17" s="19">
        <v>42002.33</v>
      </c>
      <c r="H17" s="5"/>
      <c r="I17" s="27">
        <v>423</v>
      </c>
      <c r="J17" s="19">
        <v>42596.1</v>
      </c>
      <c r="K17" s="5"/>
      <c r="L17" s="27">
        <v>424.6</v>
      </c>
      <c r="M17" s="19">
        <v>42781.99</v>
      </c>
      <c r="N17" s="5"/>
      <c r="O17" s="27">
        <v>426.85</v>
      </c>
      <c r="P17" s="19">
        <v>42939.33</v>
      </c>
      <c r="Q17" s="5"/>
      <c r="R17" s="27">
        <v>424.8</v>
      </c>
      <c r="S17" s="19">
        <v>42718.95</v>
      </c>
      <c r="T17" s="5"/>
      <c r="U17" s="27">
        <v>423.5</v>
      </c>
      <c r="V17" s="19">
        <v>42782.32</v>
      </c>
      <c r="W17" s="5"/>
      <c r="X17" s="27">
        <v>422.7</v>
      </c>
      <c r="Y17" s="19">
        <v>42754.34</v>
      </c>
      <c r="Z17" s="5"/>
      <c r="AA17" s="27">
        <v>425.6</v>
      </c>
      <c r="AB17" s="19">
        <v>43570.8</v>
      </c>
      <c r="AC17" s="5"/>
      <c r="AD17" s="27">
        <v>426.8</v>
      </c>
      <c r="AE17" s="19">
        <v>43546.76</v>
      </c>
      <c r="AF17" s="5"/>
      <c r="AG17" s="27">
        <v>426.65</v>
      </c>
      <c r="AH17" s="19">
        <v>43736.96</v>
      </c>
      <c r="AI17" s="5"/>
      <c r="AJ17" s="27">
        <v>431</v>
      </c>
      <c r="AK17" s="19">
        <v>44114.65</v>
      </c>
      <c r="AL17" s="5"/>
      <c r="AM17" s="27">
        <v>436.4</v>
      </c>
      <c r="AN17" s="19">
        <v>44558.26</v>
      </c>
      <c r="AO17" s="5"/>
      <c r="AP17" s="27">
        <v>440.25</v>
      </c>
      <c r="AQ17" s="19">
        <v>44604.3</v>
      </c>
      <c r="AR17" s="5"/>
      <c r="AS17" s="27">
        <v>434</v>
      </c>
      <c r="AT17" s="19">
        <v>44188.43</v>
      </c>
      <c r="AU17" s="5"/>
      <c r="AV17" s="27">
        <v>437.1</v>
      </c>
      <c r="AW17" s="19">
        <v>44385.68</v>
      </c>
      <c r="AX17" s="5"/>
      <c r="AY17" s="27">
        <v>437</v>
      </c>
      <c r="AZ17" s="19">
        <v>44523.02</v>
      </c>
      <c r="BA17" s="5"/>
      <c r="BB17" s="27">
        <v>443.25</v>
      </c>
      <c r="BC17" s="19">
        <v>45418.35</v>
      </c>
      <c r="BD17" s="5"/>
      <c r="BE17" s="27">
        <v>439.3</v>
      </c>
      <c r="BF17" s="19">
        <v>44715.25</v>
      </c>
      <c r="BG17" s="5"/>
      <c r="BH17" s="27">
        <v>437.5</v>
      </c>
      <c r="BI17" s="19">
        <v>44781.77</v>
      </c>
      <c r="BJ17" s="5"/>
      <c r="BK17" s="27">
        <v>434.7</v>
      </c>
      <c r="BL17" s="19">
        <v>44694.41</v>
      </c>
      <c r="BM17" s="5"/>
      <c r="BN17" s="27">
        <v>436.5</v>
      </c>
      <c r="BO17" s="19">
        <v>44854.01</v>
      </c>
      <c r="BP17" s="27">
        <f t="shared" si="0"/>
        <v>430.1931818181818</v>
      </c>
      <c r="BQ17" s="19">
        <f t="shared" si="1"/>
        <v>43732.26272727274</v>
      </c>
    </row>
    <row r="18" spans="1:69" ht="15.75" customHeight="1">
      <c r="A18" s="16">
        <v>6</v>
      </c>
      <c r="B18" s="20" t="s">
        <v>19</v>
      </c>
      <c r="C18" s="27">
        <v>7.37</v>
      </c>
      <c r="D18" s="19">
        <v>741.73</v>
      </c>
      <c r="E18" s="5"/>
      <c r="F18" s="27">
        <v>7.48</v>
      </c>
      <c r="G18" s="19">
        <v>753.42</v>
      </c>
      <c r="H18" s="5"/>
      <c r="I18" s="27">
        <v>7.56</v>
      </c>
      <c r="J18" s="19">
        <v>761.29</v>
      </c>
      <c r="K18" s="5"/>
      <c r="L18" s="27">
        <v>7.48</v>
      </c>
      <c r="M18" s="19">
        <v>753.67</v>
      </c>
      <c r="N18" s="5"/>
      <c r="O18" s="27">
        <v>7.52</v>
      </c>
      <c r="P18" s="19">
        <v>756.48</v>
      </c>
      <c r="Q18" s="5"/>
      <c r="R18" s="27">
        <v>7.4</v>
      </c>
      <c r="S18" s="19">
        <v>744.16</v>
      </c>
      <c r="T18" s="5"/>
      <c r="U18" s="27">
        <v>7.36</v>
      </c>
      <c r="V18" s="19">
        <v>743.51</v>
      </c>
      <c r="W18" s="5"/>
      <c r="X18" s="27">
        <v>7.23</v>
      </c>
      <c r="Y18" s="19">
        <v>731.28</v>
      </c>
      <c r="Z18" s="5"/>
      <c r="AA18" s="27">
        <v>7.18</v>
      </c>
      <c r="AB18" s="19">
        <v>735.05</v>
      </c>
      <c r="AC18" s="5"/>
      <c r="AD18" s="27">
        <v>7.23</v>
      </c>
      <c r="AE18" s="19">
        <v>737.68</v>
      </c>
      <c r="AF18" s="5"/>
      <c r="AG18" s="27">
        <v>7.25</v>
      </c>
      <c r="AH18" s="19">
        <v>743.22</v>
      </c>
      <c r="AI18" s="5"/>
      <c r="AJ18" s="27">
        <v>7.35</v>
      </c>
      <c r="AK18" s="19">
        <v>752.3</v>
      </c>
      <c r="AL18" s="5"/>
      <c r="AM18" s="27">
        <v>7.36</v>
      </c>
      <c r="AN18" s="19">
        <v>751.49</v>
      </c>
      <c r="AO18" s="5"/>
      <c r="AP18" s="27">
        <v>7.37</v>
      </c>
      <c r="AQ18" s="19">
        <v>746.7</v>
      </c>
      <c r="AR18" s="5"/>
      <c r="AS18" s="27">
        <v>7.21</v>
      </c>
      <c r="AT18" s="19">
        <v>734.1</v>
      </c>
      <c r="AU18" s="5"/>
      <c r="AV18" s="27">
        <v>7.23</v>
      </c>
      <c r="AW18" s="19">
        <v>734.18</v>
      </c>
      <c r="AX18" s="5"/>
      <c r="AY18" s="27">
        <v>7.2</v>
      </c>
      <c r="AZ18" s="19">
        <v>733.56</v>
      </c>
      <c r="BA18" s="5"/>
      <c r="BB18" s="27">
        <v>7.29</v>
      </c>
      <c r="BC18" s="19">
        <v>746.98</v>
      </c>
      <c r="BD18" s="5"/>
      <c r="BE18" s="27">
        <v>7.25</v>
      </c>
      <c r="BF18" s="19">
        <v>737.96</v>
      </c>
      <c r="BG18" s="5"/>
      <c r="BH18" s="27">
        <v>7.19</v>
      </c>
      <c r="BI18" s="19">
        <v>735.96</v>
      </c>
      <c r="BJ18" s="5"/>
      <c r="BK18" s="27">
        <v>7.07</v>
      </c>
      <c r="BL18" s="19">
        <v>726.91</v>
      </c>
      <c r="BM18" s="5"/>
      <c r="BN18" s="27">
        <v>7.1</v>
      </c>
      <c r="BO18" s="19">
        <v>729.58</v>
      </c>
      <c r="BP18" s="27">
        <f t="shared" si="0"/>
        <v>7.303636363636363</v>
      </c>
      <c r="BQ18" s="19">
        <f t="shared" si="1"/>
        <v>742.3277272727272</v>
      </c>
    </row>
    <row r="19" spans="1:69" ht="15.75" customHeight="1">
      <c r="A19" s="16">
        <v>7</v>
      </c>
      <c r="B19" s="17" t="s">
        <v>20</v>
      </c>
      <c r="C19" s="27">
        <f>1/0.7497</f>
        <v>1.3338668800853675</v>
      </c>
      <c r="D19" s="19">
        <v>75.45</v>
      </c>
      <c r="E19" s="5"/>
      <c r="F19" s="27">
        <f>1/0.752</f>
        <v>1.3297872340425532</v>
      </c>
      <c r="G19" s="19">
        <v>75.75</v>
      </c>
      <c r="H19" s="5"/>
      <c r="I19" s="27">
        <f>1/0.756</f>
        <v>1.3227513227513228</v>
      </c>
      <c r="J19" s="19">
        <v>76.13</v>
      </c>
      <c r="K19" s="5"/>
      <c r="L19" s="27">
        <f>1/0.7622</f>
        <v>1.311991603253739</v>
      </c>
      <c r="M19" s="19">
        <v>76.8</v>
      </c>
      <c r="N19" s="5"/>
      <c r="O19" s="27">
        <f>1/0.7683</f>
        <v>1.3015749056358195</v>
      </c>
      <c r="P19" s="19">
        <v>77.29</v>
      </c>
      <c r="Q19" s="5"/>
      <c r="R19" s="27">
        <f>1/0.768</f>
        <v>1.3020833333333333</v>
      </c>
      <c r="S19" s="19">
        <v>77.23</v>
      </c>
      <c r="T19" s="5"/>
      <c r="U19" s="27">
        <f>1/0.767</f>
        <v>1.303780964797914</v>
      </c>
      <c r="V19" s="19">
        <v>77.48</v>
      </c>
      <c r="W19" s="5"/>
      <c r="X19" s="27">
        <f>1/0.7671</f>
        <v>1.3036110024768608</v>
      </c>
      <c r="Y19" s="19">
        <v>77.59</v>
      </c>
      <c r="Z19" s="5"/>
      <c r="AA19" s="27">
        <f>1/0.7605</f>
        <v>1.314924391847469</v>
      </c>
      <c r="AB19" s="19">
        <v>77.86</v>
      </c>
      <c r="AC19" s="5"/>
      <c r="AD19" s="27">
        <f>1/0.7661</f>
        <v>1.3053126223730585</v>
      </c>
      <c r="AE19" s="19">
        <v>78.17</v>
      </c>
      <c r="AF19" s="5"/>
      <c r="AG19" s="27">
        <f>1/0.764</f>
        <v>1.3089005235602094</v>
      </c>
      <c r="AH19" s="19">
        <v>78.32</v>
      </c>
      <c r="AI19" s="5"/>
      <c r="AJ19" s="27">
        <f>1/0.7683</f>
        <v>1.3015749056358195</v>
      </c>
      <c r="AK19" s="19">
        <v>78.64</v>
      </c>
      <c r="AL19" s="5"/>
      <c r="AM19" s="27">
        <f>1/0.7736</f>
        <v>1.2926577042399174</v>
      </c>
      <c r="AN19" s="19">
        <v>78.99</v>
      </c>
      <c r="AO19" s="5"/>
      <c r="AP19" s="27">
        <f>1/0.779</f>
        <v>1.2836970474967908</v>
      </c>
      <c r="AQ19" s="19">
        <v>78.93</v>
      </c>
      <c r="AR19" s="5"/>
      <c r="AS19" s="27">
        <f>1/0.773</f>
        <v>1.2936610608020698</v>
      </c>
      <c r="AT19" s="19">
        <v>78.7</v>
      </c>
      <c r="AU19" s="5"/>
      <c r="AV19" s="27">
        <f>1/0.7756</f>
        <v>1.289324394017535</v>
      </c>
      <c r="AW19" s="19">
        <v>78.76</v>
      </c>
      <c r="AX19" s="5"/>
      <c r="AY19" s="27">
        <f>1/0.7733</f>
        <v>1.29315918789603</v>
      </c>
      <c r="AZ19" s="19">
        <v>78.79</v>
      </c>
      <c r="BA19" s="5"/>
      <c r="BB19" s="27">
        <f>1/0.7742</f>
        <v>1.2916559028674761</v>
      </c>
      <c r="BC19" s="19">
        <v>79.33</v>
      </c>
      <c r="BD19" s="5"/>
      <c r="BE19" s="27">
        <f>1/0.7682</f>
        <v>1.3017443374121322</v>
      </c>
      <c r="BF19" s="19">
        <v>78.19</v>
      </c>
      <c r="BG19" s="5"/>
      <c r="BH19" s="27">
        <f>1/0.7681</f>
        <v>1.3019138133055592</v>
      </c>
      <c r="BI19" s="19">
        <v>78.62</v>
      </c>
      <c r="BJ19" s="18"/>
      <c r="BK19" s="27">
        <f>1/0.7624</f>
        <v>1.311647429171039</v>
      </c>
      <c r="BL19" s="19">
        <v>78.39</v>
      </c>
      <c r="BM19" s="18"/>
      <c r="BN19" s="27">
        <f>1/0.7604</f>
        <v>1.315097317201473</v>
      </c>
      <c r="BO19" s="19">
        <v>78.14</v>
      </c>
      <c r="BP19" s="27">
        <f t="shared" si="0"/>
        <v>1.3052144492819766</v>
      </c>
      <c r="BQ19" s="19">
        <f t="shared" si="1"/>
        <v>77.88863636363637</v>
      </c>
    </row>
    <row r="20" spans="1:69" ht="15.75" customHeight="1">
      <c r="A20" s="16">
        <v>8</v>
      </c>
      <c r="B20" s="17" t="s">
        <v>21</v>
      </c>
      <c r="C20" s="27">
        <v>1.2566</v>
      </c>
      <c r="D20" s="19">
        <v>80.09</v>
      </c>
      <c r="E20" s="5"/>
      <c r="F20" s="27">
        <v>1.248</v>
      </c>
      <c r="G20" s="19">
        <v>80.71</v>
      </c>
      <c r="H20" s="5"/>
      <c r="I20" s="27">
        <v>1.2471</v>
      </c>
      <c r="J20" s="19">
        <v>80.75</v>
      </c>
      <c r="K20" s="5"/>
      <c r="L20" s="27">
        <v>1.2466</v>
      </c>
      <c r="M20" s="19">
        <v>80.83</v>
      </c>
      <c r="N20" s="5"/>
      <c r="O20" s="27">
        <v>1.2436</v>
      </c>
      <c r="P20" s="19">
        <v>80.89</v>
      </c>
      <c r="Q20" s="5"/>
      <c r="R20" s="27">
        <v>1.2465</v>
      </c>
      <c r="S20" s="19">
        <v>80.68</v>
      </c>
      <c r="T20" s="5"/>
      <c r="U20" s="27">
        <v>1.2544</v>
      </c>
      <c r="V20" s="19">
        <v>80.53</v>
      </c>
      <c r="W20" s="5"/>
      <c r="X20" s="27">
        <v>1.256</v>
      </c>
      <c r="Y20" s="19">
        <v>80.53</v>
      </c>
      <c r="Z20" s="5"/>
      <c r="AA20" s="27">
        <v>1.2567</v>
      </c>
      <c r="AB20" s="19">
        <v>81.46</v>
      </c>
      <c r="AC20" s="5"/>
      <c r="AD20" s="27">
        <v>1.2548</v>
      </c>
      <c r="AE20" s="19">
        <v>81.31</v>
      </c>
      <c r="AF20" s="5"/>
      <c r="AG20" s="27">
        <v>1.2499</v>
      </c>
      <c r="AH20" s="19">
        <v>82.02</v>
      </c>
      <c r="AI20" s="5"/>
      <c r="AJ20" s="27">
        <v>1.2374</v>
      </c>
      <c r="AK20" s="19">
        <v>82.72</v>
      </c>
      <c r="AL20" s="5"/>
      <c r="AM20" s="27">
        <v>1.2371</v>
      </c>
      <c r="AN20" s="19">
        <v>82.54</v>
      </c>
      <c r="AO20" s="5"/>
      <c r="AP20" s="27">
        <v>1.2316</v>
      </c>
      <c r="AQ20" s="19">
        <v>82.26</v>
      </c>
      <c r="AR20" s="5"/>
      <c r="AS20" s="27">
        <v>1.2409</v>
      </c>
      <c r="AT20" s="19">
        <v>82.05</v>
      </c>
      <c r="AU20" s="5"/>
      <c r="AV20" s="27">
        <v>1.2345</v>
      </c>
      <c r="AW20" s="19">
        <v>82.26</v>
      </c>
      <c r="AX20" s="5"/>
      <c r="AY20" s="27">
        <v>1.2361</v>
      </c>
      <c r="AZ20" s="19">
        <v>82.42</v>
      </c>
      <c r="BA20" s="5"/>
      <c r="BB20" s="27">
        <v>1.2308</v>
      </c>
      <c r="BC20" s="19">
        <v>83.25</v>
      </c>
      <c r="BD20" s="5"/>
      <c r="BE20" s="27">
        <v>1.2358</v>
      </c>
      <c r="BF20" s="19">
        <v>82.37</v>
      </c>
      <c r="BG20" s="5"/>
      <c r="BH20" s="27">
        <v>1.2317</v>
      </c>
      <c r="BI20" s="19">
        <v>83.1</v>
      </c>
      <c r="BJ20" s="5"/>
      <c r="BK20" s="27">
        <v>1.233</v>
      </c>
      <c r="BL20" s="19">
        <v>83.39</v>
      </c>
      <c r="BM20" s="5"/>
      <c r="BN20" s="27">
        <v>1.2318</v>
      </c>
      <c r="BO20" s="19">
        <v>83.42</v>
      </c>
      <c r="BP20" s="27">
        <f t="shared" si="0"/>
        <v>1.242768181818182</v>
      </c>
      <c r="BQ20" s="19">
        <f t="shared" si="1"/>
        <v>81.79909090909092</v>
      </c>
    </row>
    <row r="21" spans="1:69" ht="15.75" customHeight="1">
      <c r="A21" s="16">
        <v>9</v>
      </c>
      <c r="B21" s="17" t="s">
        <v>22</v>
      </c>
      <c r="C21" s="27">
        <v>7.4499</v>
      </c>
      <c r="D21" s="19">
        <v>13.51</v>
      </c>
      <c r="E21" s="5"/>
      <c r="F21" s="27">
        <v>7.4476</v>
      </c>
      <c r="G21" s="19">
        <v>13.52</v>
      </c>
      <c r="H21" s="5"/>
      <c r="I21" s="27">
        <v>7.4359</v>
      </c>
      <c r="J21" s="19">
        <v>13.54</v>
      </c>
      <c r="K21" s="5"/>
      <c r="L21" s="27">
        <v>7.4407</v>
      </c>
      <c r="M21" s="19">
        <v>13.54</v>
      </c>
      <c r="N21" s="5"/>
      <c r="O21" s="27">
        <v>7.4175</v>
      </c>
      <c r="P21" s="19">
        <v>13.56</v>
      </c>
      <c r="Q21" s="5"/>
      <c r="R21" s="27">
        <v>7.4205</v>
      </c>
      <c r="S21" s="19">
        <v>13.55</v>
      </c>
      <c r="T21" s="5"/>
      <c r="U21" s="27">
        <v>7.5107</v>
      </c>
      <c r="V21" s="19">
        <v>13.45</v>
      </c>
      <c r="W21" s="5"/>
      <c r="X21" s="27">
        <v>7.5494</v>
      </c>
      <c r="Y21" s="19">
        <v>13.4</v>
      </c>
      <c r="Z21" s="5"/>
      <c r="AA21" s="27">
        <v>7.679</v>
      </c>
      <c r="AB21" s="19">
        <v>13.33</v>
      </c>
      <c r="AC21" s="5"/>
      <c r="AD21" s="27">
        <v>7.6466</v>
      </c>
      <c r="AE21" s="19">
        <v>13.34</v>
      </c>
      <c r="AF21" s="5"/>
      <c r="AG21" s="27">
        <v>7.6826</v>
      </c>
      <c r="AH21" s="19">
        <v>13.34</v>
      </c>
      <c r="AI21" s="5"/>
      <c r="AJ21" s="27">
        <v>7.6615</v>
      </c>
      <c r="AK21" s="19">
        <v>13.36</v>
      </c>
      <c r="AL21" s="5"/>
      <c r="AM21" s="27">
        <v>7.6151</v>
      </c>
      <c r="AN21" s="19">
        <v>13.41</v>
      </c>
      <c r="AO21" s="5"/>
      <c r="AP21" s="27">
        <v>7.5516</v>
      </c>
      <c r="AQ21" s="19">
        <v>13.42</v>
      </c>
      <c r="AR21" s="5"/>
      <c r="AS21" s="27">
        <v>7.652</v>
      </c>
      <c r="AT21" s="19">
        <v>13.31</v>
      </c>
      <c r="AU21" s="5"/>
      <c r="AV21" s="27">
        <v>7.6246</v>
      </c>
      <c r="AW21" s="19">
        <v>13.32</v>
      </c>
      <c r="AX21" s="5"/>
      <c r="AY21" s="27">
        <v>7.7453</v>
      </c>
      <c r="AZ21" s="19">
        <v>13.15</v>
      </c>
      <c r="BA21" s="5"/>
      <c r="BB21" s="27">
        <v>7.7995</v>
      </c>
      <c r="BC21" s="19">
        <v>13.14</v>
      </c>
      <c r="BD21" s="5"/>
      <c r="BE21" s="27">
        <v>7.7312</v>
      </c>
      <c r="BF21" s="19">
        <v>13.17</v>
      </c>
      <c r="BG21" s="5"/>
      <c r="BH21" s="27">
        <v>7.761</v>
      </c>
      <c r="BI21" s="19">
        <v>13.19</v>
      </c>
      <c r="BJ21" s="5"/>
      <c r="BK21" s="27">
        <v>7.8197</v>
      </c>
      <c r="BL21" s="19">
        <v>13.15</v>
      </c>
      <c r="BM21" s="5"/>
      <c r="BN21" s="27">
        <v>7.8086</v>
      </c>
      <c r="BO21" s="19">
        <v>13.16</v>
      </c>
      <c r="BP21" s="27">
        <f t="shared" si="0"/>
        <v>7.611386363636364</v>
      </c>
      <c r="BQ21" s="19">
        <f t="shared" si="1"/>
        <v>13.357272727272727</v>
      </c>
    </row>
    <row r="22" spans="1:69" ht="15.75" customHeight="1">
      <c r="A22" s="16">
        <v>10</v>
      </c>
      <c r="B22" s="17" t="s">
        <v>23</v>
      </c>
      <c r="C22" s="27">
        <v>6.4704</v>
      </c>
      <c r="D22" s="19">
        <v>15.55</v>
      </c>
      <c r="E22" s="5"/>
      <c r="F22" s="27">
        <v>6.4428</v>
      </c>
      <c r="G22" s="19">
        <v>15.63</v>
      </c>
      <c r="H22" s="5"/>
      <c r="I22" s="27">
        <v>6.4472</v>
      </c>
      <c r="J22" s="19">
        <v>15.62</v>
      </c>
      <c r="K22" s="5"/>
      <c r="L22" s="27">
        <v>6.4189</v>
      </c>
      <c r="M22" s="19">
        <v>15.7</v>
      </c>
      <c r="N22" s="5"/>
      <c r="O22" s="27">
        <v>6.391</v>
      </c>
      <c r="P22" s="19">
        <v>15.74</v>
      </c>
      <c r="Q22" s="5"/>
      <c r="R22" s="27">
        <v>6.419</v>
      </c>
      <c r="S22" s="19">
        <v>15.67</v>
      </c>
      <c r="T22" s="5"/>
      <c r="U22" s="27">
        <v>6.4713</v>
      </c>
      <c r="V22" s="19">
        <v>15.61</v>
      </c>
      <c r="W22" s="5"/>
      <c r="X22" s="27">
        <v>6.4097</v>
      </c>
      <c r="Y22" s="19">
        <v>15.78</v>
      </c>
      <c r="Z22" s="5"/>
      <c r="AA22" s="27">
        <v>6.5007</v>
      </c>
      <c r="AB22" s="19">
        <v>15.75</v>
      </c>
      <c r="AC22" s="5"/>
      <c r="AD22" s="27">
        <v>6.483</v>
      </c>
      <c r="AE22" s="19">
        <v>15.74</v>
      </c>
      <c r="AF22" s="5"/>
      <c r="AG22" s="27">
        <v>6.5422</v>
      </c>
      <c r="AH22" s="19">
        <v>15.67</v>
      </c>
      <c r="AI22" s="5"/>
      <c r="AJ22" s="27">
        <v>6.5005</v>
      </c>
      <c r="AK22" s="19">
        <v>15.75</v>
      </c>
      <c r="AL22" s="5"/>
      <c r="AM22" s="27">
        <v>6.4793</v>
      </c>
      <c r="AN22" s="19">
        <v>15.76</v>
      </c>
      <c r="AO22" s="5"/>
      <c r="AP22" s="27">
        <v>6.4304</v>
      </c>
      <c r="AQ22" s="19">
        <v>15.76</v>
      </c>
      <c r="AR22" s="5"/>
      <c r="AS22" s="27">
        <v>6.4962</v>
      </c>
      <c r="AT22" s="19">
        <v>15.67</v>
      </c>
      <c r="AU22" s="5"/>
      <c r="AV22" s="27">
        <v>6.4701</v>
      </c>
      <c r="AW22" s="19">
        <v>15.69</v>
      </c>
      <c r="AX22" s="5"/>
      <c r="AY22" s="27">
        <v>6.5458</v>
      </c>
      <c r="AZ22" s="19">
        <v>15.56</v>
      </c>
      <c r="BA22" s="5"/>
      <c r="BB22" s="27">
        <v>6.5974</v>
      </c>
      <c r="BC22" s="19">
        <v>15.53</v>
      </c>
      <c r="BD22" s="5"/>
      <c r="BE22" s="27">
        <v>6.518</v>
      </c>
      <c r="BF22" s="19">
        <v>15.62</v>
      </c>
      <c r="BG22" s="5"/>
      <c r="BH22" s="27">
        <v>6.567</v>
      </c>
      <c r="BI22" s="19">
        <v>15.59</v>
      </c>
      <c r="BJ22" s="5"/>
      <c r="BK22" s="27">
        <v>6.5568</v>
      </c>
      <c r="BL22" s="19">
        <v>15.68</v>
      </c>
      <c r="BM22" s="5"/>
      <c r="BN22" s="27">
        <v>6.5533</v>
      </c>
      <c r="BO22" s="19">
        <v>15.68</v>
      </c>
      <c r="BP22" s="27">
        <f t="shared" si="0"/>
        <v>6.486863636363637</v>
      </c>
      <c r="BQ22" s="19">
        <f t="shared" si="1"/>
        <v>15.670454545454543</v>
      </c>
    </row>
    <row r="23" spans="1:69" ht="15.75" customHeight="1">
      <c r="A23" s="16">
        <v>11</v>
      </c>
      <c r="B23" s="17" t="s">
        <v>24</v>
      </c>
      <c r="C23" s="27">
        <v>6.0697</v>
      </c>
      <c r="D23" s="19">
        <v>16.58</v>
      </c>
      <c r="E23" s="5"/>
      <c r="F23" s="27">
        <v>6.058</v>
      </c>
      <c r="G23" s="19">
        <v>16.63</v>
      </c>
      <c r="H23" s="5"/>
      <c r="I23" s="27">
        <v>6.0608</v>
      </c>
      <c r="J23" s="19">
        <v>16.61</v>
      </c>
      <c r="K23" s="5"/>
      <c r="L23" s="27">
        <v>6.0617</v>
      </c>
      <c r="M23" s="19">
        <v>16.62</v>
      </c>
      <c r="N23" s="5"/>
      <c r="O23" s="27">
        <v>6.0445</v>
      </c>
      <c r="P23" s="19">
        <v>16.64</v>
      </c>
      <c r="Q23" s="5"/>
      <c r="R23" s="27">
        <v>6.0432</v>
      </c>
      <c r="S23" s="19">
        <v>16.64</v>
      </c>
      <c r="T23" s="5"/>
      <c r="U23" s="27">
        <v>6.0855</v>
      </c>
      <c r="V23" s="19">
        <v>16.6</v>
      </c>
      <c r="W23" s="5"/>
      <c r="X23" s="27">
        <v>6.0897</v>
      </c>
      <c r="Y23" s="19">
        <v>16.61</v>
      </c>
      <c r="Z23" s="5"/>
      <c r="AA23" s="27">
        <v>6.1787</v>
      </c>
      <c r="AB23" s="19">
        <v>16.57</v>
      </c>
      <c r="AC23" s="5"/>
      <c r="AD23" s="27">
        <v>6.1327</v>
      </c>
      <c r="AE23" s="19">
        <v>16.64</v>
      </c>
      <c r="AF23" s="5"/>
      <c r="AG23" s="27">
        <v>6.1807</v>
      </c>
      <c r="AH23" s="19">
        <v>16.59</v>
      </c>
      <c r="AI23" s="5"/>
      <c r="AJ23" s="27">
        <v>6.1492</v>
      </c>
      <c r="AK23" s="19">
        <v>16.65</v>
      </c>
      <c r="AL23" s="5"/>
      <c r="AM23" s="27">
        <v>6.1239</v>
      </c>
      <c r="AN23" s="19">
        <v>16.67</v>
      </c>
      <c r="AO23" s="5"/>
      <c r="AP23" s="27">
        <v>6.0889</v>
      </c>
      <c r="AQ23" s="19">
        <v>16.64</v>
      </c>
      <c r="AR23" s="5"/>
      <c r="AS23" s="27">
        <v>6.1612</v>
      </c>
      <c r="AT23" s="19">
        <v>16.53</v>
      </c>
      <c r="AU23" s="5"/>
      <c r="AV23" s="27">
        <v>6.1296</v>
      </c>
      <c r="AW23" s="19">
        <v>16.57</v>
      </c>
      <c r="AX23" s="5"/>
      <c r="AY23" s="27">
        <v>6.1559</v>
      </c>
      <c r="AZ23" s="19">
        <v>16.55</v>
      </c>
      <c r="BA23" s="5"/>
      <c r="BB23" s="27">
        <v>6.1699</v>
      </c>
      <c r="BC23" s="19">
        <v>16.61</v>
      </c>
      <c r="BD23" s="5"/>
      <c r="BE23" s="27">
        <v>6.1241</v>
      </c>
      <c r="BF23" s="19">
        <v>16.62</v>
      </c>
      <c r="BG23" s="5"/>
      <c r="BH23" s="27">
        <v>6.1543</v>
      </c>
      <c r="BI23" s="19">
        <v>16.63</v>
      </c>
      <c r="BJ23" s="5"/>
      <c r="BK23" s="27">
        <v>6.1791</v>
      </c>
      <c r="BL23" s="19">
        <v>16.64</v>
      </c>
      <c r="BM23" s="5"/>
      <c r="BN23" s="27">
        <v>6.1783</v>
      </c>
      <c r="BO23" s="19">
        <v>16.63</v>
      </c>
      <c r="BP23" s="27">
        <f t="shared" si="0"/>
        <v>6.119072727272728</v>
      </c>
      <c r="BQ23" s="19">
        <f t="shared" si="1"/>
        <v>16.612272727272728</v>
      </c>
    </row>
    <row r="24" spans="1:69" ht="15.75" customHeight="1">
      <c r="A24" s="16">
        <v>12</v>
      </c>
      <c r="B24" s="17" t="s">
        <v>25</v>
      </c>
      <c r="C24" s="27">
        <f>1/1.47495</f>
        <v>0.6779890843757416</v>
      </c>
      <c r="D24" s="19">
        <v>148.44</v>
      </c>
      <c r="E24" s="5"/>
      <c r="F24" s="27">
        <f>1/1.46972</f>
        <v>0.6804017091690935</v>
      </c>
      <c r="G24" s="19">
        <v>148.04</v>
      </c>
      <c r="H24" s="5"/>
      <c r="I24" s="27">
        <f>1/1.47201</f>
        <v>0.679343210983621</v>
      </c>
      <c r="J24" s="19">
        <v>148.23</v>
      </c>
      <c r="K24" s="5"/>
      <c r="L24" s="27">
        <f>1/1.47369</f>
        <v>0.6785687627655749</v>
      </c>
      <c r="M24" s="19">
        <v>148.49</v>
      </c>
      <c r="N24" s="5"/>
      <c r="O24" s="27">
        <f>1/1.47438</f>
        <v>0.6782511971133629</v>
      </c>
      <c r="P24" s="19">
        <v>148.32</v>
      </c>
      <c r="Q24" s="5"/>
      <c r="R24" s="27">
        <f>1/1.47795</f>
        <v>0.6766128759430291</v>
      </c>
      <c r="S24" s="19">
        <v>148.63</v>
      </c>
      <c r="T24" s="5"/>
      <c r="U24" s="27">
        <f>1/1.47924</f>
        <v>0.6760228225304886</v>
      </c>
      <c r="V24" s="19">
        <v>149.43</v>
      </c>
      <c r="W24" s="5"/>
      <c r="X24" s="27">
        <f>1/1.47367</f>
        <v>0.6785779720018729</v>
      </c>
      <c r="Y24" s="19">
        <v>149.06</v>
      </c>
      <c r="Z24" s="5"/>
      <c r="AA24" s="27">
        <f>1/1.47314</f>
        <v>0.6788221078784095</v>
      </c>
      <c r="AB24" s="19">
        <v>150.81</v>
      </c>
      <c r="AC24" s="5"/>
      <c r="AD24" s="27">
        <f>1/1.45949</f>
        <v>0.6851708473507869</v>
      </c>
      <c r="AE24" s="19">
        <v>148.91</v>
      </c>
      <c r="AF24" s="5"/>
      <c r="AG24" s="27">
        <f>1/1.46356</f>
        <v>0.6832654622974118</v>
      </c>
      <c r="AH24" s="19">
        <v>150.03</v>
      </c>
      <c r="AI24" s="5"/>
      <c r="AJ24" s="27">
        <f>1/1.45984</f>
        <v>0.6850065760631302</v>
      </c>
      <c r="AK24" s="19">
        <v>149.42</v>
      </c>
      <c r="AL24" s="5"/>
      <c r="AM24" s="27">
        <f>1/1.46505</f>
        <v>0.6825705607317156</v>
      </c>
      <c r="AN24" s="19">
        <v>149.59</v>
      </c>
      <c r="AO24" s="5"/>
      <c r="AP24" s="27">
        <f>1/1.46787</f>
        <v>0.6812592395784368</v>
      </c>
      <c r="AQ24" s="19">
        <v>148.72</v>
      </c>
      <c r="AR24" s="5"/>
      <c r="AS24" s="27">
        <f>1/1.4703</f>
        <v>0.6801333061280012</v>
      </c>
      <c r="AT24" s="19">
        <v>149.7</v>
      </c>
      <c r="AU24" s="5"/>
      <c r="AV24" s="27">
        <f>1/1.46277</f>
        <v>0.683634474319271</v>
      </c>
      <c r="AW24" s="19">
        <v>148.54</v>
      </c>
      <c r="AX24" s="5"/>
      <c r="AY24" s="27">
        <f>1/1.46555</f>
        <v>0.6823376889222477</v>
      </c>
      <c r="AZ24" s="19">
        <v>149.32</v>
      </c>
      <c r="BA24" s="5"/>
      <c r="BB24" s="27">
        <f>1/1.46395</f>
        <v>0.6830834386420301</v>
      </c>
      <c r="BC24" s="19">
        <v>150.01</v>
      </c>
      <c r="BD24" s="5"/>
      <c r="BE24" s="27">
        <f>1/1.46309</f>
        <v>0.683484953078758</v>
      </c>
      <c r="BF24" s="19">
        <v>148.92</v>
      </c>
      <c r="BG24" s="5"/>
      <c r="BH24" s="27">
        <f>1/1.46813</f>
        <v>0.6811385912691655</v>
      </c>
      <c r="BI24" s="19">
        <v>150.28</v>
      </c>
      <c r="BJ24" s="5"/>
      <c r="BK24" s="27">
        <f>1/1.46323</f>
        <v>0.6834195581009137</v>
      </c>
      <c r="BL24" s="19">
        <v>150.44</v>
      </c>
      <c r="BM24" s="5"/>
      <c r="BN24" s="27">
        <f>1/1.45914</f>
        <v>0.6853351974450703</v>
      </c>
      <c r="BO24" s="19">
        <v>149.94</v>
      </c>
      <c r="BP24" s="27">
        <f t="shared" si="0"/>
        <v>0.6811104380312787</v>
      </c>
      <c r="BQ24" s="19">
        <f t="shared" si="1"/>
        <v>149.23954545454546</v>
      </c>
    </row>
    <row r="25" spans="1:69" ht="15.75" customHeight="1" thickBot="1">
      <c r="A25" s="35">
        <v>13</v>
      </c>
      <c r="B25" s="36" t="s">
        <v>26</v>
      </c>
      <c r="C25" s="28">
        <v>1</v>
      </c>
      <c r="D25" s="22">
        <v>100.64</v>
      </c>
      <c r="E25" s="21"/>
      <c r="F25" s="28">
        <v>1</v>
      </c>
      <c r="G25" s="22">
        <v>100.73</v>
      </c>
      <c r="H25" s="21"/>
      <c r="I25" s="28">
        <v>1</v>
      </c>
      <c r="J25" s="22">
        <v>100.7</v>
      </c>
      <c r="K25" s="21"/>
      <c r="L25" s="28">
        <v>1</v>
      </c>
      <c r="M25" s="22">
        <v>100.76</v>
      </c>
      <c r="N25" s="21"/>
      <c r="O25" s="28">
        <v>1</v>
      </c>
      <c r="P25" s="22">
        <v>100.6</v>
      </c>
      <c r="Q25" s="21"/>
      <c r="R25" s="28">
        <v>1</v>
      </c>
      <c r="S25" s="22">
        <v>100.56</v>
      </c>
      <c r="T25" s="21"/>
      <c r="U25" s="28">
        <v>1</v>
      </c>
      <c r="V25" s="22">
        <v>101.02</v>
      </c>
      <c r="W25" s="21"/>
      <c r="X25" s="28">
        <v>1</v>
      </c>
      <c r="Y25" s="22">
        <v>101.15</v>
      </c>
      <c r="Z25" s="21"/>
      <c r="AA25" s="28">
        <v>1</v>
      </c>
      <c r="AB25" s="22">
        <v>102.38</v>
      </c>
      <c r="AC25" s="21"/>
      <c r="AD25" s="28">
        <v>1</v>
      </c>
      <c r="AE25" s="22">
        <v>102.03</v>
      </c>
      <c r="AF25" s="21"/>
      <c r="AG25" s="28">
        <v>1</v>
      </c>
      <c r="AH25" s="22">
        <v>102.51</v>
      </c>
      <c r="AI25" s="21"/>
      <c r="AJ25" s="28">
        <v>1</v>
      </c>
      <c r="AK25" s="22">
        <v>102.35</v>
      </c>
      <c r="AL25" s="21"/>
      <c r="AM25" s="28">
        <v>1</v>
      </c>
      <c r="AN25" s="22">
        <v>102.1</v>
      </c>
      <c r="AO25" s="21"/>
      <c r="AP25" s="28">
        <v>1</v>
      </c>
      <c r="AQ25" s="22">
        <v>101.32</v>
      </c>
      <c r="AR25" s="21"/>
      <c r="AS25" s="28">
        <v>1</v>
      </c>
      <c r="AT25" s="22">
        <v>101.82</v>
      </c>
      <c r="AU25" s="21"/>
      <c r="AV25" s="28">
        <v>1</v>
      </c>
      <c r="AW25" s="22">
        <v>101.55</v>
      </c>
      <c r="AX25" s="21"/>
      <c r="AY25" s="28">
        <v>1</v>
      </c>
      <c r="AZ25" s="22">
        <v>101.88</v>
      </c>
      <c r="BA25" s="21"/>
      <c r="BB25" s="28">
        <v>1</v>
      </c>
      <c r="BC25" s="22">
        <v>102.47</v>
      </c>
      <c r="BD25" s="21"/>
      <c r="BE25" s="28">
        <v>1</v>
      </c>
      <c r="BF25" s="22">
        <v>101.79</v>
      </c>
      <c r="BG25" s="21"/>
      <c r="BH25" s="28">
        <v>1</v>
      </c>
      <c r="BI25" s="22">
        <v>102.36</v>
      </c>
      <c r="BJ25" s="21"/>
      <c r="BK25" s="28">
        <v>1</v>
      </c>
      <c r="BL25" s="22">
        <v>102.82</v>
      </c>
      <c r="BM25" s="21"/>
      <c r="BN25" s="28">
        <v>1</v>
      </c>
      <c r="BO25" s="22">
        <v>102.76</v>
      </c>
      <c r="BP25" s="28">
        <f t="shared" si="0"/>
        <v>1</v>
      </c>
      <c r="BQ25" s="22">
        <f t="shared" si="1"/>
        <v>101.64999999999999</v>
      </c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 xml:space="preserve">&amp;LBanka e Shqiperise
Sektori i Statistikave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8515625" style="0" customWidth="1"/>
    <col min="66" max="67" width="13.28125" style="0" customWidth="1"/>
    <col min="68" max="68" width="4.28125" style="0" customWidth="1"/>
  </cols>
  <sheetData>
    <row r="1" spans="1:65" ht="15.75" customHeight="1">
      <c r="A1" s="4" t="s">
        <v>0</v>
      </c>
      <c r="B1" s="4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77" ht="15.75" customHeight="1">
      <c r="A4" s="6" t="s">
        <v>2</v>
      </c>
      <c r="B4" s="5"/>
      <c r="C4" s="4" t="s">
        <v>156</v>
      </c>
      <c r="D4" s="4"/>
      <c r="E4" s="10"/>
      <c r="F4" s="4" t="s">
        <v>157</v>
      </c>
      <c r="G4" s="4"/>
      <c r="H4" s="10"/>
      <c r="I4" s="4" t="s">
        <v>158</v>
      </c>
      <c r="J4" s="4"/>
      <c r="K4" s="10"/>
      <c r="L4" s="4" t="s">
        <v>159</v>
      </c>
      <c r="M4" s="4"/>
      <c r="N4" s="10"/>
      <c r="O4" s="4" t="s">
        <v>160</v>
      </c>
      <c r="P4" s="4"/>
      <c r="Q4" s="10"/>
      <c r="R4" s="4" t="s">
        <v>161</v>
      </c>
      <c r="S4" s="4"/>
      <c r="T4" s="10"/>
      <c r="U4" s="4" t="s">
        <v>162</v>
      </c>
      <c r="V4" s="4"/>
      <c r="W4" s="10"/>
      <c r="X4" s="4" t="s">
        <v>163</v>
      </c>
      <c r="Y4" s="4"/>
      <c r="Z4" s="10"/>
      <c r="AA4" s="4" t="s">
        <v>164</v>
      </c>
      <c r="AB4" s="4"/>
      <c r="AC4" s="10"/>
      <c r="AD4" s="4" t="s">
        <v>165</v>
      </c>
      <c r="AE4" s="4"/>
      <c r="AF4" s="10"/>
      <c r="AG4" s="4" t="s">
        <v>166</v>
      </c>
      <c r="AH4" s="4"/>
      <c r="AI4" s="10"/>
      <c r="AJ4" s="4" t="s">
        <v>167</v>
      </c>
      <c r="AK4" s="4"/>
      <c r="AL4" s="10"/>
      <c r="AM4" s="4" t="s">
        <v>168</v>
      </c>
      <c r="AN4" s="4"/>
      <c r="AO4" s="10"/>
      <c r="AP4" s="4" t="s">
        <v>169</v>
      </c>
      <c r="AQ4" s="4"/>
      <c r="AR4" s="10"/>
      <c r="AS4" s="4" t="s">
        <v>170</v>
      </c>
      <c r="AT4" s="4"/>
      <c r="AU4" s="10"/>
      <c r="AV4" s="4" t="s">
        <v>171</v>
      </c>
      <c r="AW4" s="4"/>
      <c r="AX4" s="10"/>
      <c r="AY4" s="4" t="s">
        <v>172</v>
      </c>
      <c r="AZ4" s="4"/>
      <c r="BA4" s="10"/>
      <c r="BB4" s="4" t="s">
        <v>173</v>
      </c>
      <c r="BC4" s="4"/>
      <c r="BD4" s="10"/>
      <c r="BE4" s="4" t="s">
        <v>174</v>
      </c>
      <c r="BF4" s="4"/>
      <c r="BG4" s="10"/>
      <c r="BH4" s="4" t="s">
        <v>175</v>
      </c>
      <c r="BI4" s="4"/>
      <c r="BJ4" s="26"/>
      <c r="BK4" s="4" t="s">
        <v>176</v>
      </c>
      <c r="BL4" s="4"/>
      <c r="BM4" s="26"/>
      <c r="BN4" s="4" t="s">
        <v>3</v>
      </c>
      <c r="BO4" s="4"/>
      <c r="BP4" s="26"/>
      <c r="BQ4" s="4"/>
      <c r="BR4" s="4"/>
      <c r="BS4" s="37"/>
      <c r="BT4" s="37"/>
      <c r="BW4" s="38"/>
      <c r="BX4" s="37"/>
      <c r="BY4" s="37"/>
    </row>
    <row r="5" spans="1:77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38"/>
      <c r="BQ5" s="38"/>
      <c r="BR5" s="38"/>
      <c r="BS5" s="38"/>
      <c r="BT5" s="38"/>
      <c r="BW5" s="38"/>
      <c r="BX5" s="38"/>
      <c r="BY5" s="38"/>
    </row>
    <row r="6" spans="1:77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9"/>
      <c r="BR6" s="9"/>
      <c r="BS6" s="9"/>
      <c r="BT6" s="9"/>
      <c r="BW6" s="9"/>
      <c r="BX6" s="9"/>
      <c r="BY6" s="9"/>
    </row>
    <row r="7" spans="1:77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39"/>
      <c r="BR7" s="39"/>
      <c r="BS7" s="39"/>
      <c r="BT7" s="39"/>
      <c r="BW7" s="39"/>
      <c r="BX7" s="39"/>
      <c r="BY7" s="39"/>
    </row>
    <row r="8" spans="1:77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39"/>
      <c r="BR8" s="39"/>
      <c r="BS8" s="39"/>
      <c r="BT8" s="39"/>
      <c r="BW8" s="39"/>
      <c r="BX8" s="39"/>
      <c r="BY8" s="39"/>
    </row>
    <row r="9" spans="1:77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39"/>
      <c r="BR9" s="39"/>
      <c r="BS9" s="39"/>
      <c r="BT9" s="39"/>
      <c r="BW9" s="39"/>
      <c r="BX9" s="39"/>
      <c r="BY9" s="39"/>
    </row>
    <row r="10" spans="1:77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39"/>
      <c r="BR10" s="39"/>
      <c r="BS10" s="39"/>
      <c r="BT10" s="39"/>
      <c r="BW10" s="39"/>
      <c r="BX10" s="39"/>
      <c r="BY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9"/>
      <c r="BS11" s="9"/>
      <c r="BT11" s="9"/>
      <c r="BU11" s="40"/>
      <c r="BV11" s="40"/>
      <c r="BW11" s="9"/>
      <c r="BX11" s="9"/>
      <c r="BY11" s="9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9"/>
      <c r="BR12" s="9"/>
      <c r="BS12" s="9"/>
      <c r="BT12" s="9"/>
      <c r="BU12" s="40"/>
      <c r="BV12" s="40"/>
      <c r="BW12" s="9"/>
      <c r="BX12" s="9"/>
      <c r="BY12" s="9"/>
      <c r="BZ12" s="40"/>
      <c r="CA12" s="40"/>
      <c r="CB12" s="40"/>
      <c r="CC12" s="40"/>
      <c r="CD12" s="40"/>
      <c r="CE12" s="40"/>
    </row>
    <row r="13" spans="1:77" ht="15.75" customHeight="1">
      <c r="A13" s="16">
        <v>1</v>
      </c>
      <c r="B13" s="17" t="s">
        <v>14</v>
      </c>
      <c r="C13" s="27">
        <v>110.69</v>
      </c>
      <c r="D13" s="19">
        <v>92.48</v>
      </c>
      <c r="E13" s="5"/>
      <c r="F13" s="27">
        <v>111.51</v>
      </c>
      <c r="G13" s="19">
        <v>92.44</v>
      </c>
      <c r="H13" s="5"/>
      <c r="I13" s="27">
        <v>111.91</v>
      </c>
      <c r="J13" s="19">
        <v>92.24</v>
      </c>
      <c r="K13" s="5"/>
      <c r="L13" s="27">
        <v>111.86</v>
      </c>
      <c r="M13" s="19">
        <v>92.3</v>
      </c>
      <c r="N13" s="5"/>
      <c r="O13" s="27">
        <v>111.61</v>
      </c>
      <c r="P13" s="19">
        <v>92.05</v>
      </c>
      <c r="Q13" s="5"/>
      <c r="R13" s="27">
        <v>112.25</v>
      </c>
      <c r="S13" s="19">
        <v>91.74</v>
      </c>
      <c r="T13" s="5"/>
      <c r="U13" s="27">
        <v>111.97</v>
      </c>
      <c r="V13" s="19">
        <v>91.16</v>
      </c>
      <c r="W13" s="5"/>
      <c r="X13" s="27">
        <v>111.08</v>
      </c>
      <c r="Y13" s="19">
        <v>90.47</v>
      </c>
      <c r="Z13" s="5"/>
      <c r="AA13" s="27">
        <v>111.33</v>
      </c>
      <c r="AB13" s="19">
        <v>90.3</v>
      </c>
      <c r="AC13" s="5"/>
      <c r="AD13" s="27">
        <v>111.96</v>
      </c>
      <c r="AE13" s="19">
        <v>90.63</v>
      </c>
      <c r="AF13" s="5"/>
      <c r="AG13" s="27">
        <v>111.83</v>
      </c>
      <c r="AH13" s="19">
        <v>90.18</v>
      </c>
      <c r="AI13" s="5"/>
      <c r="AJ13" s="27">
        <v>112.23</v>
      </c>
      <c r="AK13" s="19">
        <v>89.81</v>
      </c>
      <c r="AL13" s="5"/>
      <c r="AM13" s="27">
        <v>112.69</v>
      </c>
      <c r="AN13" s="19">
        <v>89.56</v>
      </c>
      <c r="AO13" s="5"/>
      <c r="AP13" s="27">
        <v>112.94</v>
      </c>
      <c r="AQ13" s="19">
        <v>88.83</v>
      </c>
      <c r="AR13" s="5"/>
      <c r="AS13" s="27">
        <v>112.46</v>
      </c>
      <c r="AT13" s="19">
        <v>88.63</v>
      </c>
      <c r="AU13" s="5"/>
      <c r="AV13" s="27">
        <v>110.94</v>
      </c>
      <c r="AW13" s="19">
        <v>89.78</v>
      </c>
      <c r="AX13" s="5"/>
      <c r="AY13" s="27">
        <v>111.67</v>
      </c>
      <c r="AZ13" s="19">
        <v>89.85</v>
      </c>
      <c r="BA13" s="5"/>
      <c r="BB13" s="27">
        <v>112.26</v>
      </c>
      <c r="BC13" s="19">
        <v>89.47</v>
      </c>
      <c r="BD13" s="5"/>
      <c r="BE13" s="27">
        <v>112.61</v>
      </c>
      <c r="BF13" s="19">
        <v>89.41</v>
      </c>
      <c r="BG13" s="5"/>
      <c r="BH13" s="27">
        <v>112.48</v>
      </c>
      <c r="BI13" s="19">
        <v>89.38</v>
      </c>
      <c r="BJ13" s="5"/>
      <c r="BK13" s="27">
        <v>112.42</v>
      </c>
      <c r="BL13" s="19">
        <v>89.35</v>
      </c>
      <c r="BM13" s="5"/>
      <c r="BN13" s="27">
        <f>(+C13+F13+I13+L13+O13+R13+U13+X13+AA13+AD13+AG13+AJ13+AM13+AP13+AS13+AV13+AY13+BB13+BE13+BH13+BK13)/21</f>
        <v>111.93809523809526</v>
      </c>
      <c r="BO13" s="19">
        <f>(+D13+G13+J13+M13+P13+S13+V13+Y13+AB13+AE13+AH13+AK13+AN13+AQ13+AT13+AW13+AZ13+BC13+BF13+BI13+BL13)/21</f>
        <v>90.47904761904759</v>
      </c>
      <c r="BP13" s="9"/>
      <c r="BQ13" s="31"/>
      <c r="BR13" s="32"/>
      <c r="BS13" s="31"/>
      <c r="BT13" s="32"/>
      <c r="BW13" s="9"/>
      <c r="BX13" s="31"/>
      <c r="BY13" s="32"/>
    </row>
    <row r="14" spans="1:77" ht="15.75" customHeight="1">
      <c r="A14" s="16">
        <v>2</v>
      </c>
      <c r="B14" s="17" t="s">
        <v>15</v>
      </c>
      <c r="C14" s="27">
        <f>1/1.7831</f>
        <v>0.5608210420054961</v>
      </c>
      <c r="D14" s="19">
        <v>182.54</v>
      </c>
      <c r="E14" s="5"/>
      <c r="F14" s="27">
        <f>1/1.7584</f>
        <v>0.5686988171064604</v>
      </c>
      <c r="G14" s="19">
        <v>181.26</v>
      </c>
      <c r="H14" s="5"/>
      <c r="I14" s="27">
        <f>1/1.7561</f>
        <v>0.5694436535504812</v>
      </c>
      <c r="J14" s="19">
        <v>181.28</v>
      </c>
      <c r="K14" s="5"/>
      <c r="L14" s="27">
        <f>1/1.7518</f>
        <v>0.5708414202534536</v>
      </c>
      <c r="M14" s="19">
        <v>180.87</v>
      </c>
      <c r="N14" s="5"/>
      <c r="O14" s="27">
        <f>1/1.7462</f>
        <v>0.5726720879624327</v>
      </c>
      <c r="P14" s="19">
        <v>179.4</v>
      </c>
      <c r="Q14" s="5"/>
      <c r="R14" s="27">
        <f>1/1.7373</f>
        <v>0.5756058251309503</v>
      </c>
      <c r="S14" s="19">
        <v>178.91</v>
      </c>
      <c r="T14" s="5"/>
      <c r="U14" s="27">
        <f>1/1.7439</f>
        <v>0.5734273754229027</v>
      </c>
      <c r="V14" s="19">
        <v>178.01</v>
      </c>
      <c r="W14" s="5"/>
      <c r="X14" s="27">
        <f>1/1.7681</f>
        <v>0.5655788699734178</v>
      </c>
      <c r="Y14" s="19">
        <v>177.68</v>
      </c>
      <c r="Z14" s="5"/>
      <c r="AA14" s="27">
        <f>1/1.7655</f>
        <v>0.5664117813650523</v>
      </c>
      <c r="AB14" s="19">
        <v>177.49</v>
      </c>
      <c r="AC14" s="5"/>
      <c r="AD14" s="27">
        <f>1/1.7621</f>
        <v>0.5675046819136258</v>
      </c>
      <c r="AE14" s="19">
        <v>178.8</v>
      </c>
      <c r="AF14" s="5"/>
      <c r="AG14" s="27">
        <f>1/1.7609</f>
        <v>0.5678914191606566</v>
      </c>
      <c r="AH14" s="19">
        <v>177.58</v>
      </c>
      <c r="AI14" s="5"/>
      <c r="AJ14" s="27">
        <f>1/1.7473</f>
        <v>0.5723115664167573</v>
      </c>
      <c r="AK14" s="19">
        <v>176.11</v>
      </c>
      <c r="AL14" s="5"/>
      <c r="AM14" s="27">
        <f>1/1.7422</f>
        <v>0.5739869130983813</v>
      </c>
      <c r="AN14" s="19">
        <v>175.84</v>
      </c>
      <c r="AO14" s="5"/>
      <c r="AP14" s="27">
        <f>1/1.7389</f>
        <v>0.5750761975961816</v>
      </c>
      <c r="AQ14" s="19">
        <v>174.46</v>
      </c>
      <c r="AR14" s="5"/>
      <c r="AS14" s="27">
        <f>1/1.7471</f>
        <v>0.5723770820216358</v>
      </c>
      <c r="AT14" s="19">
        <v>174.13</v>
      </c>
      <c r="AU14" s="5"/>
      <c r="AV14" s="27">
        <f>1/1.7544</f>
        <v>0.5699954400364797</v>
      </c>
      <c r="AW14" s="19">
        <v>174.73</v>
      </c>
      <c r="AX14" s="5"/>
      <c r="AY14" s="27">
        <f>1/1.7383</f>
        <v>0.5752746936662256</v>
      </c>
      <c r="AZ14" s="19">
        <v>174.4</v>
      </c>
      <c r="BA14" s="5"/>
      <c r="BB14" s="27">
        <f>1/1.7369</f>
        <v>0.5757383844780931</v>
      </c>
      <c r="BC14" s="19">
        <v>174.45</v>
      </c>
      <c r="BD14" s="5"/>
      <c r="BE14" s="27">
        <f>1/1.7363</f>
        <v>0.5759373380176237</v>
      </c>
      <c r="BF14" s="19">
        <v>174.82</v>
      </c>
      <c r="BG14" s="5"/>
      <c r="BH14" s="27">
        <f>1/1.7468</f>
        <v>0.572475383558507</v>
      </c>
      <c r="BI14" s="19">
        <v>175.6</v>
      </c>
      <c r="BJ14" s="5"/>
      <c r="BK14" s="27">
        <f>1/1.7523</f>
        <v>0.5706785367802317</v>
      </c>
      <c r="BL14" s="19">
        <v>176.01</v>
      </c>
      <c r="BM14" s="5"/>
      <c r="BN14" s="27">
        <f aca="true" t="shared" si="0" ref="BN14:BN25">(+C14+F14+I14+L14+O14+R14+U14+X14+AA14+AD14+AG14+AJ14+AM14+AP14+AS14+AV14+AY14+BB14+BE14+BH14+BK14)/21</f>
        <v>0.5710832623578593</v>
      </c>
      <c r="BO14" s="19">
        <f aca="true" t="shared" si="1" ref="BO14:BO25">(+D14+G14+J14+M14+P14+S14+V14+Y14+AB14+AE14+AH14+AK14+AN14+AQ14+AT14+AW14+AZ14+BC14+BF14+BI14+BL14)/21</f>
        <v>177.35095238095238</v>
      </c>
      <c r="BP14" s="9"/>
      <c r="BQ14" s="31"/>
      <c r="BR14" s="32"/>
      <c r="BS14" s="31"/>
      <c r="BT14" s="32"/>
      <c r="BW14" s="9"/>
      <c r="BX14" s="31"/>
      <c r="BY14" s="32"/>
    </row>
    <row r="15" spans="1:77" ht="15.75" customHeight="1">
      <c r="A15" s="16">
        <v>3</v>
      </c>
      <c r="B15" s="17" t="s">
        <v>16</v>
      </c>
      <c r="C15" s="27">
        <v>1.2823</v>
      </c>
      <c r="D15" s="19">
        <v>79.83</v>
      </c>
      <c r="E15" s="5"/>
      <c r="F15" s="27">
        <v>1.2997</v>
      </c>
      <c r="G15" s="19">
        <v>79.31</v>
      </c>
      <c r="H15" s="5"/>
      <c r="I15" s="27">
        <v>1.3035</v>
      </c>
      <c r="J15" s="19">
        <v>79.19</v>
      </c>
      <c r="K15" s="5"/>
      <c r="L15" s="27">
        <v>1.3067</v>
      </c>
      <c r="M15" s="19">
        <v>79.01</v>
      </c>
      <c r="N15" s="5"/>
      <c r="O15" s="27">
        <v>1.2892</v>
      </c>
      <c r="P15" s="19">
        <v>79.69</v>
      </c>
      <c r="Q15" s="5"/>
      <c r="R15" s="27">
        <v>1.3039</v>
      </c>
      <c r="S15" s="19">
        <v>78.98</v>
      </c>
      <c r="T15" s="5"/>
      <c r="U15" s="27">
        <v>1.2955</v>
      </c>
      <c r="V15" s="19">
        <v>78.79</v>
      </c>
      <c r="W15" s="5"/>
      <c r="X15" s="27">
        <v>1.2783</v>
      </c>
      <c r="Y15" s="19">
        <v>78.61</v>
      </c>
      <c r="Z15" s="5"/>
      <c r="AA15" s="27">
        <v>1.2785</v>
      </c>
      <c r="AB15" s="19">
        <v>78.63</v>
      </c>
      <c r="AC15" s="5"/>
      <c r="AD15" s="27">
        <v>1.2882</v>
      </c>
      <c r="AE15" s="19">
        <v>78.77</v>
      </c>
      <c r="AF15" s="5"/>
      <c r="AG15" s="27">
        <v>1.2875</v>
      </c>
      <c r="AH15" s="19">
        <v>78.33</v>
      </c>
      <c r="AI15" s="5"/>
      <c r="AJ15" s="27">
        <v>1.2932</v>
      </c>
      <c r="AK15" s="19">
        <v>77.94</v>
      </c>
      <c r="AL15" s="5"/>
      <c r="AM15" s="27">
        <v>1.304</v>
      </c>
      <c r="AN15" s="19">
        <v>77.4</v>
      </c>
      <c r="AO15" s="5"/>
      <c r="AP15" s="27">
        <v>1.2939</v>
      </c>
      <c r="AQ15" s="19">
        <v>77.54</v>
      </c>
      <c r="AR15" s="5"/>
      <c r="AS15" s="27">
        <v>1.2848</v>
      </c>
      <c r="AT15" s="19">
        <v>77.58</v>
      </c>
      <c r="AU15" s="5"/>
      <c r="AV15" s="27">
        <v>1.2834</v>
      </c>
      <c r="AW15" s="19">
        <v>77.6</v>
      </c>
      <c r="AX15" s="5"/>
      <c r="AY15" s="27">
        <v>1.2942</v>
      </c>
      <c r="AZ15" s="19">
        <v>77.52</v>
      </c>
      <c r="BA15" s="5"/>
      <c r="BB15" s="27">
        <v>1.3013</v>
      </c>
      <c r="BC15" s="19">
        <v>77.18</v>
      </c>
      <c r="BD15" s="5"/>
      <c r="BE15" s="27">
        <v>1.3024</v>
      </c>
      <c r="BF15" s="19">
        <v>77.31</v>
      </c>
      <c r="BG15" s="5"/>
      <c r="BH15" s="27">
        <v>1.294</v>
      </c>
      <c r="BI15" s="19">
        <v>77.69</v>
      </c>
      <c r="BJ15" s="5"/>
      <c r="BK15" s="27">
        <v>1.2911</v>
      </c>
      <c r="BL15" s="19">
        <v>77.8</v>
      </c>
      <c r="BM15" s="5"/>
      <c r="BN15" s="27">
        <f t="shared" si="0"/>
        <v>1.2931238095238096</v>
      </c>
      <c r="BO15" s="19">
        <f t="shared" si="1"/>
        <v>78.31904761904761</v>
      </c>
      <c r="BP15" s="9"/>
      <c r="BQ15" s="31"/>
      <c r="BR15" s="32"/>
      <c r="BS15" s="31"/>
      <c r="BT15" s="32"/>
      <c r="BW15" s="9"/>
      <c r="BX15" s="31"/>
      <c r="BY15" s="32"/>
    </row>
    <row r="16" spans="1:77" ht="15.75" customHeight="1">
      <c r="A16" s="16">
        <v>4</v>
      </c>
      <c r="B16" s="17" t="s">
        <v>17</v>
      </c>
      <c r="C16" s="27">
        <f>1/1.2094</f>
        <v>0.8268562923763849</v>
      </c>
      <c r="D16" s="19">
        <v>123.81</v>
      </c>
      <c r="E16" s="5"/>
      <c r="F16" s="27">
        <f>1/1.192</f>
        <v>0.8389261744966443</v>
      </c>
      <c r="G16" s="19">
        <v>122.88</v>
      </c>
      <c r="H16" s="5"/>
      <c r="I16" s="27">
        <f>1/1.1903</f>
        <v>0.8401243384020836</v>
      </c>
      <c r="J16" s="19">
        <v>122.87</v>
      </c>
      <c r="K16" s="5"/>
      <c r="L16" s="27">
        <f>1/1.1891</f>
        <v>0.8409721638213775</v>
      </c>
      <c r="M16" s="19">
        <v>122.77</v>
      </c>
      <c r="N16" s="5"/>
      <c r="O16" s="27">
        <f>1/1.2014</f>
        <v>0.8323622440486099</v>
      </c>
      <c r="P16" s="19">
        <v>123.43</v>
      </c>
      <c r="Q16" s="5"/>
      <c r="R16" s="27">
        <f>1/1.191</f>
        <v>0.8396305625524769</v>
      </c>
      <c r="S16" s="19">
        <v>122.65</v>
      </c>
      <c r="T16" s="5"/>
      <c r="U16" s="27">
        <f>1/1.2007</f>
        <v>0.8328475056217206</v>
      </c>
      <c r="V16" s="19">
        <v>122.56</v>
      </c>
      <c r="W16" s="5"/>
      <c r="X16" s="27">
        <f>1/1.2176</f>
        <v>0.8212877792378449</v>
      </c>
      <c r="Y16" s="19">
        <v>122.36</v>
      </c>
      <c r="Z16" s="5"/>
      <c r="AA16" s="27">
        <f>1/1.2187</f>
        <v>0.8205464839583163</v>
      </c>
      <c r="AB16" s="19">
        <v>122.52</v>
      </c>
      <c r="AC16" s="5"/>
      <c r="AD16" s="27">
        <f>1/1.2085</f>
        <v>0.8274720728175424</v>
      </c>
      <c r="AE16" s="19">
        <v>122.62</v>
      </c>
      <c r="AF16" s="5"/>
      <c r="AG16" s="27">
        <f>1/1.2111</f>
        <v>0.825695648583932</v>
      </c>
      <c r="AH16" s="19">
        <v>122.13</v>
      </c>
      <c r="AI16" s="5"/>
      <c r="AJ16" s="27">
        <f>1/1.2063</f>
        <v>0.8289811821271658</v>
      </c>
      <c r="AK16" s="19">
        <v>121.58</v>
      </c>
      <c r="AL16" s="5"/>
      <c r="AM16" s="27">
        <f>1/1.1989</f>
        <v>0.8340979230961715</v>
      </c>
      <c r="AN16" s="19">
        <v>121</v>
      </c>
      <c r="AO16" s="5"/>
      <c r="AP16" s="27">
        <f>1/1.208</f>
        <v>0.8278145695364238</v>
      </c>
      <c r="AQ16" s="19">
        <v>121.19</v>
      </c>
      <c r="AR16" s="5"/>
      <c r="AS16" s="27">
        <f>1/1.2157</f>
        <v>0.8225713580653121</v>
      </c>
      <c r="AT16" s="19">
        <v>121.17</v>
      </c>
      <c r="AU16" s="5"/>
      <c r="AV16" s="27">
        <f>1/1.2175</f>
        <v>0.8213552361396304</v>
      </c>
      <c r="AW16" s="19">
        <v>121.26</v>
      </c>
      <c r="AX16" s="5"/>
      <c r="AY16" s="27">
        <f>1/1.2074</f>
        <v>0.8282259400364419</v>
      </c>
      <c r="AZ16" s="19">
        <v>121.14</v>
      </c>
      <c r="BA16" s="5"/>
      <c r="BB16" s="27">
        <f>1/1.2</f>
        <v>0.8333333333333334</v>
      </c>
      <c r="BC16" s="19">
        <v>120.52</v>
      </c>
      <c r="BD16" s="5"/>
      <c r="BE16" s="27">
        <f>1/1.989</f>
        <v>0.5027652086475616</v>
      </c>
      <c r="BF16" s="19">
        <v>120.71</v>
      </c>
      <c r="BG16" s="5"/>
      <c r="BH16" s="27">
        <f>1/1.2077</f>
        <v>0.8280202036929701</v>
      </c>
      <c r="BI16" s="19">
        <v>121.41</v>
      </c>
      <c r="BJ16" s="5"/>
      <c r="BK16" s="27">
        <f>1/1.2077</f>
        <v>0.8280202036929701</v>
      </c>
      <c r="BL16" s="19">
        <v>121.31</v>
      </c>
      <c r="BM16" s="5"/>
      <c r="BN16" s="27">
        <f t="shared" si="0"/>
        <v>0.8143764963945197</v>
      </c>
      <c r="BO16" s="19">
        <f t="shared" si="1"/>
        <v>121.99476190476192</v>
      </c>
      <c r="BP16" s="9"/>
      <c r="BQ16" s="31"/>
      <c r="BR16" s="32"/>
      <c r="BS16" s="31"/>
      <c r="BT16" s="32"/>
      <c r="BW16" s="9"/>
      <c r="BX16" s="31"/>
      <c r="BY16" s="32"/>
    </row>
    <row r="17" spans="1:77" ht="15.75" customHeight="1">
      <c r="A17" s="16">
        <v>5</v>
      </c>
      <c r="B17" s="17" t="s">
        <v>18</v>
      </c>
      <c r="C17" s="27">
        <v>433.75</v>
      </c>
      <c r="D17" s="19">
        <v>44402.99</v>
      </c>
      <c r="E17" s="5"/>
      <c r="F17" s="27">
        <v>427.25</v>
      </c>
      <c r="G17" s="19">
        <v>44042.35</v>
      </c>
      <c r="H17" s="5"/>
      <c r="I17" s="27">
        <v>425.75</v>
      </c>
      <c r="J17" s="19">
        <v>43949.82</v>
      </c>
      <c r="K17" s="5"/>
      <c r="L17" s="27">
        <v>423.8</v>
      </c>
      <c r="M17" s="19">
        <v>43756.29</v>
      </c>
      <c r="N17" s="5"/>
      <c r="O17" s="27">
        <v>428.5</v>
      </c>
      <c r="P17" s="19">
        <v>44022.66</v>
      </c>
      <c r="Q17" s="5"/>
      <c r="R17" s="27">
        <v>423.8</v>
      </c>
      <c r="S17" s="19">
        <v>43642.57</v>
      </c>
      <c r="T17" s="5"/>
      <c r="U17" s="27">
        <v>425</v>
      </c>
      <c r="V17" s="19">
        <v>43382.23</v>
      </c>
      <c r="W17" s="5"/>
      <c r="X17" s="27">
        <v>426.8</v>
      </c>
      <c r="Y17" s="19">
        <v>42889.13</v>
      </c>
      <c r="Z17" s="5"/>
      <c r="AA17" s="27">
        <v>425.3</v>
      </c>
      <c r="AB17" s="19">
        <v>42755.76</v>
      </c>
      <c r="AC17" s="5"/>
      <c r="AD17" s="27">
        <v>422.5</v>
      </c>
      <c r="AE17" s="19">
        <v>42870.02</v>
      </c>
      <c r="AF17" s="5"/>
      <c r="AG17" s="27">
        <v>419.5</v>
      </c>
      <c r="AH17" s="19">
        <v>42304.83</v>
      </c>
      <c r="AI17" s="5"/>
      <c r="AJ17" s="27">
        <v>421.5</v>
      </c>
      <c r="AK17" s="19">
        <v>42483.69</v>
      </c>
      <c r="AL17" s="5"/>
      <c r="AM17" s="27">
        <v>419.6</v>
      </c>
      <c r="AN17" s="19">
        <v>42349.88</v>
      </c>
      <c r="AO17" s="5"/>
      <c r="AP17" s="27">
        <v>420.6</v>
      </c>
      <c r="AQ17" s="19">
        <v>42196.7</v>
      </c>
      <c r="AR17" s="5"/>
      <c r="AS17" s="27">
        <v>423.3</v>
      </c>
      <c r="AT17" s="19">
        <v>42190.31</v>
      </c>
      <c r="AU17" s="5"/>
      <c r="AV17" s="27">
        <v>426.4</v>
      </c>
      <c r="AW17" s="19">
        <v>42468.37</v>
      </c>
      <c r="AX17" s="5"/>
      <c r="AY17" s="27">
        <v>424.7</v>
      </c>
      <c r="AZ17" s="19">
        <v>42610.15</v>
      </c>
      <c r="BA17" s="5"/>
      <c r="BB17" s="27">
        <v>424.25</v>
      </c>
      <c r="BC17" s="19">
        <v>42610.26</v>
      </c>
      <c r="BD17" s="5"/>
      <c r="BE17" s="27">
        <v>422.6</v>
      </c>
      <c r="BF17" s="19">
        <v>42550.54</v>
      </c>
      <c r="BG17" s="5"/>
      <c r="BH17" s="27">
        <v>425.15</v>
      </c>
      <c r="BI17" s="19">
        <v>42739.98</v>
      </c>
      <c r="BJ17" s="5"/>
      <c r="BK17" s="27">
        <v>427.1</v>
      </c>
      <c r="BL17" s="19">
        <v>42900.42</v>
      </c>
      <c r="BM17" s="5"/>
      <c r="BN17" s="27">
        <f t="shared" si="0"/>
        <v>424.6261904761906</v>
      </c>
      <c r="BO17" s="19">
        <f t="shared" si="1"/>
        <v>43005.66428571429</v>
      </c>
      <c r="BP17" s="9"/>
      <c r="BQ17" s="31"/>
      <c r="BR17" s="32"/>
      <c r="BS17" s="31"/>
      <c r="BT17" s="32"/>
      <c r="BW17" s="9"/>
      <c r="BX17" s="31"/>
      <c r="BY17" s="32"/>
    </row>
    <row r="18" spans="1:77" ht="15.75" customHeight="1">
      <c r="A18" s="16">
        <v>6</v>
      </c>
      <c r="B18" s="20" t="s">
        <v>19</v>
      </c>
      <c r="C18" s="27">
        <v>7</v>
      </c>
      <c r="D18" s="19">
        <v>716.59</v>
      </c>
      <c r="E18" s="5"/>
      <c r="F18" s="27">
        <v>6.87</v>
      </c>
      <c r="G18" s="19">
        <v>708.18</v>
      </c>
      <c r="H18" s="5"/>
      <c r="I18" s="27">
        <v>6.89</v>
      </c>
      <c r="J18" s="19">
        <v>711.25</v>
      </c>
      <c r="K18" s="5"/>
      <c r="L18" s="27">
        <v>6.87</v>
      </c>
      <c r="M18" s="19">
        <v>709.31</v>
      </c>
      <c r="N18" s="5"/>
      <c r="O18" s="27">
        <v>7.02</v>
      </c>
      <c r="P18" s="19">
        <v>721.21</v>
      </c>
      <c r="Q18" s="5"/>
      <c r="R18" s="27">
        <v>6.95</v>
      </c>
      <c r="S18" s="19">
        <v>715.71</v>
      </c>
      <c r="T18" s="5"/>
      <c r="U18" s="27">
        <v>7.03</v>
      </c>
      <c r="V18" s="19">
        <v>717.59</v>
      </c>
      <c r="W18" s="5"/>
      <c r="X18" s="27">
        <v>7.1</v>
      </c>
      <c r="Y18" s="19">
        <v>713.48</v>
      </c>
      <c r="Z18" s="5"/>
      <c r="AA18" s="27">
        <v>7.03</v>
      </c>
      <c r="AB18" s="19">
        <v>706.73</v>
      </c>
      <c r="AC18" s="5"/>
      <c r="AD18" s="27">
        <v>6.97</v>
      </c>
      <c r="AE18" s="19">
        <v>707.23</v>
      </c>
      <c r="AF18" s="5"/>
      <c r="AG18" s="27">
        <v>6.98</v>
      </c>
      <c r="AH18" s="19">
        <v>703.9</v>
      </c>
      <c r="AI18" s="5"/>
      <c r="AJ18" s="27">
        <v>6.99</v>
      </c>
      <c r="AK18" s="19">
        <v>704.53</v>
      </c>
      <c r="AL18" s="5"/>
      <c r="AM18" s="27">
        <v>6.94</v>
      </c>
      <c r="AN18" s="19">
        <v>700.45</v>
      </c>
      <c r="AO18" s="5"/>
      <c r="AP18" s="27">
        <v>6.95</v>
      </c>
      <c r="AQ18" s="19">
        <v>697.26</v>
      </c>
      <c r="AR18" s="5"/>
      <c r="AS18" s="27">
        <v>7.09</v>
      </c>
      <c r="AT18" s="19">
        <v>706.66</v>
      </c>
      <c r="AU18" s="5"/>
      <c r="AV18" s="27">
        <v>7.12</v>
      </c>
      <c r="AW18" s="19">
        <v>709.13</v>
      </c>
      <c r="AX18" s="5"/>
      <c r="AY18" s="27">
        <v>7.105</v>
      </c>
      <c r="AZ18" s="19">
        <v>712.84</v>
      </c>
      <c r="BA18" s="5"/>
      <c r="BB18" s="27">
        <v>7.07</v>
      </c>
      <c r="BC18" s="19">
        <v>710.09</v>
      </c>
      <c r="BD18" s="5"/>
      <c r="BE18" s="27">
        <v>6.97</v>
      </c>
      <c r="BF18" s="19">
        <v>701.79</v>
      </c>
      <c r="BG18" s="5"/>
      <c r="BH18" s="27">
        <v>7.04</v>
      </c>
      <c r="BI18" s="19">
        <v>707.73</v>
      </c>
      <c r="BJ18" s="5"/>
      <c r="BK18" s="27">
        <v>7.12</v>
      </c>
      <c r="BL18" s="19">
        <v>715.17</v>
      </c>
      <c r="BM18" s="5"/>
      <c r="BN18" s="27">
        <f t="shared" si="0"/>
        <v>7.005000000000001</v>
      </c>
      <c r="BO18" s="19">
        <f t="shared" si="1"/>
        <v>709.3728571428571</v>
      </c>
      <c r="BP18" s="9"/>
      <c r="BQ18" s="31"/>
      <c r="BR18" s="32"/>
      <c r="BS18" s="31"/>
      <c r="BT18" s="32"/>
      <c r="BW18" s="9"/>
      <c r="BX18" s="31"/>
      <c r="BY18" s="32"/>
    </row>
    <row r="19" spans="1:77" ht="15.75" customHeight="1">
      <c r="A19" s="16">
        <v>7</v>
      </c>
      <c r="B19" s="17" t="s">
        <v>20</v>
      </c>
      <c r="C19" s="27">
        <f>1/0.7591</f>
        <v>1.3173494928204452</v>
      </c>
      <c r="D19" s="19">
        <v>77.71</v>
      </c>
      <c r="E19" s="5"/>
      <c r="F19" s="27">
        <f>1/0.751</f>
        <v>1.3315579227696406</v>
      </c>
      <c r="G19" s="19">
        <v>77.42</v>
      </c>
      <c r="H19" s="5"/>
      <c r="I19" s="27">
        <f>1/0.7432</f>
        <v>1.3455328310010766</v>
      </c>
      <c r="J19" s="19">
        <v>76.72</v>
      </c>
      <c r="K19" s="5"/>
      <c r="L19" s="27">
        <f>1/0.7411</f>
        <v>1.3493455673998112</v>
      </c>
      <c r="M19" s="19">
        <v>76.52</v>
      </c>
      <c r="N19" s="5"/>
      <c r="O19" s="27">
        <f>1/0.7441</f>
        <v>1.34390538906061</v>
      </c>
      <c r="P19" s="19">
        <v>76.45</v>
      </c>
      <c r="Q19" s="5"/>
      <c r="R19" s="27">
        <f>1/0.7395</f>
        <v>1.352265043948614</v>
      </c>
      <c r="S19" s="19">
        <v>76.15</v>
      </c>
      <c r="T19" s="5"/>
      <c r="U19" s="27">
        <f>1/0.7438</f>
        <v>1.3444474321054047</v>
      </c>
      <c r="V19" s="19">
        <v>75.92</v>
      </c>
      <c r="W19" s="5"/>
      <c r="X19" s="27">
        <f>1/0.7533</f>
        <v>1.3274923669188903</v>
      </c>
      <c r="Y19" s="19">
        <v>75.7</v>
      </c>
      <c r="Z19" s="5"/>
      <c r="AA19" s="27">
        <f>1/0.7521</f>
        <v>1.3296104241457254</v>
      </c>
      <c r="AB19" s="19">
        <v>75.61</v>
      </c>
      <c r="AC19" s="5"/>
      <c r="AD19" s="27">
        <f>1/0.7516</f>
        <v>1.3304949441192122</v>
      </c>
      <c r="AE19" s="19">
        <v>76.26</v>
      </c>
      <c r="AF19" s="5"/>
      <c r="AG19" s="27">
        <f>1/0.752</f>
        <v>1.3297872340425532</v>
      </c>
      <c r="AH19" s="19">
        <v>75.84</v>
      </c>
      <c r="AI19" s="5"/>
      <c r="AJ19" s="27">
        <f>1/0.7483</f>
        <v>1.3363624214887078</v>
      </c>
      <c r="AK19" s="19">
        <v>75.42</v>
      </c>
      <c r="AL19" s="5"/>
      <c r="AM19" s="27">
        <f>1/0.7495</f>
        <v>1.33422281521014</v>
      </c>
      <c r="AN19" s="19">
        <v>75.65</v>
      </c>
      <c r="AO19" s="5"/>
      <c r="AP19" s="27">
        <f>1/0.7537</f>
        <v>1.326787846623325</v>
      </c>
      <c r="AQ19" s="19">
        <v>75.61</v>
      </c>
      <c r="AR19" s="5"/>
      <c r="AS19" s="27">
        <f>1/0.7609</f>
        <v>1.3142331449599158</v>
      </c>
      <c r="AT19" s="19">
        <v>75.84</v>
      </c>
      <c r="AU19" s="5"/>
      <c r="AV19" s="27">
        <f>1/0.7672</f>
        <v>1.3034410844629822</v>
      </c>
      <c r="AW19" s="19">
        <v>76.41</v>
      </c>
      <c r="AX19" s="5"/>
      <c r="AY19" s="27">
        <f>1/0.7608</f>
        <v>1.3144058885383807</v>
      </c>
      <c r="AZ19" s="19">
        <v>76.33</v>
      </c>
      <c r="BA19" s="5"/>
      <c r="BB19" s="27">
        <f>1/0.7584</f>
        <v>1.3185654008438819</v>
      </c>
      <c r="BC19" s="19">
        <v>76.17</v>
      </c>
      <c r="BD19" s="5"/>
      <c r="BE19" s="27">
        <f>1/0.7532</f>
        <v>1.327668613913967</v>
      </c>
      <c r="BF19" s="19">
        <v>75.84</v>
      </c>
      <c r="BG19" s="5"/>
      <c r="BH19" s="27">
        <f>1/0.7543</f>
        <v>1.3257324671881214</v>
      </c>
      <c r="BI19" s="19">
        <v>75.83</v>
      </c>
      <c r="BJ19" s="18"/>
      <c r="BK19" s="27">
        <f>1/0.7593</f>
        <v>1.3170025023047545</v>
      </c>
      <c r="BL19" s="19">
        <v>76.27</v>
      </c>
      <c r="BM19" s="18"/>
      <c r="BN19" s="27">
        <f t="shared" si="0"/>
        <v>1.3295338492317217</v>
      </c>
      <c r="BO19" s="19">
        <f t="shared" si="1"/>
        <v>76.1747619047619</v>
      </c>
      <c r="BP19" s="24"/>
      <c r="BQ19" s="31"/>
      <c r="BR19" s="32"/>
      <c r="BS19" s="31"/>
      <c r="BT19" s="32"/>
      <c r="BW19" s="24"/>
      <c r="BX19" s="31"/>
      <c r="BY19" s="32"/>
    </row>
    <row r="20" spans="1:77" ht="15.75" customHeight="1">
      <c r="A20" s="16">
        <v>8</v>
      </c>
      <c r="B20" s="17" t="s">
        <v>21</v>
      </c>
      <c r="C20" s="27">
        <v>1.2294</v>
      </c>
      <c r="D20" s="19">
        <v>83.27</v>
      </c>
      <c r="E20" s="5"/>
      <c r="F20" s="27">
        <v>1.2443</v>
      </c>
      <c r="G20" s="19">
        <v>82.84</v>
      </c>
      <c r="H20" s="5"/>
      <c r="I20" s="27">
        <v>1.2403</v>
      </c>
      <c r="J20" s="19">
        <v>83.23</v>
      </c>
      <c r="K20" s="5"/>
      <c r="L20" s="27">
        <v>1.2436</v>
      </c>
      <c r="M20" s="19">
        <v>83.02</v>
      </c>
      <c r="N20" s="5"/>
      <c r="O20" s="27">
        <v>1.2329</v>
      </c>
      <c r="P20" s="19">
        <v>83.33</v>
      </c>
      <c r="Q20" s="5"/>
      <c r="R20" s="27">
        <v>1.2295</v>
      </c>
      <c r="S20" s="19">
        <v>83.76</v>
      </c>
      <c r="T20" s="5"/>
      <c r="U20" s="27">
        <v>1.2136</v>
      </c>
      <c r="V20" s="19">
        <v>84.11</v>
      </c>
      <c r="W20" s="5"/>
      <c r="X20" s="27">
        <v>1.2106</v>
      </c>
      <c r="Y20" s="19">
        <v>83.01</v>
      </c>
      <c r="Z20" s="5"/>
      <c r="AA20" s="27">
        <v>1.2046</v>
      </c>
      <c r="AB20" s="19">
        <v>83.46</v>
      </c>
      <c r="AC20" s="5"/>
      <c r="AD20" s="27">
        <v>1.2047</v>
      </c>
      <c r="AE20" s="19">
        <v>84.23</v>
      </c>
      <c r="AF20" s="5"/>
      <c r="AG20" s="27">
        <v>1.2125</v>
      </c>
      <c r="AH20" s="19">
        <v>83.17</v>
      </c>
      <c r="AI20" s="5"/>
      <c r="AJ20" s="27">
        <v>1.2214</v>
      </c>
      <c r="AK20" s="19">
        <v>82.52</v>
      </c>
      <c r="AL20" s="5"/>
      <c r="AM20" s="27">
        <v>1.2208</v>
      </c>
      <c r="AN20" s="19">
        <v>82.67</v>
      </c>
      <c r="AO20" s="5"/>
      <c r="AP20" s="27">
        <v>1.2148</v>
      </c>
      <c r="AQ20" s="19">
        <v>82.59</v>
      </c>
      <c r="AR20" s="5"/>
      <c r="AS20" s="27">
        <v>1.2172</v>
      </c>
      <c r="AT20" s="19">
        <v>81.88</v>
      </c>
      <c r="AU20" s="5"/>
      <c r="AV20" s="27">
        <v>1.2143</v>
      </c>
      <c r="AW20" s="19">
        <v>82.02</v>
      </c>
      <c r="AX20" s="5"/>
      <c r="AY20" s="27">
        <v>1.2175</v>
      </c>
      <c r="AZ20" s="19">
        <v>82.41</v>
      </c>
      <c r="BA20" s="5"/>
      <c r="BB20" s="27">
        <v>1.2218</v>
      </c>
      <c r="BC20" s="19">
        <v>82.2</v>
      </c>
      <c r="BD20" s="5"/>
      <c r="BE20" s="27">
        <v>1.2328</v>
      </c>
      <c r="BF20" s="19">
        <v>81.67</v>
      </c>
      <c r="BG20" s="5"/>
      <c r="BH20" s="27">
        <v>1.2367</v>
      </c>
      <c r="BI20" s="19">
        <v>81.29</v>
      </c>
      <c r="BJ20" s="5"/>
      <c r="BK20" s="27">
        <v>1.2297</v>
      </c>
      <c r="BL20" s="19">
        <v>81.68</v>
      </c>
      <c r="BM20" s="5"/>
      <c r="BN20" s="27">
        <f t="shared" si="0"/>
        <v>1.2234761904761908</v>
      </c>
      <c r="BO20" s="19">
        <f t="shared" si="1"/>
        <v>82.77904761904762</v>
      </c>
      <c r="BP20" s="9"/>
      <c r="BQ20" s="31"/>
      <c r="BR20" s="32"/>
      <c r="BS20" s="31"/>
      <c r="BT20" s="32"/>
      <c r="BW20" s="9"/>
      <c r="BX20" s="31"/>
      <c r="BY20" s="32"/>
    </row>
    <row r="21" spans="1:77" ht="15.75" customHeight="1">
      <c r="A21" s="16">
        <v>9</v>
      </c>
      <c r="B21" s="17" t="s">
        <v>22</v>
      </c>
      <c r="C21" s="27">
        <v>7.8283</v>
      </c>
      <c r="D21" s="19">
        <v>13.08</v>
      </c>
      <c r="E21" s="5"/>
      <c r="F21" s="27">
        <v>7.9508</v>
      </c>
      <c r="G21" s="19">
        <v>12.97</v>
      </c>
      <c r="H21" s="5"/>
      <c r="I21" s="27">
        <v>7.9281</v>
      </c>
      <c r="J21" s="19">
        <v>13.02</v>
      </c>
      <c r="K21" s="5"/>
      <c r="L21" s="27">
        <v>7.8876</v>
      </c>
      <c r="M21" s="19">
        <v>13.09</v>
      </c>
      <c r="N21" s="5"/>
      <c r="O21" s="27">
        <v>7.8388</v>
      </c>
      <c r="P21" s="19">
        <v>13.11</v>
      </c>
      <c r="Q21" s="5"/>
      <c r="R21" s="27">
        <v>7.9054</v>
      </c>
      <c r="S21" s="19">
        <v>13.03</v>
      </c>
      <c r="T21" s="5"/>
      <c r="U21" s="27">
        <v>7.8806</v>
      </c>
      <c r="V21" s="19">
        <v>12.95</v>
      </c>
      <c r="W21" s="5"/>
      <c r="X21" s="27">
        <v>7.762</v>
      </c>
      <c r="Y21" s="19">
        <v>12.95</v>
      </c>
      <c r="Z21" s="5"/>
      <c r="AA21" s="27">
        <v>7.6917</v>
      </c>
      <c r="AB21" s="19">
        <v>13.07</v>
      </c>
      <c r="AC21" s="5"/>
      <c r="AD21" s="27">
        <v>7.7496</v>
      </c>
      <c r="AE21" s="19">
        <v>13.09</v>
      </c>
      <c r="AF21" s="5"/>
      <c r="AG21" s="27">
        <v>7.758</v>
      </c>
      <c r="AH21" s="19">
        <v>13</v>
      </c>
      <c r="AI21" s="5"/>
      <c r="AJ21" s="27">
        <v>7.7732</v>
      </c>
      <c r="AK21" s="19">
        <v>12.97</v>
      </c>
      <c r="AL21" s="5"/>
      <c r="AM21" s="27">
        <v>7.8595</v>
      </c>
      <c r="AN21" s="19">
        <v>12.84</v>
      </c>
      <c r="AO21" s="5"/>
      <c r="AP21" s="27">
        <v>7.791</v>
      </c>
      <c r="AQ21" s="19">
        <v>12.88</v>
      </c>
      <c r="AR21" s="5"/>
      <c r="AS21" s="27">
        <v>7.7888</v>
      </c>
      <c r="AT21" s="19">
        <v>12.8</v>
      </c>
      <c r="AU21" s="5"/>
      <c r="AV21" s="27">
        <v>7.7751</v>
      </c>
      <c r="AW21" s="19">
        <v>12.81</v>
      </c>
      <c r="AX21" s="5"/>
      <c r="AY21" s="27">
        <v>7.7955</v>
      </c>
      <c r="AZ21" s="19">
        <v>12.87</v>
      </c>
      <c r="BA21" s="5"/>
      <c r="BB21" s="27">
        <v>7.8536</v>
      </c>
      <c r="BC21" s="19">
        <v>12.79</v>
      </c>
      <c r="BD21" s="5"/>
      <c r="BE21" s="27">
        <v>7.8711</v>
      </c>
      <c r="BF21" s="19">
        <v>12.79</v>
      </c>
      <c r="BG21" s="5"/>
      <c r="BH21" s="27">
        <v>7.7763</v>
      </c>
      <c r="BI21" s="19">
        <v>12.93</v>
      </c>
      <c r="BJ21" s="5"/>
      <c r="BK21" s="27">
        <v>7.7822</v>
      </c>
      <c r="BL21" s="19">
        <v>12.91</v>
      </c>
      <c r="BM21" s="5"/>
      <c r="BN21" s="27">
        <f t="shared" si="0"/>
        <v>7.821295238095236</v>
      </c>
      <c r="BO21" s="19">
        <f t="shared" si="1"/>
        <v>12.950000000000003</v>
      </c>
      <c r="BP21" s="9"/>
      <c r="BQ21" s="31"/>
      <c r="BR21" s="32"/>
      <c r="BS21" s="31"/>
      <c r="BT21" s="32"/>
      <c r="BW21" s="9"/>
      <c r="BX21" s="31"/>
      <c r="BY21" s="32"/>
    </row>
    <row r="22" spans="1:77" ht="15.75" customHeight="1">
      <c r="A22" s="16">
        <v>10</v>
      </c>
      <c r="B22" s="17" t="s">
        <v>23</v>
      </c>
      <c r="C22" s="27">
        <v>6.5028</v>
      </c>
      <c r="D22" s="19">
        <v>15.74</v>
      </c>
      <c r="E22" s="5"/>
      <c r="F22" s="27">
        <v>6.6089</v>
      </c>
      <c r="G22" s="19">
        <v>15.6</v>
      </c>
      <c r="H22" s="5"/>
      <c r="I22" s="27">
        <v>6.6338</v>
      </c>
      <c r="J22" s="19">
        <v>15.56</v>
      </c>
      <c r="K22" s="5"/>
      <c r="L22" s="27">
        <v>6.6612</v>
      </c>
      <c r="M22" s="19">
        <v>15.5</v>
      </c>
      <c r="N22" s="5"/>
      <c r="O22" s="27">
        <v>6.5768</v>
      </c>
      <c r="P22" s="19">
        <v>15.62</v>
      </c>
      <c r="Q22" s="5"/>
      <c r="R22" s="27">
        <v>6.6122</v>
      </c>
      <c r="S22" s="19">
        <v>15.57</v>
      </c>
      <c r="T22" s="5"/>
      <c r="U22" s="27">
        <v>6.5871</v>
      </c>
      <c r="V22" s="19">
        <v>15.5</v>
      </c>
      <c r="W22" s="5"/>
      <c r="X22" s="27">
        <v>6.4876</v>
      </c>
      <c r="Y22" s="19">
        <v>15.49</v>
      </c>
      <c r="Z22" s="5"/>
      <c r="AA22" s="27">
        <v>6.47</v>
      </c>
      <c r="AB22" s="19">
        <v>15.54</v>
      </c>
      <c r="AC22" s="5"/>
      <c r="AD22" s="27">
        <v>6.5374</v>
      </c>
      <c r="AE22" s="19">
        <v>15.52</v>
      </c>
      <c r="AF22" s="5"/>
      <c r="AG22" s="27">
        <v>6.5844</v>
      </c>
      <c r="AH22" s="19">
        <v>15.32</v>
      </c>
      <c r="AI22" s="5"/>
      <c r="AJ22" s="27">
        <v>6.5815</v>
      </c>
      <c r="AK22" s="19">
        <v>15.31</v>
      </c>
      <c r="AL22" s="5"/>
      <c r="AM22" s="27">
        <v>6.6921</v>
      </c>
      <c r="AN22" s="19">
        <v>15.08</v>
      </c>
      <c r="AO22" s="5"/>
      <c r="AP22" s="27">
        <v>6.5949</v>
      </c>
      <c r="AQ22" s="19">
        <v>15.21</v>
      </c>
      <c r="AR22" s="5"/>
      <c r="AS22" s="27">
        <v>6.558</v>
      </c>
      <c r="AT22" s="19">
        <v>15.2</v>
      </c>
      <c r="AU22" s="5"/>
      <c r="AV22" s="27">
        <v>6.5407</v>
      </c>
      <c r="AW22" s="19">
        <v>15.23</v>
      </c>
      <c r="AX22" s="5"/>
      <c r="AY22" s="27">
        <v>6.562</v>
      </c>
      <c r="AZ22" s="19">
        <v>15.29</v>
      </c>
      <c r="BA22" s="5"/>
      <c r="BB22" s="27">
        <v>6.579</v>
      </c>
      <c r="BC22" s="19">
        <v>15.27</v>
      </c>
      <c r="BD22" s="5"/>
      <c r="BE22" s="27">
        <v>6.5914</v>
      </c>
      <c r="BF22" s="19">
        <v>15.28</v>
      </c>
      <c r="BG22" s="5"/>
      <c r="BH22" s="27">
        <v>6.537</v>
      </c>
      <c r="BI22" s="19">
        <v>15.38</v>
      </c>
      <c r="BJ22" s="5"/>
      <c r="BK22" s="27">
        <v>6.539</v>
      </c>
      <c r="BL22" s="19">
        <v>15.36</v>
      </c>
      <c r="BM22" s="5"/>
      <c r="BN22" s="27">
        <f t="shared" si="0"/>
        <v>6.573228571428571</v>
      </c>
      <c r="BO22" s="19">
        <f t="shared" si="1"/>
        <v>15.408095238095237</v>
      </c>
      <c r="BP22" s="9"/>
      <c r="BQ22" s="31"/>
      <c r="BR22" s="32"/>
      <c r="BS22" s="31"/>
      <c r="BT22" s="32"/>
      <c r="BW22" s="9"/>
      <c r="BX22" s="31"/>
      <c r="BY22" s="32"/>
    </row>
    <row r="23" spans="1:77" ht="15.75" customHeight="1">
      <c r="A23" s="16">
        <v>11</v>
      </c>
      <c r="B23" s="17" t="s">
        <v>24</v>
      </c>
      <c r="C23" s="27">
        <v>6.1606</v>
      </c>
      <c r="D23" s="19">
        <v>16.62</v>
      </c>
      <c r="E23" s="5"/>
      <c r="F23" s="27">
        <v>6.2502</v>
      </c>
      <c r="G23" s="19">
        <v>16.49</v>
      </c>
      <c r="H23" s="5"/>
      <c r="I23" s="27">
        <v>6.26</v>
      </c>
      <c r="J23" s="19">
        <v>16.49</v>
      </c>
      <c r="K23" s="5"/>
      <c r="L23" s="27">
        <v>6.2664</v>
      </c>
      <c r="M23" s="19">
        <v>16.48</v>
      </c>
      <c r="N23" s="5"/>
      <c r="O23" s="27">
        <v>6.2029</v>
      </c>
      <c r="P23" s="19">
        <v>16.56</v>
      </c>
      <c r="Q23" s="5"/>
      <c r="R23" s="27">
        <v>6.2586</v>
      </c>
      <c r="S23" s="19">
        <v>16.45</v>
      </c>
      <c r="T23" s="5"/>
      <c r="U23" s="27">
        <v>6.2073</v>
      </c>
      <c r="V23" s="19">
        <v>16.44</v>
      </c>
      <c r="W23" s="5"/>
      <c r="X23" s="27">
        <v>6.1231</v>
      </c>
      <c r="Y23" s="19">
        <v>16.41</v>
      </c>
      <c r="Z23" s="5"/>
      <c r="AA23" s="27">
        <v>6.1195</v>
      </c>
      <c r="AB23" s="19">
        <v>16.43</v>
      </c>
      <c r="AC23" s="5"/>
      <c r="AD23" s="27">
        <v>6.1697</v>
      </c>
      <c r="AE23" s="19">
        <v>16.45</v>
      </c>
      <c r="AF23" s="5"/>
      <c r="AG23" s="27">
        <v>6.1577</v>
      </c>
      <c r="AH23" s="19">
        <v>16.38</v>
      </c>
      <c r="AI23" s="5"/>
      <c r="AJ23" s="27">
        <v>6.1827</v>
      </c>
      <c r="AK23" s="19">
        <v>16.3</v>
      </c>
      <c r="AL23" s="5"/>
      <c r="AM23" s="27">
        <v>6.2225</v>
      </c>
      <c r="AN23" s="19">
        <v>16.22</v>
      </c>
      <c r="AO23" s="5"/>
      <c r="AP23" s="27">
        <v>6.175</v>
      </c>
      <c r="AQ23" s="19">
        <v>16.25</v>
      </c>
      <c r="AR23" s="5"/>
      <c r="AS23" s="27">
        <v>6.1376</v>
      </c>
      <c r="AT23" s="19">
        <v>16.24</v>
      </c>
      <c r="AU23" s="5"/>
      <c r="AV23" s="27">
        <v>6.126</v>
      </c>
      <c r="AW23" s="19">
        <v>16.26</v>
      </c>
      <c r="AX23" s="5"/>
      <c r="AY23" s="27">
        <v>6.1785</v>
      </c>
      <c r="AZ23" s="19">
        <v>16.24</v>
      </c>
      <c r="BA23" s="5"/>
      <c r="BB23" s="27">
        <v>6.2151</v>
      </c>
      <c r="BC23" s="19">
        <v>16.16</v>
      </c>
      <c r="BD23" s="5"/>
      <c r="BE23" s="27">
        <v>6.222</v>
      </c>
      <c r="BF23" s="19">
        <v>16.18</v>
      </c>
      <c r="BG23" s="5"/>
      <c r="BH23" s="27">
        <v>6.1742</v>
      </c>
      <c r="BI23" s="19">
        <v>16.28</v>
      </c>
      <c r="BJ23" s="5"/>
      <c r="BK23" s="27">
        <v>6.1761</v>
      </c>
      <c r="BL23" s="19">
        <v>16.26</v>
      </c>
      <c r="BM23" s="5"/>
      <c r="BN23" s="27">
        <f t="shared" si="0"/>
        <v>6.189795238095237</v>
      </c>
      <c r="BO23" s="19">
        <f t="shared" si="1"/>
        <v>16.361428571428572</v>
      </c>
      <c r="BP23" s="9"/>
      <c r="BQ23" s="31"/>
      <c r="BR23" s="32"/>
      <c r="BS23" s="31"/>
      <c r="BT23" s="32"/>
      <c r="BW23" s="9"/>
      <c r="BX23" s="31"/>
      <c r="BY23" s="32"/>
    </row>
    <row r="24" spans="1:77" ht="15.75" customHeight="1">
      <c r="A24" s="16">
        <v>12</v>
      </c>
      <c r="B24" s="17" t="s">
        <v>25</v>
      </c>
      <c r="C24" s="27">
        <f>1/1.45661</f>
        <v>0.6865255627793301</v>
      </c>
      <c r="D24" s="19">
        <v>149.11</v>
      </c>
      <c r="E24" s="5"/>
      <c r="F24" s="27">
        <f>1/1.45623</f>
        <v>0.6867047101076067</v>
      </c>
      <c r="G24" s="19">
        <v>150.11</v>
      </c>
      <c r="H24" s="5"/>
      <c r="I24" s="27">
        <f>1/1.45623</f>
        <v>0.6867047101076067</v>
      </c>
      <c r="J24" s="19">
        <v>150.33</v>
      </c>
      <c r="K24" s="5"/>
      <c r="L24" s="27">
        <f>1/1.44403</f>
        <v>0.6925063883714327</v>
      </c>
      <c r="M24" s="19">
        <v>149.09</v>
      </c>
      <c r="N24" s="5"/>
      <c r="O24" s="27">
        <f>1/1.44451</f>
        <v>0.6922762736152744</v>
      </c>
      <c r="P24" s="19">
        <v>148.4</v>
      </c>
      <c r="Q24" s="5"/>
      <c r="R24" s="27">
        <f>1/1.44784</f>
        <v>0.6906840534865731</v>
      </c>
      <c r="S24" s="19">
        <v>149.1</v>
      </c>
      <c r="T24" s="5"/>
      <c r="U24" s="27">
        <f>1/1.44197</f>
        <v>0.693495703794115</v>
      </c>
      <c r="V24" s="19">
        <v>147.19</v>
      </c>
      <c r="W24" s="5"/>
      <c r="X24" s="27">
        <f>1/1.44727</f>
        <v>0.6909560759222536</v>
      </c>
      <c r="Y24" s="19">
        <v>145.44</v>
      </c>
      <c r="Z24" s="5"/>
      <c r="AA24" s="27">
        <f>1/1.45834</f>
        <v>0.6857111510347381</v>
      </c>
      <c r="AB24" s="19">
        <v>146.61</v>
      </c>
      <c r="AC24" s="5"/>
      <c r="AD24" s="27">
        <f>1/1.45816</f>
        <v>0.6857957974433533</v>
      </c>
      <c r="AE24" s="19">
        <v>147.96</v>
      </c>
      <c r="AF24" s="5"/>
      <c r="AG24" s="27">
        <f>1/1.45149</f>
        <v>0.6889472197534947</v>
      </c>
      <c r="AH24" s="19">
        <v>146.38</v>
      </c>
      <c r="AI24" s="5"/>
      <c r="AJ24" s="27">
        <f>1/1.45281</f>
        <v>0.688321253295338</v>
      </c>
      <c r="AK24" s="19">
        <v>146.43</v>
      </c>
      <c r="AL24" s="5"/>
      <c r="AM24" s="27">
        <f>1/1.44927</f>
        <v>0.6900025530094461</v>
      </c>
      <c r="AN24" s="19">
        <v>146.27</v>
      </c>
      <c r="AO24" s="5"/>
      <c r="AP24" s="27">
        <f>1/1.44444</f>
        <v>0.6923098224917615</v>
      </c>
      <c r="AQ24" s="19">
        <v>144.91</v>
      </c>
      <c r="AR24" s="5"/>
      <c r="AS24" s="27">
        <f>1/1.44866</f>
        <v>0.6902930984496016</v>
      </c>
      <c r="AT24" s="19">
        <v>144.39</v>
      </c>
      <c r="AU24" s="5"/>
      <c r="AV24" s="27">
        <f>1/1.45315</f>
        <v>0.6881602036954203</v>
      </c>
      <c r="AW24" s="19">
        <v>144.73</v>
      </c>
      <c r="AX24" s="5"/>
      <c r="AY24" s="27">
        <f>1/1.45553</f>
        <v>0.6870349632092777</v>
      </c>
      <c r="AZ24" s="19">
        <v>146.03</v>
      </c>
      <c r="BA24" s="5"/>
      <c r="BB24" s="27">
        <f>1/1.44999</f>
        <v>0.6896599286891634</v>
      </c>
      <c r="BC24" s="19">
        <v>145.63</v>
      </c>
      <c r="BD24" s="5"/>
      <c r="BE24" s="27">
        <f>1/1.44709</f>
        <v>0.6910420222653739</v>
      </c>
      <c r="BF24" s="19">
        <v>145.7</v>
      </c>
      <c r="BG24" s="5"/>
      <c r="BH24" s="27">
        <f>1/1.44534</f>
        <v>0.6918787274966444</v>
      </c>
      <c r="BI24" s="19">
        <v>145.3</v>
      </c>
      <c r="BJ24" s="5"/>
      <c r="BK24" s="27">
        <f>1/1.45011</f>
        <v>0.6896028577142423</v>
      </c>
      <c r="BL24" s="19">
        <v>145.66</v>
      </c>
      <c r="BM24" s="5"/>
      <c r="BN24" s="27">
        <f t="shared" si="0"/>
        <v>0.6894577655586689</v>
      </c>
      <c r="BO24" s="19">
        <f t="shared" si="1"/>
        <v>146.89380952380955</v>
      </c>
      <c r="BP24" s="9"/>
      <c r="BQ24" s="31"/>
      <c r="BR24" s="32"/>
      <c r="BS24" s="31"/>
      <c r="BT24" s="32"/>
      <c r="BW24" s="9"/>
      <c r="BX24" s="31"/>
      <c r="BY24" s="32"/>
    </row>
    <row r="25" spans="1:77" ht="15.75" customHeight="1" thickBot="1">
      <c r="A25" s="35">
        <v>13</v>
      </c>
      <c r="B25" s="36" t="s">
        <v>26</v>
      </c>
      <c r="C25" s="28">
        <v>1</v>
      </c>
      <c r="D25" s="22">
        <v>102.37</v>
      </c>
      <c r="E25" s="21"/>
      <c r="F25" s="28">
        <v>1</v>
      </c>
      <c r="G25" s="22">
        <v>103.08</v>
      </c>
      <c r="H25" s="21"/>
      <c r="I25" s="28">
        <v>1</v>
      </c>
      <c r="J25" s="22">
        <v>103.23</v>
      </c>
      <c r="K25" s="21"/>
      <c r="L25" s="28">
        <v>1</v>
      </c>
      <c r="M25" s="22">
        <v>103.25</v>
      </c>
      <c r="N25" s="21"/>
      <c r="O25" s="28">
        <v>1</v>
      </c>
      <c r="P25" s="22">
        <v>102.74</v>
      </c>
      <c r="Q25" s="21"/>
      <c r="R25" s="28">
        <v>1</v>
      </c>
      <c r="S25" s="22">
        <v>102.98</v>
      </c>
      <c r="T25" s="21"/>
      <c r="U25" s="28">
        <v>1</v>
      </c>
      <c r="V25" s="22">
        <v>102.08</v>
      </c>
      <c r="W25" s="21"/>
      <c r="X25" s="28">
        <v>1</v>
      </c>
      <c r="Y25" s="22">
        <v>100.49</v>
      </c>
      <c r="Z25" s="21"/>
      <c r="AA25" s="28">
        <v>1</v>
      </c>
      <c r="AB25" s="22">
        <v>100.53</v>
      </c>
      <c r="AC25" s="21"/>
      <c r="AD25" s="28">
        <v>1</v>
      </c>
      <c r="AE25" s="22">
        <v>101.47</v>
      </c>
      <c r="AF25" s="21"/>
      <c r="AG25" s="28">
        <v>1</v>
      </c>
      <c r="AH25" s="22">
        <v>100.85</v>
      </c>
      <c r="AI25" s="21"/>
      <c r="AJ25" s="28">
        <v>1</v>
      </c>
      <c r="AK25" s="22">
        <v>100.79</v>
      </c>
      <c r="AL25" s="21"/>
      <c r="AM25" s="28">
        <v>1</v>
      </c>
      <c r="AN25" s="22">
        <v>100.93</v>
      </c>
      <c r="AO25" s="21"/>
      <c r="AP25" s="28">
        <v>1</v>
      </c>
      <c r="AQ25" s="22">
        <v>100.33</v>
      </c>
      <c r="AR25" s="21"/>
      <c r="AS25" s="28">
        <v>1</v>
      </c>
      <c r="AT25" s="22">
        <v>99.67</v>
      </c>
      <c r="AU25" s="21"/>
      <c r="AV25" s="28">
        <v>1</v>
      </c>
      <c r="AW25" s="22">
        <v>99.6</v>
      </c>
      <c r="AX25" s="21"/>
      <c r="AY25" s="28">
        <v>1</v>
      </c>
      <c r="AZ25" s="22">
        <v>100.33</v>
      </c>
      <c r="BA25" s="21"/>
      <c r="BB25" s="28">
        <v>1</v>
      </c>
      <c r="BC25" s="22">
        <v>100.44</v>
      </c>
      <c r="BD25" s="21"/>
      <c r="BE25" s="28">
        <v>1</v>
      </c>
      <c r="BF25" s="22">
        <v>100.69</v>
      </c>
      <c r="BG25" s="21"/>
      <c r="BH25" s="28">
        <v>1</v>
      </c>
      <c r="BI25" s="22">
        <v>100.53</v>
      </c>
      <c r="BJ25" s="21"/>
      <c r="BK25" s="28">
        <v>1</v>
      </c>
      <c r="BL25" s="22">
        <v>100.45</v>
      </c>
      <c r="BM25" s="21"/>
      <c r="BN25" s="28">
        <f t="shared" si="0"/>
        <v>1</v>
      </c>
      <c r="BO25" s="22">
        <f t="shared" si="1"/>
        <v>101.27761904761904</v>
      </c>
      <c r="BP25" s="9"/>
      <c r="BQ25" s="31"/>
      <c r="BR25" s="32"/>
      <c r="BS25" s="31"/>
      <c r="BT25" s="32"/>
      <c r="BW25" s="9"/>
      <c r="BX25" s="31"/>
      <c r="BY25" s="32"/>
    </row>
    <row r="26" spans="1:77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9"/>
      <c r="BO26" s="31"/>
      <c r="BP26" s="9"/>
      <c r="BQ26" s="9"/>
      <c r="BR26" s="31"/>
      <c r="BS26" s="31"/>
      <c r="BT26" s="32"/>
      <c r="BW26" s="9"/>
      <c r="BX26" s="31"/>
      <c r="BY26" s="32"/>
    </row>
    <row r="27" spans="1:77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  <c r="BW27" s="40"/>
      <c r="BX27" s="40"/>
      <c r="BY27" s="40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6" r:id="rId1"/>
  <headerFooter alignWithMargins="0">
    <oddHeader>&amp;L&amp;"Helv,Bold"Banka e Shqiperise
Sektori i Informacionit</oddHeader>
  </headerFooter>
  <colBreaks count="5" manualBreakCount="5">
    <brk id="14" max="24" man="1"/>
    <brk id="26" max="24" man="1"/>
    <brk id="29" max="24" man="1"/>
    <brk id="38" max="24" man="1"/>
    <brk id="47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6.421875" style="0" customWidth="1"/>
    <col min="54" max="55" width="13.28125" style="0" customWidth="1"/>
    <col min="56" max="56" width="4.8515625" style="0" customWidth="1"/>
    <col min="57" max="58" width="13.28125" style="0" customWidth="1"/>
    <col min="59" max="59" width="4.28125" style="0" customWidth="1"/>
    <col min="60" max="61" width="13.28125" style="0" customWidth="1"/>
    <col min="62" max="62" width="5.421875" style="0" customWidth="1"/>
    <col min="63" max="64" width="13.28125" style="0" customWidth="1"/>
    <col min="65" max="65" width="5.8515625" style="0" customWidth="1"/>
    <col min="66" max="67" width="13.28125" style="0" customWidth="1"/>
    <col min="68" max="68" width="7.140625" style="0" customWidth="1"/>
    <col min="69" max="70" width="13.28125" style="0" customWidth="1"/>
    <col min="71" max="71" width="6.57421875" style="0" customWidth="1"/>
  </cols>
  <sheetData>
    <row r="1" spans="1:56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 t="s">
        <v>1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7"/>
      <c r="BB1" s="7"/>
      <c r="BC1" s="8"/>
      <c r="BD1" s="8"/>
    </row>
    <row r="2" spans="1:56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7"/>
      <c r="BB2" s="7"/>
      <c r="BC2" s="8"/>
      <c r="BD2" s="8"/>
    </row>
    <row r="3" spans="1:56" ht="15.75" customHeight="1">
      <c r="A3" s="5"/>
      <c r="B3" s="3" t="s">
        <v>177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9"/>
      <c r="BB3" s="9"/>
      <c r="BC3" s="8"/>
      <c r="BD3" s="8"/>
    </row>
    <row r="4" spans="1:76" ht="15.75" customHeight="1">
      <c r="A4" s="6" t="s">
        <v>2</v>
      </c>
      <c r="B4" s="5"/>
      <c r="C4" s="4" t="s">
        <v>179</v>
      </c>
      <c r="D4" s="4"/>
      <c r="E4" s="10"/>
      <c r="F4" s="4" t="s">
        <v>178</v>
      </c>
      <c r="G4" s="4"/>
      <c r="H4" s="10"/>
      <c r="I4" s="4" t="s">
        <v>180</v>
      </c>
      <c r="J4" s="4"/>
      <c r="K4" s="10"/>
      <c r="L4" s="4" t="s">
        <v>181</v>
      </c>
      <c r="M4" s="4"/>
      <c r="N4" s="10"/>
      <c r="O4" s="4" t="s">
        <v>182</v>
      </c>
      <c r="P4" s="4"/>
      <c r="Q4" s="10"/>
      <c r="R4" s="4" t="s">
        <v>183</v>
      </c>
      <c r="S4" s="4"/>
      <c r="T4" s="10"/>
      <c r="U4" s="4" t="s">
        <v>184</v>
      </c>
      <c r="V4" s="4"/>
      <c r="W4" s="10"/>
      <c r="X4" s="4" t="s">
        <v>185</v>
      </c>
      <c r="Y4" s="4"/>
      <c r="Z4" s="10"/>
      <c r="AA4" s="4" t="s">
        <v>186</v>
      </c>
      <c r="AB4" s="4"/>
      <c r="AC4" s="10"/>
      <c r="AD4" s="4" t="s">
        <v>187</v>
      </c>
      <c r="AE4" s="4"/>
      <c r="AF4" s="10"/>
      <c r="AG4" s="4" t="s">
        <v>188</v>
      </c>
      <c r="AH4" s="4"/>
      <c r="AI4" s="10"/>
      <c r="AJ4" s="4" t="s">
        <v>189</v>
      </c>
      <c r="AK4" s="4"/>
      <c r="AL4" s="10"/>
      <c r="AM4" s="4" t="s">
        <v>190</v>
      </c>
      <c r="AN4" s="4"/>
      <c r="AO4" s="10"/>
      <c r="AP4" s="4" t="s">
        <v>191</v>
      </c>
      <c r="AQ4" s="4"/>
      <c r="AR4" s="10"/>
      <c r="AS4" s="4" t="s">
        <v>192</v>
      </c>
      <c r="AT4" s="4"/>
      <c r="AU4" s="10"/>
      <c r="AV4" s="4" t="s">
        <v>193</v>
      </c>
      <c r="AW4" s="4"/>
      <c r="AX4" s="10"/>
      <c r="AY4" s="4" t="s">
        <v>194</v>
      </c>
      <c r="AZ4" s="4"/>
      <c r="BA4" s="26"/>
      <c r="BB4" s="4" t="s">
        <v>195</v>
      </c>
      <c r="BC4" s="4"/>
      <c r="BD4" s="26"/>
      <c r="BE4" s="4" t="s">
        <v>196</v>
      </c>
      <c r="BF4" s="4"/>
      <c r="BG4" s="26"/>
      <c r="BH4" s="4" t="s">
        <v>197</v>
      </c>
      <c r="BI4" s="4"/>
      <c r="BJ4" s="4"/>
      <c r="BK4" s="4" t="s">
        <v>198</v>
      </c>
      <c r="BL4" s="4"/>
      <c r="BM4" s="4"/>
      <c r="BN4" s="4" t="s">
        <v>199</v>
      </c>
      <c r="BO4" s="4"/>
      <c r="BP4" s="4"/>
      <c r="BQ4" s="4" t="s">
        <v>200</v>
      </c>
      <c r="BR4" s="4"/>
      <c r="BS4" s="4"/>
      <c r="BT4" s="4" t="s">
        <v>3</v>
      </c>
      <c r="BU4" s="4"/>
      <c r="BV4" s="38"/>
      <c r="BW4" s="37"/>
      <c r="BX4" s="37"/>
    </row>
    <row r="5" spans="1:76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38"/>
      <c r="BW5" s="38"/>
      <c r="BX5" s="38"/>
    </row>
    <row r="6" spans="1:76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9"/>
      <c r="BW6" s="9"/>
      <c r="BX6" s="9"/>
    </row>
    <row r="7" spans="1:76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12"/>
      <c r="BT7" s="12" t="s">
        <v>5</v>
      </c>
      <c r="BU7" s="12" t="s">
        <v>5</v>
      </c>
      <c r="BV7" s="39"/>
      <c r="BW7" s="39"/>
      <c r="BX7" s="39"/>
    </row>
    <row r="8" spans="1:76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12"/>
      <c r="BT8" s="12" t="s">
        <v>8</v>
      </c>
      <c r="BU8" s="12" t="s">
        <v>9</v>
      </c>
      <c r="BV8" s="39"/>
      <c r="BW8" s="39"/>
      <c r="BX8" s="39"/>
    </row>
    <row r="9" spans="1:76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12"/>
      <c r="BT9" s="12" t="s">
        <v>7</v>
      </c>
      <c r="BU9" s="12" t="s">
        <v>11</v>
      </c>
      <c r="BV9" s="39"/>
      <c r="BW9" s="39"/>
      <c r="BX9" s="39"/>
    </row>
    <row r="10" spans="1:7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12"/>
      <c r="BT10" s="12" t="s">
        <v>10</v>
      </c>
      <c r="BU10" s="12" t="s">
        <v>12</v>
      </c>
      <c r="BV10" s="39"/>
      <c r="BW10" s="39"/>
      <c r="BX10" s="39"/>
    </row>
    <row r="11" spans="1:82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9"/>
      <c r="BW11" s="9"/>
      <c r="BX11" s="9"/>
      <c r="BY11" s="40"/>
      <c r="BZ11" s="40"/>
      <c r="CA11" s="40"/>
      <c r="CB11" s="40"/>
      <c r="CC11" s="40"/>
      <c r="CD11" s="40"/>
    </row>
    <row r="12" spans="1:82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9"/>
      <c r="BW12" s="9"/>
      <c r="BX12" s="9"/>
      <c r="BY12" s="40"/>
      <c r="BZ12" s="40"/>
      <c r="CA12" s="40"/>
      <c r="CB12" s="40"/>
      <c r="CC12" s="40"/>
      <c r="CD12" s="40"/>
    </row>
    <row r="13" spans="1:76" ht="15.75" customHeight="1">
      <c r="A13" s="16">
        <v>1</v>
      </c>
      <c r="B13" s="17" t="s">
        <v>14</v>
      </c>
      <c r="C13" s="27">
        <v>111.85</v>
      </c>
      <c r="D13" s="19">
        <v>88.52</v>
      </c>
      <c r="E13" s="5"/>
      <c r="F13" s="27">
        <v>111.36</v>
      </c>
      <c r="G13" s="19">
        <v>88.88</v>
      </c>
      <c r="H13" s="5"/>
      <c r="I13" s="27">
        <v>111.32</v>
      </c>
      <c r="J13" s="19">
        <v>88.96</v>
      </c>
      <c r="K13" s="5"/>
      <c r="L13" s="27">
        <v>111.38</v>
      </c>
      <c r="M13" s="19">
        <v>88.85</v>
      </c>
      <c r="N13" s="5"/>
      <c r="O13" s="27">
        <v>111.65</v>
      </c>
      <c r="P13" s="19">
        <v>88.29</v>
      </c>
      <c r="Q13" s="5"/>
      <c r="R13" s="27">
        <v>111.81</v>
      </c>
      <c r="S13" s="19">
        <v>87.89</v>
      </c>
      <c r="T13" s="5"/>
      <c r="U13" s="27">
        <v>112.03</v>
      </c>
      <c r="V13" s="19">
        <v>87.71</v>
      </c>
      <c r="W13" s="5"/>
      <c r="X13" s="27">
        <v>110.9</v>
      </c>
      <c r="Y13" s="19">
        <v>88.6</v>
      </c>
      <c r="Z13" s="5"/>
      <c r="AA13" s="27">
        <v>110.27</v>
      </c>
      <c r="AB13" s="19">
        <v>89.22</v>
      </c>
      <c r="AC13" s="5"/>
      <c r="AD13" s="27">
        <v>109.39</v>
      </c>
      <c r="AE13" s="19">
        <v>89.4</v>
      </c>
      <c r="AF13" s="5"/>
      <c r="AG13" s="27">
        <v>109.49</v>
      </c>
      <c r="AH13" s="19">
        <v>89.43</v>
      </c>
      <c r="AI13" s="5"/>
      <c r="AJ13" s="27">
        <v>109.24</v>
      </c>
      <c r="AK13" s="19">
        <v>90</v>
      </c>
      <c r="AL13" s="5"/>
      <c r="AM13" s="27">
        <v>109.95</v>
      </c>
      <c r="AN13" s="19">
        <v>89.83</v>
      </c>
      <c r="AO13" s="5"/>
      <c r="AP13" s="27">
        <v>110.31</v>
      </c>
      <c r="AQ13" s="19">
        <v>90.08</v>
      </c>
      <c r="AR13" s="5"/>
      <c r="AS13" s="27">
        <v>110.57</v>
      </c>
      <c r="AT13" s="19">
        <v>90.49</v>
      </c>
      <c r="AU13" s="5"/>
      <c r="AV13" s="27">
        <v>109.71</v>
      </c>
      <c r="AW13" s="19">
        <v>91.12</v>
      </c>
      <c r="AX13" s="5"/>
      <c r="AY13" s="27">
        <v>110.1</v>
      </c>
      <c r="AZ13" s="19">
        <v>90.54</v>
      </c>
      <c r="BA13" s="5"/>
      <c r="BB13" s="27">
        <v>110.53</v>
      </c>
      <c r="BC13" s="19">
        <v>90.56</v>
      </c>
      <c r="BD13" s="5"/>
      <c r="BE13" s="27">
        <v>109.91</v>
      </c>
      <c r="BF13" s="19">
        <v>90.76</v>
      </c>
      <c r="BG13" s="5"/>
      <c r="BH13" s="27">
        <v>109.65</v>
      </c>
      <c r="BI13" s="19">
        <v>91.32</v>
      </c>
      <c r="BJ13" s="27"/>
      <c r="BK13" s="27">
        <v>110.35</v>
      </c>
      <c r="BL13" s="19">
        <v>90.61</v>
      </c>
      <c r="BM13" s="27"/>
      <c r="BN13" s="27">
        <v>111.19</v>
      </c>
      <c r="BO13" s="19">
        <v>90.39</v>
      </c>
      <c r="BP13" s="19"/>
      <c r="BQ13" s="27">
        <v>111.45</v>
      </c>
      <c r="BR13" s="19">
        <v>90.48</v>
      </c>
      <c r="BS13" s="19"/>
      <c r="BT13" s="27">
        <f>(+C13+F13+I13+L13+O13+R13+U13+X13+AA13+AD13+AG13+AJ13+AM13+AP13+AS13+AV13+AY13+BB13+BE13+BH13+BK13+BN13+BQ13)/23</f>
        <v>110.62652173913041</v>
      </c>
      <c r="BU13" s="19">
        <f>(+D13+G13+J13+M13+P13+S13+V13+Y13+AB13+AE13+AH13+AK13+AN13+AQ13+AT13+AW13+AZ13+BC13+BF13+BI13+BL13+BO13+BR13)/23</f>
        <v>89.6491304347826</v>
      </c>
      <c r="BV13" s="9"/>
      <c r="BW13" s="31"/>
      <c r="BX13" s="32"/>
    </row>
    <row r="14" spans="1:76" ht="15.75" customHeight="1">
      <c r="A14" s="16">
        <v>2</v>
      </c>
      <c r="B14" s="17" t="s">
        <v>15</v>
      </c>
      <c r="C14" s="27">
        <f>1/1.7659</f>
        <v>0.5662834815108443</v>
      </c>
      <c r="D14" s="19">
        <v>174.83</v>
      </c>
      <c r="E14" s="5"/>
      <c r="F14" s="27">
        <f>1/1.771</f>
        <v>0.564652738565782</v>
      </c>
      <c r="G14" s="19">
        <v>175.29</v>
      </c>
      <c r="H14" s="5"/>
      <c r="I14" s="27">
        <f>1/1.7826</f>
        <v>0.5609783462358353</v>
      </c>
      <c r="J14" s="19">
        <v>176.52</v>
      </c>
      <c r="K14" s="5"/>
      <c r="L14" s="27">
        <f>1/1.7753</f>
        <v>0.5632850785782685</v>
      </c>
      <c r="M14" s="19">
        <v>175.68</v>
      </c>
      <c r="N14" s="5"/>
      <c r="O14" s="27">
        <f>1/1.7773</f>
        <v>0.5626512125133629</v>
      </c>
      <c r="P14" s="19">
        <v>175.21</v>
      </c>
      <c r="Q14" s="5"/>
      <c r="R14" s="27">
        <f>1/1.7865</f>
        <v>0.559753708368318</v>
      </c>
      <c r="S14" s="19">
        <v>175.55</v>
      </c>
      <c r="T14" s="5"/>
      <c r="U14" s="27">
        <f>1/1.7851</f>
        <v>0.5601927062909641</v>
      </c>
      <c r="V14" s="19">
        <v>175.41</v>
      </c>
      <c r="W14" s="5"/>
      <c r="X14" s="27">
        <f>1/1.7935</f>
        <v>0.5575689991636464</v>
      </c>
      <c r="Y14" s="19">
        <v>176.22</v>
      </c>
      <c r="Z14" s="5"/>
      <c r="AA14" s="27">
        <f>1/1.8025</f>
        <v>0.5547850208044383</v>
      </c>
      <c r="AB14" s="19">
        <v>177.34</v>
      </c>
      <c r="AC14" s="5"/>
      <c r="AD14" s="27">
        <f>1/1.8159</f>
        <v>0.550691117352277</v>
      </c>
      <c r="AE14" s="19">
        <v>177.59</v>
      </c>
      <c r="AF14" s="5"/>
      <c r="AG14" s="27">
        <f>1/1.8113</f>
        <v>0.5520896593606802</v>
      </c>
      <c r="AH14" s="19">
        <v>177.36</v>
      </c>
      <c r="AI14" s="5"/>
      <c r="AJ14" s="27">
        <f>1/1.8094</f>
        <v>0.5526693931690063</v>
      </c>
      <c r="AK14" s="19">
        <v>177.9</v>
      </c>
      <c r="AL14" s="5"/>
      <c r="AM14" s="27">
        <f>1/1.8063</f>
        <v>0.5536178929302995</v>
      </c>
      <c r="AN14" s="19">
        <v>178.4</v>
      </c>
      <c r="AO14" s="5"/>
      <c r="AP14" s="27">
        <f>1/1.805</f>
        <v>0.554016620498615</v>
      </c>
      <c r="AQ14" s="19">
        <v>179.36</v>
      </c>
      <c r="AR14" s="5"/>
      <c r="AS14" s="27">
        <f>1/1.7961</f>
        <v>0.5567618729469406</v>
      </c>
      <c r="AT14" s="19">
        <v>179.72</v>
      </c>
      <c r="AU14" s="5"/>
      <c r="AV14" s="27">
        <f>1/1.797</f>
        <v>0.5564830272676684</v>
      </c>
      <c r="AW14" s="19">
        <v>179.65</v>
      </c>
      <c r="AX14" s="5"/>
      <c r="AY14" s="27">
        <f>1/1.7975</f>
        <v>0.5563282336578581</v>
      </c>
      <c r="AZ14" s="19">
        <v>179.19</v>
      </c>
      <c r="BA14" s="5"/>
      <c r="BB14" s="27">
        <f>1/1.7946</f>
        <v>0.5572272372673577</v>
      </c>
      <c r="BC14" s="19">
        <v>179.63</v>
      </c>
      <c r="BD14" s="5"/>
      <c r="BE14" s="27">
        <f>1/1.8034</f>
        <v>0.5545081512698237</v>
      </c>
      <c r="BF14" s="19">
        <v>179.89</v>
      </c>
      <c r="BG14" s="5"/>
      <c r="BH14" s="27">
        <f>1/1.8063</f>
        <v>0.5536178929302995</v>
      </c>
      <c r="BI14" s="19">
        <v>180.87</v>
      </c>
      <c r="BJ14" s="27"/>
      <c r="BK14" s="27">
        <f>1/1.8053</f>
        <v>0.5539245554755443</v>
      </c>
      <c r="BL14" s="19">
        <v>180.52</v>
      </c>
      <c r="BM14" s="27"/>
      <c r="BN14" s="27">
        <f>1/1.786</f>
        <v>0.5599104143337066</v>
      </c>
      <c r="BO14" s="19">
        <v>179.5</v>
      </c>
      <c r="BP14" s="19"/>
      <c r="BQ14" s="27">
        <f>1/1.7853</f>
        <v>0.5601299501484344</v>
      </c>
      <c r="BR14" s="19">
        <v>180.03</v>
      </c>
      <c r="BS14" s="19"/>
      <c r="BT14" s="27">
        <f aca="true" t="shared" si="0" ref="BT14:BT25">(+C14+F14+I14+L14+O14+R14+U14+X14+AA14+AD14+AG14+AJ14+AM14+AP14+AS14+AV14+AY14+BB14+BE14+BH14+BK14+BN14+BQ14)/23</f>
        <v>0.5574837961147814</v>
      </c>
      <c r="BU14" s="19">
        <f aca="true" t="shared" si="1" ref="BU14:BU25">(+D14+G14+J14+M14+P14+S14+V14+Y14+AB14+AE14+AH14+AK14+AN14+AQ14+AT14+AW14+AZ14+BC14+BF14+BI14+BL14+BO14+BR14)/23</f>
        <v>177.89826086956523</v>
      </c>
      <c r="BV14" s="9"/>
      <c r="BW14" s="31"/>
      <c r="BX14" s="32"/>
    </row>
    <row r="15" spans="1:76" ht="15.75" customHeight="1">
      <c r="A15" s="16">
        <v>3</v>
      </c>
      <c r="B15" s="17" t="s">
        <v>16</v>
      </c>
      <c r="C15" s="27">
        <v>1.2775</v>
      </c>
      <c r="D15" s="19">
        <v>77.5</v>
      </c>
      <c r="E15" s="5"/>
      <c r="F15" s="27">
        <v>1.2731</v>
      </c>
      <c r="G15" s="19">
        <v>77.75</v>
      </c>
      <c r="H15" s="5"/>
      <c r="I15" s="27">
        <v>1.2641</v>
      </c>
      <c r="J15" s="19">
        <v>78.34</v>
      </c>
      <c r="K15" s="5"/>
      <c r="L15" s="27">
        <v>1.2654</v>
      </c>
      <c r="M15" s="19">
        <v>78.2</v>
      </c>
      <c r="N15" s="5"/>
      <c r="O15" s="27">
        <v>1.2602</v>
      </c>
      <c r="P15" s="19">
        <v>78.23</v>
      </c>
      <c r="Q15" s="5"/>
      <c r="R15" s="27">
        <v>1.2595</v>
      </c>
      <c r="S15" s="19">
        <v>78.02</v>
      </c>
      <c r="T15" s="5"/>
      <c r="U15" s="27">
        <v>1.2574</v>
      </c>
      <c r="V15" s="19">
        <v>78.15</v>
      </c>
      <c r="W15" s="5"/>
      <c r="X15" s="27">
        <v>1.2535</v>
      </c>
      <c r="Y15" s="19">
        <v>78.38</v>
      </c>
      <c r="Z15" s="5"/>
      <c r="AA15" s="27">
        <v>1.2525</v>
      </c>
      <c r="AB15" s="19">
        <v>78.55</v>
      </c>
      <c r="AC15" s="5"/>
      <c r="AD15" s="27">
        <v>1.2452</v>
      </c>
      <c r="AE15" s="19">
        <v>78.54</v>
      </c>
      <c r="AF15" s="5"/>
      <c r="AG15" s="27">
        <v>1.2516</v>
      </c>
      <c r="AH15" s="19">
        <v>78.24</v>
      </c>
      <c r="AI15" s="5"/>
      <c r="AJ15" s="27">
        <v>1.2585</v>
      </c>
      <c r="AK15" s="19">
        <v>78.12</v>
      </c>
      <c r="AL15" s="5"/>
      <c r="AM15" s="27">
        <v>1.2612</v>
      </c>
      <c r="AN15" s="19">
        <v>78.31</v>
      </c>
      <c r="AO15" s="5"/>
      <c r="AP15" s="27">
        <v>1.263</v>
      </c>
      <c r="AQ15" s="19">
        <v>78.68</v>
      </c>
      <c r="AR15" s="5"/>
      <c r="AS15" s="27">
        <v>1.2709</v>
      </c>
      <c r="AT15" s="19">
        <v>78.73</v>
      </c>
      <c r="AU15" s="5"/>
      <c r="AV15" s="27">
        <v>1.2746</v>
      </c>
      <c r="AW15" s="19">
        <v>78.43</v>
      </c>
      <c r="AX15" s="5"/>
      <c r="AY15" s="27">
        <v>1.2696</v>
      </c>
      <c r="AZ15" s="19">
        <v>78.52</v>
      </c>
      <c r="BA15" s="5"/>
      <c r="BB15" s="27">
        <v>1.2751</v>
      </c>
      <c r="BC15" s="19">
        <v>78.5</v>
      </c>
      <c r="BD15" s="5"/>
      <c r="BE15" s="27">
        <v>1.2584</v>
      </c>
      <c r="BF15" s="19">
        <v>79.27</v>
      </c>
      <c r="BG15" s="5"/>
      <c r="BH15" s="27">
        <v>1.257</v>
      </c>
      <c r="BI15" s="19">
        <v>79.66</v>
      </c>
      <c r="BJ15" s="27"/>
      <c r="BK15" s="27">
        <v>1.2549</v>
      </c>
      <c r="BL15" s="19">
        <v>79.68</v>
      </c>
      <c r="BM15" s="27"/>
      <c r="BN15" s="27">
        <v>1.2696</v>
      </c>
      <c r="BO15" s="19">
        <v>79.16</v>
      </c>
      <c r="BP15" s="19"/>
      <c r="BQ15" s="27">
        <v>1.2676</v>
      </c>
      <c r="BR15" s="19">
        <v>79.55</v>
      </c>
      <c r="BS15" s="19"/>
      <c r="BT15" s="27">
        <f t="shared" si="0"/>
        <v>1.2626260869565216</v>
      </c>
      <c r="BU15" s="19">
        <f t="shared" si="1"/>
        <v>78.54391304347827</v>
      </c>
      <c r="BV15" s="9"/>
      <c r="BW15" s="31"/>
      <c r="BX15" s="32"/>
    </row>
    <row r="16" spans="1:76" ht="15.75" customHeight="1">
      <c r="A16" s="16">
        <v>4</v>
      </c>
      <c r="B16" s="17" t="s">
        <v>17</v>
      </c>
      <c r="C16" s="27">
        <f>1/1.221</f>
        <v>0.8190008190008189</v>
      </c>
      <c r="D16" s="19">
        <v>120.88</v>
      </c>
      <c r="E16" s="5"/>
      <c r="F16" s="27">
        <f>1/1.2219</f>
        <v>0.8183975775431704</v>
      </c>
      <c r="G16" s="19">
        <v>120.94</v>
      </c>
      <c r="H16" s="5"/>
      <c r="I16" s="27">
        <f>1/1.2316</f>
        <v>0.8119519324455992</v>
      </c>
      <c r="J16" s="19">
        <v>121.96</v>
      </c>
      <c r="K16" s="5"/>
      <c r="L16" s="27">
        <f>1/1.2306</f>
        <v>0.8126117341134407</v>
      </c>
      <c r="M16" s="19">
        <v>121.78</v>
      </c>
      <c r="N16" s="5"/>
      <c r="O16" s="27">
        <f>1/1.2365</f>
        <v>0.8087343307723414</v>
      </c>
      <c r="P16" s="19">
        <v>121.9</v>
      </c>
      <c r="Q16" s="5"/>
      <c r="R16" s="27">
        <f>1/1.2382</f>
        <v>0.8076239702794379</v>
      </c>
      <c r="S16" s="19">
        <v>121.67</v>
      </c>
      <c r="T16" s="5"/>
      <c r="U16" s="27">
        <f>1/1.2374</f>
        <v>0.8081461128171973</v>
      </c>
      <c r="V16" s="19">
        <v>121.59</v>
      </c>
      <c r="W16" s="5"/>
      <c r="X16" s="27">
        <f>1/1.2405</f>
        <v>0.8061265618702137</v>
      </c>
      <c r="Y16" s="19">
        <v>121.88</v>
      </c>
      <c r="Z16" s="5"/>
      <c r="AA16" s="27">
        <f>1/1.2404</f>
        <v>0.8061915511125444</v>
      </c>
      <c r="AB16" s="19">
        <v>122.04</v>
      </c>
      <c r="AC16" s="5"/>
      <c r="AD16" s="27">
        <f>1/1.2473</f>
        <v>0.8017317405596087</v>
      </c>
      <c r="AE16" s="19">
        <v>121.98</v>
      </c>
      <c r="AF16" s="5"/>
      <c r="AG16" s="27">
        <f>1/1.239</f>
        <v>0.8071025020177562</v>
      </c>
      <c r="AH16" s="19">
        <v>121.32</v>
      </c>
      <c r="AI16" s="5"/>
      <c r="AJ16" s="27">
        <f>1/1.2326</f>
        <v>0.8112932013629727</v>
      </c>
      <c r="AK16" s="19">
        <v>121.19</v>
      </c>
      <c r="AL16" s="5"/>
      <c r="AM16" s="27">
        <f>1/1.2282</f>
        <v>0.8141996417521576</v>
      </c>
      <c r="AN16" s="19">
        <v>121.3</v>
      </c>
      <c r="AO16" s="5"/>
      <c r="AP16" s="27">
        <f>1/1.2235</f>
        <v>0.8173273395995095</v>
      </c>
      <c r="AQ16" s="19">
        <v>121.58</v>
      </c>
      <c r="AR16" s="5"/>
      <c r="AS16" s="27">
        <f>1/1.2177</f>
        <v>0.8212203334154554</v>
      </c>
      <c r="AT16" s="19">
        <v>121.84</v>
      </c>
      <c r="AU16" s="5"/>
      <c r="AV16" s="27">
        <f>1/1.2179</f>
        <v>0.8210854749979473</v>
      </c>
      <c r="AW16" s="19">
        <v>121.76</v>
      </c>
      <c r="AX16" s="5"/>
      <c r="AY16" s="27">
        <f>1/1.2238</f>
        <v>0.8171269815329302</v>
      </c>
      <c r="AZ16" s="19">
        <v>122</v>
      </c>
      <c r="BA16" s="5"/>
      <c r="BB16" s="27">
        <f>1/1.2197</f>
        <v>0.8198737394441256</v>
      </c>
      <c r="BC16" s="19">
        <v>122.08</v>
      </c>
      <c r="BD16" s="5"/>
      <c r="BE16" s="27">
        <f>1/1.2302</f>
        <v>0.8128759551292473</v>
      </c>
      <c r="BF16" s="19">
        <v>122.71</v>
      </c>
      <c r="BG16" s="5"/>
      <c r="BH16" s="27">
        <f>1/1.2307</f>
        <v>0.8125457056959454</v>
      </c>
      <c r="BI16" s="19">
        <v>123.23</v>
      </c>
      <c r="BJ16" s="27"/>
      <c r="BK16" s="27">
        <f>1/1.2315</f>
        <v>0.8120178643930166</v>
      </c>
      <c r="BL16" s="19">
        <v>123.14</v>
      </c>
      <c r="BM16" s="27"/>
      <c r="BN16" s="27">
        <f>1/1.2204</f>
        <v>0.8194034742707309</v>
      </c>
      <c r="BO16" s="19">
        <v>122.65</v>
      </c>
      <c r="BP16" s="19"/>
      <c r="BQ16" s="27">
        <f>1/1.2212</f>
        <v>0.8188666885031116</v>
      </c>
      <c r="BR16" s="19">
        <v>123.15</v>
      </c>
      <c r="BS16" s="19"/>
      <c r="BT16" s="27">
        <f t="shared" si="0"/>
        <v>0.8132806622882294</v>
      </c>
      <c r="BU16" s="19">
        <f t="shared" si="1"/>
        <v>121.9378260869565</v>
      </c>
      <c r="BV16" s="9"/>
      <c r="BW16" s="31"/>
      <c r="BX16" s="32"/>
    </row>
    <row r="17" spans="1:76" ht="15.75" customHeight="1">
      <c r="A17" s="16">
        <v>5</v>
      </c>
      <c r="B17" s="17" t="s">
        <v>18</v>
      </c>
      <c r="C17" s="27">
        <v>431.35</v>
      </c>
      <c r="D17" s="19">
        <v>42705.45</v>
      </c>
      <c r="E17" s="5"/>
      <c r="F17" s="27">
        <v>431.8</v>
      </c>
      <c r="G17" s="19">
        <v>42739.2</v>
      </c>
      <c r="H17" s="5"/>
      <c r="I17" s="27">
        <v>433.6</v>
      </c>
      <c r="J17" s="19">
        <v>42937.6</v>
      </c>
      <c r="K17" s="5"/>
      <c r="L17" s="27">
        <v>435.7</v>
      </c>
      <c r="M17" s="19">
        <v>43115.06</v>
      </c>
      <c r="N17" s="5"/>
      <c r="O17" s="27">
        <v>437.75</v>
      </c>
      <c r="P17" s="19">
        <v>43153.76</v>
      </c>
      <c r="Q17" s="5"/>
      <c r="R17" s="27">
        <v>436.7</v>
      </c>
      <c r="S17" s="19">
        <v>42913.05</v>
      </c>
      <c r="T17" s="5"/>
      <c r="U17" s="27">
        <v>434.5</v>
      </c>
      <c r="V17" s="19">
        <v>42695.42</v>
      </c>
      <c r="W17" s="5"/>
      <c r="X17" s="27">
        <v>436.2</v>
      </c>
      <c r="Y17" s="19">
        <v>42858.47</v>
      </c>
      <c r="Z17" s="5"/>
      <c r="AA17" s="27">
        <v>437.5</v>
      </c>
      <c r="AB17" s="19">
        <v>43043.8</v>
      </c>
      <c r="AC17" s="5"/>
      <c r="AD17" s="27">
        <v>447.1</v>
      </c>
      <c r="AE17" s="19">
        <v>43724.52</v>
      </c>
      <c r="AF17" s="5"/>
      <c r="AG17" s="27">
        <v>442.5</v>
      </c>
      <c r="AH17" s="19">
        <v>43329.23</v>
      </c>
      <c r="AI17" s="5"/>
      <c r="AJ17" s="27">
        <v>440.7</v>
      </c>
      <c r="AK17" s="19">
        <v>43328.52</v>
      </c>
      <c r="AL17" s="5"/>
      <c r="AM17" s="27">
        <v>444.25</v>
      </c>
      <c r="AN17" s="19">
        <v>43876.72</v>
      </c>
      <c r="AO17" s="5"/>
      <c r="AP17" s="27">
        <v>438.8</v>
      </c>
      <c r="AQ17" s="19">
        <v>43603.92</v>
      </c>
      <c r="AR17" s="5"/>
      <c r="AS17" s="27">
        <v>439</v>
      </c>
      <c r="AT17" s="19">
        <v>43926.34</v>
      </c>
      <c r="AU17" s="5"/>
      <c r="AV17" s="27">
        <v>437.5</v>
      </c>
      <c r="AW17" s="19">
        <v>43737.6</v>
      </c>
      <c r="AX17" s="5"/>
      <c r="AY17" s="27">
        <v>439.8</v>
      </c>
      <c r="AZ17" s="19">
        <v>43842.93</v>
      </c>
      <c r="BA17" s="5"/>
      <c r="BB17" s="27">
        <v>438.25</v>
      </c>
      <c r="BC17" s="19">
        <v>43865.9</v>
      </c>
      <c r="BD17" s="5"/>
      <c r="BE17" s="27">
        <v>438.7</v>
      </c>
      <c r="BF17" s="19">
        <v>43760.69</v>
      </c>
      <c r="BG17" s="5"/>
      <c r="BH17" s="27">
        <v>438.2</v>
      </c>
      <c r="BI17" s="19">
        <v>43877.33</v>
      </c>
      <c r="BJ17" s="27"/>
      <c r="BK17" s="27">
        <v>439.5</v>
      </c>
      <c r="BL17" s="19">
        <v>43947.07</v>
      </c>
      <c r="BM17" s="27"/>
      <c r="BN17" s="27">
        <v>435.25</v>
      </c>
      <c r="BO17" s="19">
        <v>43744.08</v>
      </c>
      <c r="BP17" s="19"/>
      <c r="BQ17" s="27">
        <v>432.75</v>
      </c>
      <c r="BR17" s="19">
        <v>43638.51</v>
      </c>
      <c r="BS17" s="19"/>
      <c r="BT17" s="27">
        <f t="shared" si="0"/>
        <v>437.71304347826094</v>
      </c>
      <c r="BU17" s="19">
        <f t="shared" si="1"/>
        <v>43407.181304347825</v>
      </c>
      <c r="BV17" s="9"/>
      <c r="BW17" s="31"/>
      <c r="BX17" s="32"/>
    </row>
    <row r="18" spans="1:76" ht="15.75" customHeight="1">
      <c r="A18" s="16">
        <v>6</v>
      </c>
      <c r="B18" s="20" t="s">
        <v>19</v>
      </c>
      <c r="C18" s="27">
        <v>7.23</v>
      </c>
      <c r="D18" s="19">
        <v>715.8</v>
      </c>
      <c r="E18" s="5"/>
      <c r="F18" s="27">
        <v>7.21</v>
      </c>
      <c r="G18" s="19">
        <v>713.64</v>
      </c>
      <c r="H18" s="5"/>
      <c r="I18" s="27">
        <v>7.24</v>
      </c>
      <c r="J18" s="19">
        <v>716.95</v>
      </c>
      <c r="K18" s="5"/>
      <c r="L18" s="27">
        <v>7.23</v>
      </c>
      <c r="M18" s="19">
        <v>715.45</v>
      </c>
      <c r="N18" s="5"/>
      <c r="O18" s="27">
        <v>7.19</v>
      </c>
      <c r="P18" s="19">
        <v>708.8</v>
      </c>
      <c r="Q18" s="5"/>
      <c r="R18" s="27">
        <v>7.12</v>
      </c>
      <c r="S18" s="19">
        <v>699.66</v>
      </c>
      <c r="T18" s="5"/>
      <c r="U18" s="27">
        <v>7</v>
      </c>
      <c r="V18" s="19">
        <v>687.84</v>
      </c>
      <c r="W18" s="5"/>
      <c r="X18" s="27">
        <v>7.05</v>
      </c>
      <c r="Y18" s="19">
        <v>692.69</v>
      </c>
      <c r="Z18" s="5"/>
      <c r="AA18" s="27">
        <v>7.08</v>
      </c>
      <c r="AB18" s="19">
        <v>696.57</v>
      </c>
      <c r="AC18" s="5"/>
      <c r="AD18" s="27">
        <v>7.19</v>
      </c>
      <c r="AE18" s="19">
        <v>703.15</v>
      </c>
      <c r="AF18" s="5"/>
      <c r="AG18" s="27">
        <v>7.03</v>
      </c>
      <c r="AH18" s="19">
        <v>688.37</v>
      </c>
      <c r="AI18" s="5"/>
      <c r="AJ18" s="27">
        <v>6.97</v>
      </c>
      <c r="AK18" s="19">
        <v>685.27</v>
      </c>
      <c r="AL18" s="5"/>
      <c r="AM18" s="27">
        <v>7</v>
      </c>
      <c r="AN18" s="19">
        <v>691.36</v>
      </c>
      <c r="AO18" s="5"/>
      <c r="AP18" s="27">
        <v>6.96</v>
      </c>
      <c r="AQ18" s="19">
        <v>691.62</v>
      </c>
      <c r="AR18" s="5"/>
      <c r="AS18" s="27">
        <v>6.99</v>
      </c>
      <c r="AT18" s="19">
        <v>699.42</v>
      </c>
      <c r="AU18" s="5"/>
      <c r="AV18" s="27">
        <v>6.98</v>
      </c>
      <c r="AW18" s="19">
        <v>697.8</v>
      </c>
      <c r="AX18" s="5"/>
      <c r="AY18" s="27">
        <v>7.06</v>
      </c>
      <c r="AZ18" s="19">
        <v>703.8</v>
      </c>
      <c r="BA18" s="5"/>
      <c r="BB18" s="27">
        <v>6.96</v>
      </c>
      <c r="BC18" s="19">
        <v>696.65</v>
      </c>
      <c r="BD18" s="5"/>
      <c r="BE18" s="27">
        <v>6.95</v>
      </c>
      <c r="BF18" s="19">
        <v>693.27</v>
      </c>
      <c r="BG18" s="5"/>
      <c r="BH18" s="27">
        <v>6.84</v>
      </c>
      <c r="BI18" s="19">
        <v>684.89</v>
      </c>
      <c r="BJ18" s="27"/>
      <c r="BK18" s="27">
        <v>6.79</v>
      </c>
      <c r="BL18" s="19">
        <v>678.95</v>
      </c>
      <c r="BM18" s="27"/>
      <c r="BN18" s="27">
        <v>6.74</v>
      </c>
      <c r="BO18" s="19">
        <v>677.39</v>
      </c>
      <c r="BP18" s="19"/>
      <c r="BQ18" s="27">
        <v>6.74</v>
      </c>
      <c r="BR18" s="19">
        <v>679.66</v>
      </c>
      <c r="BS18" s="19"/>
      <c r="BT18" s="27">
        <f t="shared" si="0"/>
        <v>7.02391304347826</v>
      </c>
      <c r="BU18" s="19">
        <f t="shared" si="1"/>
        <v>696.4782608695651</v>
      </c>
      <c r="BV18" s="9"/>
      <c r="BW18" s="31"/>
      <c r="BX18" s="32"/>
    </row>
    <row r="19" spans="1:76" ht="15.75" customHeight="1">
      <c r="A19" s="16">
        <v>7</v>
      </c>
      <c r="B19" s="17" t="s">
        <v>20</v>
      </c>
      <c r="C19" s="27">
        <f>1/0.7611</f>
        <v>1.3138877939823939</v>
      </c>
      <c r="D19" s="19">
        <v>75.35</v>
      </c>
      <c r="E19" s="5"/>
      <c r="F19" s="27">
        <f>1/0.7644</f>
        <v>1.3082155939298796</v>
      </c>
      <c r="G19" s="19">
        <v>75.66</v>
      </c>
      <c r="H19" s="5"/>
      <c r="I19" s="27">
        <f>1/0.7673</f>
        <v>1.3032712107389548</v>
      </c>
      <c r="J19" s="19">
        <v>75.98</v>
      </c>
      <c r="K19" s="5"/>
      <c r="L19" s="27">
        <f>1/0.7702</f>
        <v>1.2983640612827838</v>
      </c>
      <c r="M19" s="19">
        <v>76.22</v>
      </c>
      <c r="N19" s="5"/>
      <c r="O19" s="27">
        <f>1/0.77</f>
        <v>1.2987012987012987</v>
      </c>
      <c r="P19" s="19">
        <v>75.91</v>
      </c>
      <c r="Q19" s="5"/>
      <c r="R19" s="27">
        <f>1/0.7674</f>
        <v>1.3031013812874641</v>
      </c>
      <c r="S19" s="19">
        <v>75.41</v>
      </c>
      <c r="T19" s="5"/>
      <c r="U19" s="27">
        <f>1/0.762</f>
        <v>1.3123359580052494</v>
      </c>
      <c r="V19" s="19">
        <v>74.88</v>
      </c>
      <c r="W19" s="5"/>
      <c r="X19" s="27">
        <f>1/0.7656</f>
        <v>1.3061650992685476</v>
      </c>
      <c r="Y19" s="19">
        <v>75.22</v>
      </c>
      <c r="Z19" s="5"/>
      <c r="AA19" s="27">
        <f>1/0.7703</f>
        <v>1.2981955082435415</v>
      </c>
      <c r="AB19" s="19">
        <v>75.79</v>
      </c>
      <c r="AC19" s="5"/>
      <c r="AD19" s="27">
        <f>1/0.7742</f>
        <v>1.2916559028674761</v>
      </c>
      <c r="AE19" s="19">
        <v>75.71</v>
      </c>
      <c r="AF19" s="5"/>
      <c r="AG19" s="27">
        <f>1/0.7722</f>
        <v>1.295001295001295</v>
      </c>
      <c r="AH19" s="19">
        <v>75.61</v>
      </c>
      <c r="AI19" s="5"/>
      <c r="AJ19" s="27">
        <f>1/0.7676</f>
        <v>1.302761855132882</v>
      </c>
      <c r="AK19" s="19">
        <v>75.47</v>
      </c>
      <c r="AL19" s="5"/>
      <c r="AM19" s="27">
        <f>1/0.7634</f>
        <v>1.3099292638197537</v>
      </c>
      <c r="AN19" s="19">
        <v>75.4</v>
      </c>
      <c r="AO19" s="5"/>
      <c r="AP19" s="27">
        <f>1/0.7567</f>
        <v>1.3215276860050218</v>
      </c>
      <c r="AQ19" s="19">
        <v>75.19</v>
      </c>
      <c r="AR19" s="5"/>
      <c r="AS19" s="27">
        <f>1/0.7529</f>
        <v>1.3281976358082082</v>
      </c>
      <c r="AT19" s="19">
        <v>75.34</v>
      </c>
      <c r="AU19" s="5"/>
      <c r="AV19" s="27">
        <f>1/0.7544</f>
        <v>1.325556733828208</v>
      </c>
      <c r="AW19" s="19">
        <v>75.42</v>
      </c>
      <c r="AX19" s="5"/>
      <c r="AY19" s="27">
        <f>1/0.7554</f>
        <v>1.3238019592268997</v>
      </c>
      <c r="AZ19" s="19">
        <v>75.3</v>
      </c>
      <c r="BA19" s="18"/>
      <c r="BB19" s="27">
        <f>1/0.7528</f>
        <v>1.3283740701381508</v>
      </c>
      <c r="BC19" s="19">
        <v>75.35</v>
      </c>
      <c r="BD19" s="18"/>
      <c r="BE19" s="27">
        <f>1/0.7599</f>
        <v>1.3159626266614028</v>
      </c>
      <c r="BF19" s="19">
        <v>75.8</v>
      </c>
      <c r="BG19" s="18"/>
      <c r="BH19" s="27">
        <f>1/0.759</f>
        <v>1.3175230566534915</v>
      </c>
      <c r="BI19" s="19">
        <v>76</v>
      </c>
      <c r="BJ19" s="27"/>
      <c r="BK19" s="27">
        <f>1/0.7554</f>
        <v>1.3238019592268997</v>
      </c>
      <c r="BL19" s="19">
        <v>75.53</v>
      </c>
      <c r="BM19" s="27"/>
      <c r="BN19" s="27">
        <f>1/0.7499</f>
        <v>1.3335111348179758</v>
      </c>
      <c r="BO19" s="19">
        <v>75.37</v>
      </c>
      <c r="BP19" s="19"/>
      <c r="BQ19" s="27">
        <f>1/0.7473</f>
        <v>1.3381506757660913</v>
      </c>
      <c r="BR19" s="19">
        <v>75.36</v>
      </c>
      <c r="BS19" s="19"/>
      <c r="BT19" s="27">
        <f t="shared" si="0"/>
        <v>1.3129562504519072</v>
      </c>
      <c r="BU19" s="19">
        <f t="shared" si="1"/>
        <v>75.53347826086956</v>
      </c>
      <c r="BV19" s="24"/>
      <c r="BW19" s="31"/>
      <c r="BX19" s="32"/>
    </row>
    <row r="20" spans="1:76" ht="15.75" customHeight="1">
      <c r="A20" s="16">
        <v>8</v>
      </c>
      <c r="B20" s="17" t="s">
        <v>21</v>
      </c>
      <c r="C20" s="27">
        <v>1.2184</v>
      </c>
      <c r="D20" s="19">
        <v>81.26</v>
      </c>
      <c r="E20" s="5"/>
      <c r="F20" s="27">
        <v>1.2132</v>
      </c>
      <c r="G20" s="19">
        <v>81.59</v>
      </c>
      <c r="H20" s="5"/>
      <c r="I20" s="27">
        <v>1.2113</v>
      </c>
      <c r="J20" s="19">
        <v>81.75</v>
      </c>
      <c r="K20" s="5"/>
      <c r="L20" s="27">
        <v>1.2153</v>
      </c>
      <c r="M20" s="19">
        <v>81.43</v>
      </c>
      <c r="N20" s="5"/>
      <c r="O20" s="27">
        <v>1.2157</v>
      </c>
      <c r="P20" s="19">
        <v>81.09</v>
      </c>
      <c r="Q20" s="5"/>
      <c r="R20" s="27">
        <v>1.2134</v>
      </c>
      <c r="S20" s="19">
        <v>80.98</v>
      </c>
      <c r="T20" s="5"/>
      <c r="U20" s="27">
        <v>1.2177</v>
      </c>
      <c r="V20" s="19">
        <v>80.7</v>
      </c>
      <c r="W20" s="5"/>
      <c r="X20" s="27">
        <v>1.2146</v>
      </c>
      <c r="Y20" s="19">
        <v>80.89</v>
      </c>
      <c r="Z20" s="5"/>
      <c r="AA20" s="27">
        <v>1.208</v>
      </c>
      <c r="AB20" s="19">
        <v>81.45</v>
      </c>
      <c r="AC20" s="5"/>
      <c r="AD20" s="27">
        <v>1.1994</v>
      </c>
      <c r="AE20" s="19">
        <v>81.54</v>
      </c>
      <c r="AF20" s="5"/>
      <c r="AG20" s="27">
        <v>1.1975</v>
      </c>
      <c r="AH20" s="19">
        <v>81.77</v>
      </c>
      <c r="AI20" s="5"/>
      <c r="AJ20" s="27">
        <v>1.2013</v>
      </c>
      <c r="AK20" s="19">
        <v>81.84</v>
      </c>
      <c r="AL20" s="5"/>
      <c r="AM20" s="27">
        <v>1.2016</v>
      </c>
      <c r="AN20" s="19">
        <v>82.2</v>
      </c>
      <c r="AO20" s="5"/>
      <c r="AP20" s="27">
        <v>1.2143</v>
      </c>
      <c r="AQ20" s="19">
        <v>81.83</v>
      </c>
      <c r="AR20" s="5"/>
      <c r="AS20" s="27">
        <v>1.2186</v>
      </c>
      <c r="AT20" s="19">
        <v>82.11</v>
      </c>
      <c r="AU20" s="5"/>
      <c r="AV20" s="27">
        <v>1.2108</v>
      </c>
      <c r="AW20" s="19">
        <v>82.57</v>
      </c>
      <c r="AX20" s="5"/>
      <c r="AY20" s="27">
        <v>1.2025</v>
      </c>
      <c r="AZ20" s="19">
        <v>82.9</v>
      </c>
      <c r="BA20" s="5"/>
      <c r="BB20" s="27">
        <v>1.1991</v>
      </c>
      <c r="BC20" s="19">
        <v>83.47</v>
      </c>
      <c r="BD20" s="5"/>
      <c r="BE20" s="27">
        <v>1.1869</v>
      </c>
      <c r="BF20" s="19">
        <v>84.04</v>
      </c>
      <c r="BG20" s="5"/>
      <c r="BH20" s="27">
        <v>1.195</v>
      </c>
      <c r="BI20" s="19">
        <v>83.79</v>
      </c>
      <c r="BJ20" s="27"/>
      <c r="BK20" s="27">
        <v>1.1939</v>
      </c>
      <c r="BL20" s="19">
        <v>83.75</v>
      </c>
      <c r="BM20" s="27"/>
      <c r="BN20" s="27">
        <v>1.2009</v>
      </c>
      <c r="BO20" s="19">
        <v>83.69</v>
      </c>
      <c r="BP20" s="19"/>
      <c r="BQ20" s="27">
        <v>1.1916</v>
      </c>
      <c r="BR20" s="19">
        <v>84.63</v>
      </c>
      <c r="BS20" s="19"/>
      <c r="BT20" s="27">
        <f t="shared" si="0"/>
        <v>1.2061304347826087</v>
      </c>
      <c r="BU20" s="19">
        <f t="shared" si="1"/>
        <v>82.2291304347826</v>
      </c>
      <c r="BV20" s="9"/>
      <c r="BW20" s="31"/>
      <c r="BX20" s="32"/>
    </row>
    <row r="21" spans="1:76" ht="15.75" customHeight="1">
      <c r="A21" s="16">
        <v>9</v>
      </c>
      <c r="B21" s="17" t="s">
        <v>22</v>
      </c>
      <c r="C21" s="27">
        <v>7.699</v>
      </c>
      <c r="D21" s="19">
        <v>12.86</v>
      </c>
      <c r="E21" s="5"/>
      <c r="F21" s="27">
        <v>7.6672</v>
      </c>
      <c r="G21" s="19">
        <v>12.91</v>
      </c>
      <c r="H21" s="5"/>
      <c r="I21" s="27">
        <v>7.6052</v>
      </c>
      <c r="J21" s="19">
        <v>13.02</v>
      </c>
      <c r="K21" s="5"/>
      <c r="L21" s="27">
        <v>7.603</v>
      </c>
      <c r="M21" s="19">
        <v>13.02</v>
      </c>
      <c r="N21" s="5"/>
      <c r="O21" s="27">
        <v>7.546</v>
      </c>
      <c r="P21" s="19">
        <v>13.06</v>
      </c>
      <c r="Q21" s="5"/>
      <c r="R21" s="27">
        <v>7.53</v>
      </c>
      <c r="S21" s="19">
        <v>13.05</v>
      </c>
      <c r="T21" s="5"/>
      <c r="U21" s="27">
        <v>7.5484</v>
      </c>
      <c r="V21" s="19">
        <v>13.02</v>
      </c>
      <c r="W21" s="5"/>
      <c r="X21" s="27">
        <v>7.5255</v>
      </c>
      <c r="Y21" s="19">
        <v>13.06</v>
      </c>
      <c r="Z21" s="5"/>
      <c r="AA21" s="27">
        <v>7.5113</v>
      </c>
      <c r="AB21" s="19">
        <v>13.1</v>
      </c>
      <c r="AC21" s="5"/>
      <c r="AD21" s="27">
        <v>7.4553</v>
      </c>
      <c r="AE21" s="19">
        <v>13.12</v>
      </c>
      <c r="AF21" s="5"/>
      <c r="AG21" s="27">
        <v>7.5035</v>
      </c>
      <c r="AH21" s="19">
        <v>13.05</v>
      </c>
      <c r="AI21" s="5"/>
      <c r="AJ21" s="27">
        <v>7.5479</v>
      </c>
      <c r="AK21" s="19">
        <v>13.03</v>
      </c>
      <c r="AL21" s="5"/>
      <c r="AM21" s="27">
        <v>7.5974</v>
      </c>
      <c r="AN21" s="19">
        <v>13</v>
      </c>
      <c r="AO21" s="5"/>
      <c r="AP21" s="27">
        <v>7.6181</v>
      </c>
      <c r="AQ21" s="19">
        <v>13.04</v>
      </c>
      <c r="AR21" s="5"/>
      <c r="AS21" s="27">
        <v>7.6743</v>
      </c>
      <c r="AT21" s="19">
        <v>13.04</v>
      </c>
      <c r="AU21" s="5"/>
      <c r="AV21" s="27">
        <v>7.6912</v>
      </c>
      <c r="AW21" s="19">
        <v>13</v>
      </c>
      <c r="AX21" s="5"/>
      <c r="AY21" s="27">
        <v>7.6561</v>
      </c>
      <c r="AZ21" s="19">
        <v>13.02</v>
      </c>
      <c r="BA21" s="5"/>
      <c r="BB21" s="27">
        <v>7.6482</v>
      </c>
      <c r="BC21" s="19">
        <v>13.09</v>
      </c>
      <c r="BD21" s="5"/>
      <c r="BE21" s="27">
        <v>7.5831</v>
      </c>
      <c r="BF21" s="19">
        <v>13.15</v>
      </c>
      <c r="BG21" s="5"/>
      <c r="BH21" s="27">
        <v>7.576</v>
      </c>
      <c r="BI21" s="19">
        <v>13.22</v>
      </c>
      <c r="BJ21" s="27"/>
      <c r="BK21" s="27">
        <v>7.5595</v>
      </c>
      <c r="BL21" s="19">
        <v>13.23</v>
      </c>
      <c r="BM21" s="27"/>
      <c r="BN21" s="27">
        <v>7.6498</v>
      </c>
      <c r="BO21" s="19">
        <v>13.14</v>
      </c>
      <c r="BP21" s="19"/>
      <c r="BQ21" s="27">
        <v>7.6598</v>
      </c>
      <c r="BR21" s="19">
        <v>13.16</v>
      </c>
      <c r="BS21" s="19"/>
      <c r="BT21" s="27">
        <f t="shared" si="0"/>
        <v>7.593730434782609</v>
      </c>
      <c r="BU21" s="19">
        <f t="shared" si="1"/>
        <v>13.060434782608697</v>
      </c>
      <c r="BV21" s="9"/>
      <c r="BW21" s="31"/>
      <c r="BX21" s="32"/>
    </row>
    <row r="22" spans="1:76" ht="15.75" customHeight="1">
      <c r="A22" s="16">
        <v>10</v>
      </c>
      <c r="B22" s="17" t="s">
        <v>23</v>
      </c>
      <c r="C22" s="27">
        <v>6.422</v>
      </c>
      <c r="D22" s="19">
        <v>15.42</v>
      </c>
      <c r="E22" s="5"/>
      <c r="F22" s="27">
        <v>6.4181</v>
      </c>
      <c r="G22" s="19">
        <v>15.42</v>
      </c>
      <c r="H22" s="5"/>
      <c r="I22" s="27">
        <v>6.3702</v>
      </c>
      <c r="J22" s="19">
        <v>15.55</v>
      </c>
      <c r="K22" s="5"/>
      <c r="L22" s="27">
        <v>6.3827</v>
      </c>
      <c r="M22" s="19">
        <v>15.5</v>
      </c>
      <c r="N22" s="5"/>
      <c r="O22" s="27">
        <v>6.3559</v>
      </c>
      <c r="P22" s="19">
        <v>15.51</v>
      </c>
      <c r="Q22" s="5"/>
      <c r="R22" s="27">
        <v>6.4034</v>
      </c>
      <c r="S22" s="19">
        <v>15.35</v>
      </c>
      <c r="T22" s="5"/>
      <c r="U22" s="27">
        <v>6.3891</v>
      </c>
      <c r="V22" s="19">
        <v>15.38</v>
      </c>
      <c r="W22" s="5"/>
      <c r="X22" s="27">
        <v>6.3677</v>
      </c>
      <c r="Y22" s="19">
        <v>15.43</v>
      </c>
      <c r="Z22" s="5"/>
      <c r="AA22" s="27">
        <v>6.3614</v>
      </c>
      <c r="AB22" s="19">
        <v>15.47</v>
      </c>
      <c r="AC22" s="5"/>
      <c r="AD22" s="27">
        <v>6.324</v>
      </c>
      <c r="AE22" s="19">
        <v>15.46</v>
      </c>
      <c r="AF22" s="5"/>
      <c r="AG22" s="27">
        <v>6.4166</v>
      </c>
      <c r="AH22" s="19">
        <v>15.26</v>
      </c>
      <c r="AI22" s="5"/>
      <c r="AJ22" s="27">
        <v>6.4597</v>
      </c>
      <c r="AK22" s="19">
        <v>15.22</v>
      </c>
      <c r="AL22" s="5"/>
      <c r="AM22" s="27">
        <v>6.4511</v>
      </c>
      <c r="AN22" s="19">
        <v>15.31</v>
      </c>
      <c r="AO22" s="5"/>
      <c r="AP22" s="27">
        <v>6.4892</v>
      </c>
      <c r="AQ22" s="19">
        <v>15.31</v>
      </c>
      <c r="AR22" s="5"/>
      <c r="AS22" s="27">
        <v>6.5545</v>
      </c>
      <c r="AT22" s="19">
        <v>15.27</v>
      </c>
      <c r="AU22" s="5"/>
      <c r="AV22" s="27">
        <v>6.5485</v>
      </c>
      <c r="AW22" s="19">
        <v>15.27</v>
      </c>
      <c r="AX22" s="5"/>
      <c r="AY22" s="27">
        <v>6.5428</v>
      </c>
      <c r="AZ22" s="19">
        <v>15.24</v>
      </c>
      <c r="BA22" s="5"/>
      <c r="BB22" s="27">
        <v>6.5239</v>
      </c>
      <c r="BC22" s="19">
        <v>15.34</v>
      </c>
      <c r="BD22" s="5"/>
      <c r="BE22" s="27">
        <v>6.4466</v>
      </c>
      <c r="BF22" s="19">
        <v>15.47</v>
      </c>
      <c r="BG22" s="5"/>
      <c r="BH22" s="27">
        <v>6.4494</v>
      </c>
      <c r="BI22" s="19">
        <v>15.53</v>
      </c>
      <c r="BJ22" s="27"/>
      <c r="BK22" s="27">
        <v>6.4162</v>
      </c>
      <c r="BL22" s="19">
        <v>15.58</v>
      </c>
      <c r="BM22" s="27"/>
      <c r="BN22" s="27">
        <v>6.4897</v>
      </c>
      <c r="BO22" s="19">
        <v>15.49</v>
      </c>
      <c r="BP22" s="19"/>
      <c r="BQ22" s="27">
        <v>6.4508</v>
      </c>
      <c r="BR22" s="19">
        <v>15.63</v>
      </c>
      <c r="BS22" s="19"/>
      <c r="BT22" s="27">
        <f t="shared" si="0"/>
        <v>6.436239130434783</v>
      </c>
      <c r="BU22" s="19">
        <f t="shared" si="1"/>
        <v>15.409130434782607</v>
      </c>
      <c r="BV22" s="9"/>
      <c r="BW22" s="31"/>
      <c r="BX22" s="32"/>
    </row>
    <row r="23" spans="1:76" ht="15.75" customHeight="1">
      <c r="A23" s="16">
        <v>11</v>
      </c>
      <c r="B23" s="17" t="s">
        <v>24</v>
      </c>
      <c r="C23" s="27">
        <v>6.1078</v>
      </c>
      <c r="D23" s="19">
        <v>16.21</v>
      </c>
      <c r="E23" s="5"/>
      <c r="F23" s="27">
        <v>6.1038</v>
      </c>
      <c r="G23" s="19">
        <v>16.22</v>
      </c>
      <c r="H23" s="5"/>
      <c r="I23" s="27">
        <v>6.0576</v>
      </c>
      <c r="J23" s="19">
        <v>16.35</v>
      </c>
      <c r="K23" s="5"/>
      <c r="L23" s="27">
        <v>6.0612</v>
      </c>
      <c r="M23" s="19">
        <v>16.33</v>
      </c>
      <c r="N23" s="5"/>
      <c r="O23" s="27">
        <v>6.0316</v>
      </c>
      <c r="P23" s="19">
        <v>16.34</v>
      </c>
      <c r="Q23" s="5"/>
      <c r="R23" s="27">
        <v>6.0249</v>
      </c>
      <c r="S23" s="19">
        <v>16.31</v>
      </c>
      <c r="T23" s="5"/>
      <c r="U23" s="27">
        <v>6.0294</v>
      </c>
      <c r="V23" s="19">
        <v>16.3</v>
      </c>
      <c r="W23" s="5"/>
      <c r="X23" s="27">
        <v>6.0132</v>
      </c>
      <c r="Y23" s="19">
        <v>16.34</v>
      </c>
      <c r="Z23" s="5"/>
      <c r="AA23" s="27">
        <v>6.0135</v>
      </c>
      <c r="AB23" s="19">
        <v>16.36</v>
      </c>
      <c r="AC23" s="5"/>
      <c r="AD23" s="27">
        <v>5.9809</v>
      </c>
      <c r="AE23" s="19">
        <v>16.35</v>
      </c>
      <c r="AF23" s="5"/>
      <c r="AG23" s="27">
        <v>6.0199</v>
      </c>
      <c r="AH23" s="19">
        <v>16.27</v>
      </c>
      <c r="AI23" s="5"/>
      <c r="AJ23" s="27">
        <v>6.0535</v>
      </c>
      <c r="AK23" s="19">
        <v>16.24</v>
      </c>
      <c r="AL23" s="5"/>
      <c r="AM23" s="27">
        <v>6.0719</v>
      </c>
      <c r="AN23" s="19">
        <v>16.27</v>
      </c>
      <c r="AO23" s="5"/>
      <c r="AP23" s="27">
        <v>6.0919</v>
      </c>
      <c r="AQ23" s="19">
        <v>16.31</v>
      </c>
      <c r="AR23" s="5"/>
      <c r="AS23" s="27">
        <v>6.1224</v>
      </c>
      <c r="AT23" s="19">
        <v>16.34</v>
      </c>
      <c r="AU23" s="5"/>
      <c r="AV23" s="27">
        <v>6.1198</v>
      </c>
      <c r="AW23" s="19">
        <v>16.34</v>
      </c>
      <c r="AX23" s="5"/>
      <c r="AY23" s="27">
        <v>6.091</v>
      </c>
      <c r="AZ23" s="19">
        <v>16.37</v>
      </c>
      <c r="BA23" s="5"/>
      <c r="BB23" s="27">
        <v>6.1138</v>
      </c>
      <c r="BC23" s="19">
        <v>16.37</v>
      </c>
      <c r="BD23" s="5"/>
      <c r="BE23" s="27">
        <v>6.0618</v>
      </c>
      <c r="BF23" s="19">
        <v>16.46</v>
      </c>
      <c r="BG23" s="5"/>
      <c r="BH23" s="27">
        <v>6.0575</v>
      </c>
      <c r="BI23" s="19">
        <v>16.53</v>
      </c>
      <c r="BJ23" s="27"/>
      <c r="BK23" s="27">
        <v>6.0563</v>
      </c>
      <c r="BL23" s="19">
        <v>16.51</v>
      </c>
      <c r="BM23" s="27"/>
      <c r="BN23" s="27">
        <v>6.1099</v>
      </c>
      <c r="BO23" s="19">
        <v>16.45</v>
      </c>
      <c r="BP23" s="19"/>
      <c r="BQ23" s="27">
        <v>6.1062</v>
      </c>
      <c r="BR23" s="19">
        <v>16.51</v>
      </c>
      <c r="BS23" s="19"/>
      <c r="BT23" s="27">
        <f t="shared" si="0"/>
        <v>6.065208695652175</v>
      </c>
      <c r="BU23" s="19">
        <f t="shared" si="1"/>
        <v>16.351304347826087</v>
      </c>
      <c r="BV23" s="9"/>
      <c r="BW23" s="31"/>
      <c r="BX23" s="32"/>
    </row>
    <row r="24" spans="1:76" ht="15.75" customHeight="1">
      <c r="A24" s="16">
        <v>12</v>
      </c>
      <c r="B24" s="17" t="s">
        <v>25</v>
      </c>
      <c r="C24" s="27">
        <f>1/1.45186</f>
        <v>0.6887716446489331</v>
      </c>
      <c r="D24" s="19">
        <v>143.74</v>
      </c>
      <c r="E24" s="5"/>
      <c r="F24" s="27">
        <f>1/1.45976</f>
        <v>0.6850441168411245</v>
      </c>
      <c r="G24" s="19">
        <v>144.49</v>
      </c>
      <c r="H24" s="5"/>
      <c r="I24" s="27">
        <f>1/1.46041</f>
        <v>0.6847392170691792</v>
      </c>
      <c r="J24" s="19">
        <v>144.62</v>
      </c>
      <c r="K24" s="5"/>
      <c r="L24" s="27">
        <f>1/1.46495</f>
        <v>0.6826171541690843</v>
      </c>
      <c r="M24" s="19">
        <v>144.97</v>
      </c>
      <c r="N24" s="5"/>
      <c r="O24" s="27">
        <f>1/1.46575</f>
        <v>0.682244584683609</v>
      </c>
      <c r="P24" s="19">
        <v>144.49</v>
      </c>
      <c r="Q24" s="5"/>
      <c r="R24" s="27">
        <f>1/1.46663</f>
        <v>0.6818352276988743</v>
      </c>
      <c r="S24" s="19">
        <v>144.12</v>
      </c>
      <c r="T24" s="5"/>
      <c r="U24" s="27">
        <f>1/1.46802</f>
        <v>0.6811896295690794</v>
      </c>
      <c r="V24" s="19">
        <v>144.25</v>
      </c>
      <c r="W24" s="5"/>
      <c r="X24" s="27">
        <f>1/1.4663</f>
        <v>0.6819886789879288</v>
      </c>
      <c r="Y24" s="19">
        <v>144.07</v>
      </c>
      <c r="Z24" s="5"/>
      <c r="AA24" s="27">
        <f>1/1.47031</f>
        <v>0.6801286803463216</v>
      </c>
      <c r="AB24" s="19">
        <v>144.66</v>
      </c>
      <c r="AC24" s="5"/>
      <c r="AD24" s="27">
        <f>1/1.47358</f>
        <v>0.6786194166587495</v>
      </c>
      <c r="AE24" s="19">
        <v>144.11</v>
      </c>
      <c r="AF24" s="5"/>
      <c r="AG24" s="27">
        <f>1/1.47857</f>
        <v>0.6763291558735806</v>
      </c>
      <c r="AH24" s="19">
        <v>144.78</v>
      </c>
      <c r="AI24" s="5"/>
      <c r="AJ24" s="27">
        <f>1/1.47358</f>
        <v>0.6786194166587495</v>
      </c>
      <c r="AK24" s="19">
        <v>144.88</v>
      </c>
      <c r="AL24" s="5"/>
      <c r="AM24" s="27">
        <f>1/1.47169</f>
        <v>0.6794909253986914</v>
      </c>
      <c r="AN24" s="19">
        <v>145.35</v>
      </c>
      <c r="AO24" s="5"/>
      <c r="AP24" s="27">
        <f>1/1.47053</f>
        <v>0.6800269290663911</v>
      </c>
      <c r="AQ24" s="19">
        <v>146.13</v>
      </c>
      <c r="AR24" s="5"/>
      <c r="AS24" s="27">
        <f>1/1.46531</f>
        <v>0.6824494475571723</v>
      </c>
      <c r="AT24" s="19">
        <v>146.62</v>
      </c>
      <c r="AU24" s="5"/>
      <c r="AV24" s="27">
        <f>1/1.46266</f>
        <v>0.6836858873559132</v>
      </c>
      <c r="AW24" s="19">
        <v>146.22</v>
      </c>
      <c r="AX24" s="5"/>
      <c r="AY24" s="27">
        <f>1/1.46659</f>
        <v>0.6818538241771729</v>
      </c>
      <c r="AZ24" s="19">
        <v>146.2</v>
      </c>
      <c r="BA24" s="5"/>
      <c r="BB24" s="27">
        <f>1/1.46563</f>
        <v>0.6823004441775892</v>
      </c>
      <c r="BC24" s="19">
        <v>146.7</v>
      </c>
      <c r="BD24" s="5"/>
      <c r="BE24" s="27">
        <f>1/1.46374</f>
        <v>0.6831814393266563</v>
      </c>
      <c r="BF24" s="19">
        <v>146.01</v>
      </c>
      <c r="BG24" s="5"/>
      <c r="BH24" s="27">
        <f>1/1.46922</f>
        <v>0.6806332611862077</v>
      </c>
      <c r="BI24" s="19">
        <v>147.11</v>
      </c>
      <c r="BJ24" s="27"/>
      <c r="BK24" s="27">
        <f>1/1.47002</f>
        <v>0.6802628535666181</v>
      </c>
      <c r="BL24" s="19">
        <v>146.99</v>
      </c>
      <c r="BM24" s="27"/>
      <c r="BN24" s="27">
        <f>1/1.4659</f>
        <v>0.6821747731768879</v>
      </c>
      <c r="BO24" s="19">
        <v>147.33</v>
      </c>
      <c r="BP24" s="19"/>
      <c r="BQ24" s="27">
        <f>1/1.46007</f>
        <v>0.6848986692418857</v>
      </c>
      <c r="BR24" s="19">
        <v>147.23</v>
      </c>
      <c r="BS24" s="19"/>
      <c r="BT24" s="27">
        <f t="shared" si="0"/>
        <v>0.6818732772798433</v>
      </c>
      <c r="BU24" s="19">
        <f t="shared" si="1"/>
        <v>145.43782608695648</v>
      </c>
      <c r="BV24" s="9"/>
      <c r="BW24" s="31"/>
      <c r="BX24" s="32"/>
    </row>
    <row r="25" spans="1:76" ht="15.75" customHeight="1" thickBot="1">
      <c r="A25" s="35">
        <v>13</v>
      </c>
      <c r="B25" s="36" t="s">
        <v>26</v>
      </c>
      <c r="C25" s="28">
        <v>1</v>
      </c>
      <c r="D25" s="22">
        <v>99</v>
      </c>
      <c r="E25" s="21"/>
      <c r="F25" s="28">
        <v>1</v>
      </c>
      <c r="G25" s="22">
        <v>98.98</v>
      </c>
      <c r="H25" s="21"/>
      <c r="I25" s="28">
        <v>1</v>
      </c>
      <c r="J25" s="22">
        <v>99.03</v>
      </c>
      <c r="K25" s="21"/>
      <c r="L25" s="28">
        <v>1</v>
      </c>
      <c r="M25" s="22">
        <v>98.96</v>
      </c>
      <c r="N25" s="21"/>
      <c r="O25" s="28">
        <v>1</v>
      </c>
      <c r="P25" s="22">
        <v>98.58</v>
      </c>
      <c r="Q25" s="21"/>
      <c r="R25" s="28">
        <v>1</v>
      </c>
      <c r="S25" s="22">
        <v>98.27</v>
      </c>
      <c r="T25" s="21"/>
      <c r="U25" s="28">
        <v>1</v>
      </c>
      <c r="V25" s="22">
        <v>98.26</v>
      </c>
      <c r="W25" s="21"/>
      <c r="X25" s="28">
        <v>1</v>
      </c>
      <c r="Y25" s="22">
        <v>98.25</v>
      </c>
      <c r="Z25" s="21"/>
      <c r="AA25" s="28">
        <v>1</v>
      </c>
      <c r="AB25" s="22">
        <v>98.39</v>
      </c>
      <c r="AC25" s="21"/>
      <c r="AD25" s="28">
        <v>1</v>
      </c>
      <c r="AE25" s="22">
        <v>97.8</v>
      </c>
      <c r="AF25" s="21"/>
      <c r="AG25" s="28">
        <v>1</v>
      </c>
      <c r="AH25" s="22">
        <v>97.92</v>
      </c>
      <c r="AI25" s="21"/>
      <c r="AJ25" s="28">
        <v>1</v>
      </c>
      <c r="AK25" s="22">
        <v>98.32</v>
      </c>
      <c r="AL25" s="21"/>
      <c r="AM25" s="28">
        <v>1</v>
      </c>
      <c r="AN25" s="22">
        <v>98.77</v>
      </c>
      <c r="AO25" s="21"/>
      <c r="AP25" s="28">
        <v>1</v>
      </c>
      <c r="AQ25" s="22">
        <v>99.37</v>
      </c>
      <c r="AR25" s="21"/>
      <c r="AS25" s="28">
        <v>1</v>
      </c>
      <c r="AT25" s="22">
        <v>100.06</v>
      </c>
      <c r="AU25" s="21"/>
      <c r="AV25" s="28">
        <v>1</v>
      </c>
      <c r="AW25" s="22">
        <v>99.97</v>
      </c>
      <c r="AX25" s="21"/>
      <c r="AY25" s="28">
        <v>1</v>
      </c>
      <c r="AZ25" s="22">
        <v>99.69</v>
      </c>
      <c r="BA25" s="21"/>
      <c r="BB25" s="28">
        <v>1</v>
      </c>
      <c r="BC25" s="22">
        <v>100.09</v>
      </c>
      <c r="BD25" s="21"/>
      <c r="BE25" s="28">
        <v>1</v>
      </c>
      <c r="BF25" s="22">
        <v>99.75</v>
      </c>
      <c r="BG25" s="21"/>
      <c r="BH25" s="28">
        <v>1</v>
      </c>
      <c r="BI25" s="22">
        <v>100.13</v>
      </c>
      <c r="BJ25" s="28"/>
      <c r="BK25" s="28">
        <v>1</v>
      </c>
      <c r="BL25" s="22">
        <v>99.99</v>
      </c>
      <c r="BM25" s="28"/>
      <c r="BN25" s="28">
        <v>1</v>
      </c>
      <c r="BO25" s="22">
        <v>100.5</v>
      </c>
      <c r="BP25" s="22"/>
      <c r="BQ25" s="28">
        <v>1</v>
      </c>
      <c r="BR25" s="22">
        <v>100.84</v>
      </c>
      <c r="BS25" s="22"/>
      <c r="BT25" s="28">
        <f t="shared" si="0"/>
        <v>1</v>
      </c>
      <c r="BU25" s="22">
        <f t="shared" si="1"/>
        <v>99.17043478260868</v>
      </c>
      <c r="BV25" s="9"/>
      <c r="BW25" s="31"/>
      <c r="BX25" s="32"/>
    </row>
    <row r="26" spans="1:76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9"/>
      <c r="BF26" s="31"/>
      <c r="BG26" s="9"/>
      <c r="BH26" s="9"/>
      <c r="BI26" s="31"/>
      <c r="BJ26" s="31"/>
      <c r="BK26" s="31"/>
      <c r="BL26" s="31"/>
      <c r="BM26" s="31"/>
      <c r="BN26" s="31"/>
      <c r="BO26" s="31"/>
      <c r="BP26" s="31"/>
      <c r="BQ26" s="31"/>
      <c r="BR26" s="32"/>
      <c r="BS26" s="32"/>
      <c r="BV26" s="9"/>
      <c r="BW26" s="31"/>
      <c r="BX26" s="32"/>
    </row>
    <row r="27" spans="1:76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V27" s="40"/>
      <c r="BW27" s="40"/>
      <c r="BX27" s="40"/>
    </row>
    <row r="28" spans="1:56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</row>
    <row r="29" spans="1:56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</row>
    <row r="30" spans="1:56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</row>
    <row r="31" spans="1:56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</row>
    <row r="32" spans="1:56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</row>
    <row r="33" spans="1:56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</row>
    <row r="34" spans="1:56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24"/>
    </row>
    <row r="35" spans="1:56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24"/>
    </row>
    <row r="36" spans="1:5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9"/>
      <c r="BB36" s="25"/>
      <c r="BC36" s="25"/>
      <c r="BD36" s="23"/>
    </row>
    <row r="37" spans="1:5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16" r:id="rId1"/>
  <headerFooter alignWithMargins="0">
    <oddHeader>&amp;L&amp;"Helv,Bold"Banka e Shqiperise
Sektori i Informacionit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7" sqref="F7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201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202</v>
      </c>
      <c r="D4" s="4"/>
      <c r="E4" s="10"/>
      <c r="F4" s="4" t="s">
        <v>203</v>
      </c>
      <c r="G4" s="4"/>
      <c r="H4" s="10"/>
      <c r="I4" s="4" t="s">
        <v>204</v>
      </c>
      <c r="J4" s="4"/>
      <c r="K4" s="10"/>
      <c r="L4" s="4" t="s">
        <v>205</v>
      </c>
      <c r="M4" s="4"/>
      <c r="N4" s="10"/>
      <c r="O4" s="4" t="s">
        <v>206</v>
      </c>
      <c r="P4" s="4"/>
      <c r="Q4" s="10"/>
      <c r="R4" s="4" t="s">
        <v>207</v>
      </c>
      <c r="S4" s="4"/>
      <c r="T4" s="10"/>
      <c r="U4" s="4" t="s">
        <v>208</v>
      </c>
      <c r="V4" s="4"/>
      <c r="W4" s="10"/>
      <c r="X4" s="4" t="s">
        <v>209</v>
      </c>
      <c r="Y4" s="4"/>
      <c r="Z4" s="10"/>
      <c r="AA4" s="4" t="s">
        <v>210</v>
      </c>
      <c r="AB4" s="4"/>
      <c r="AC4" s="10"/>
      <c r="AD4" s="4" t="s">
        <v>211</v>
      </c>
      <c r="AE4" s="4"/>
      <c r="AF4" s="10"/>
      <c r="AG4" s="4" t="s">
        <v>212</v>
      </c>
      <c r="AH4" s="4"/>
      <c r="AI4" s="10"/>
      <c r="AJ4" s="4" t="s">
        <v>213</v>
      </c>
      <c r="AK4" s="4"/>
      <c r="AL4" s="10"/>
      <c r="AM4" s="4" t="s">
        <v>214</v>
      </c>
      <c r="AN4" s="4"/>
      <c r="AO4" s="10"/>
      <c r="AP4" s="4" t="s">
        <v>215</v>
      </c>
      <c r="AQ4" s="4"/>
      <c r="AR4" s="10"/>
      <c r="AS4" s="4" t="s">
        <v>216</v>
      </c>
      <c r="AT4" s="4"/>
      <c r="AU4" s="10"/>
      <c r="AV4" s="4" t="s">
        <v>217</v>
      </c>
      <c r="AW4" s="4"/>
      <c r="AX4" s="26"/>
      <c r="AY4" s="4" t="s">
        <v>218</v>
      </c>
      <c r="AZ4" s="4"/>
      <c r="BA4" s="26"/>
      <c r="BB4" s="4" t="s">
        <v>219</v>
      </c>
      <c r="BC4" s="4"/>
      <c r="BD4" s="26"/>
      <c r="BE4" s="4" t="s">
        <v>220</v>
      </c>
      <c r="BF4" s="4"/>
      <c r="BG4" s="4"/>
      <c r="BH4" s="4" t="s">
        <v>221</v>
      </c>
      <c r="BI4" s="4"/>
      <c r="BJ4" s="4"/>
      <c r="BK4" s="4" t="s">
        <v>222</v>
      </c>
      <c r="BL4" s="4"/>
      <c r="BM4" s="4"/>
      <c r="BN4" s="4" t="s">
        <v>223</v>
      </c>
      <c r="BO4" s="4"/>
      <c r="BP4" s="4"/>
      <c r="BQ4" s="4" t="s">
        <v>3</v>
      </c>
      <c r="BR4" s="4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110.67</v>
      </c>
      <c r="D13" s="19">
        <v>90.52</v>
      </c>
      <c r="E13" s="5"/>
      <c r="F13" s="27">
        <v>109.54</v>
      </c>
      <c r="G13" s="19">
        <v>90.91</v>
      </c>
      <c r="H13" s="5"/>
      <c r="I13" s="27">
        <v>108.91</v>
      </c>
      <c r="J13" s="19">
        <v>91.11</v>
      </c>
      <c r="K13" s="5"/>
      <c r="L13" s="27">
        <v>109.66</v>
      </c>
      <c r="M13" s="19">
        <v>91.08</v>
      </c>
      <c r="N13" s="5"/>
      <c r="O13" s="27">
        <v>109.86</v>
      </c>
      <c r="P13" s="19">
        <v>90.89</v>
      </c>
      <c r="Q13" s="5"/>
      <c r="R13" s="27">
        <v>110.43</v>
      </c>
      <c r="S13" s="19">
        <v>90.74</v>
      </c>
      <c r="T13" s="5"/>
      <c r="U13" s="27">
        <v>110.66</v>
      </c>
      <c r="V13" s="19">
        <v>90.57</v>
      </c>
      <c r="W13" s="5"/>
      <c r="X13" s="27">
        <v>109.71</v>
      </c>
      <c r="Y13" s="19">
        <v>91.69</v>
      </c>
      <c r="Z13" s="5"/>
      <c r="AA13" s="27">
        <v>110.77</v>
      </c>
      <c r="AB13" s="19">
        <v>91.1</v>
      </c>
      <c r="AC13" s="5"/>
      <c r="AD13" s="27">
        <v>110.34</v>
      </c>
      <c r="AE13" s="19">
        <v>91.5</v>
      </c>
      <c r="AF13" s="5"/>
      <c r="AG13" s="27">
        <v>110.44</v>
      </c>
      <c r="AH13" s="19">
        <v>91.59</v>
      </c>
      <c r="AI13" s="5"/>
      <c r="AJ13" s="27">
        <v>110.81</v>
      </c>
      <c r="AK13" s="19">
        <v>91.06</v>
      </c>
      <c r="AL13" s="5"/>
      <c r="AM13" s="27">
        <v>111.38</v>
      </c>
      <c r="AN13" s="19">
        <v>91.16</v>
      </c>
      <c r="AO13" s="5"/>
      <c r="AP13" s="27">
        <v>111.38</v>
      </c>
      <c r="AQ13" s="19">
        <v>91.19</v>
      </c>
      <c r="AR13" s="5"/>
      <c r="AS13" s="27">
        <v>111.3</v>
      </c>
      <c r="AT13" s="19">
        <v>90.98</v>
      </c>
      <c r="AU13" s="5"/>
      <c r="AV13" s="27">
        <v>111.17</v>
      </c>
      <c r="AW13" s="19">
        <v>91.01</v>
      </c>
      <c r="AX13" s="5"/>
      <c r="AY13" s="27">
        <v>111.53</v>
      </c>
      <c r="AZ13" s="19">
        <v>91.03</v>
      </c>
      <c r="BA13" s="5"/>
      <c r="BB13" s="27">
        <v>112.48</v>
      </c>
      <c r="BC13" s="19">
        <v>90.8</v>
      </c>
      <c r="BD13" s="5"/>
      <c r="BE13" s="27">
        <v>112.91</v>
      </c>
      <c r="BF13" s="19">
        <v>90.63</v>
      </c>
      <c r="BG13" s="27"/>
      <c r="BH13" s="27">
        <v>113.15</v>
      </c>
      <c r="BI13" s="19">
        <v>90.61</v>
      </c>
      <c r="BJ13" s="27"/>
      <c r="BK13" s="27">
        <v>112.69</v>
      </c>
      <c r="BL13" s="19">
        <v>90.86</v>
      </c>
      <c r="BM13" s="19"/>
      <c r="BN13" s="27">
        <v>113.22</v>
      </c>
      <c r="BO13" s="19">
        <v>90.6</v>
      </c>
      <c r="BP13" s="19"/>
      <c r="BQ13" s="27">
        <f aca="true" t="shared" si="0" ref="BQ13:BR25">(+C13+F13+I13+L13+O13+R13+U13+X13+AA13+AD13+AG13+AJ13+AM13+AP13+AS13+AV13+AY13+BB13+BE13+BH13+BK13+BN13)/22</f>
        <v>111.04590909090908</v>
      </c>
      <c r="BR13" s="19">
        <f t="shared" si="0"/>
        <v>90.9831818181818</v>
      </c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1/1.8077</f>
        <v>0.5531891353653814</v>
      </c>
      <c r="D14" s="19">
        <v>181.1</v>
      </c>
      <c r="E14" s="5"/>
      <c r="F14" s="27">
        <f>1/1.8358</f>
        <v>0.5447216472382612</v>
      </c>
      <c r="G14" s="19">
        <v>182.82</v>
      </c>
      <c r="H14" s="5"/>
      <c r="I14" s="27">
        <f>1/1.8483</f>
        <v>0.5410377103284099</v>
      </c>
      <c r="J14" s="19">
        <v>183.41</v>
      </c>
      <c r="K14" s="5"/>
      <c r="L14" s="27">
        <f>1/1.8412</f>
        <v>0.5431240495329134</v>
      </c>
      <c r="M14" s="19">
        <v>183.9</v>
      </c>
      <c r="N14" s="5"/>
      <c r="O14" s="27">
        <f>1/1.8406</f>
        <v>0.5433010974682169</v>
      </c>
      <c r="P14" s="19">
        <v>183.8</v>
      </c>
      <c r="Q14" s="5"/>
      <c r="R14" s="27">
        <f>1/1.8371</f>
        <v>0.5443361820260193</v>
      </c>
      <c r="S14" s="19">
        <v>184.08</v>
      </c>
      <c r="T14" s="5"/>
      <c r="U14" s="27">
        <f>1/1.8359</f>
        <v>0.5446919766871834</v>
      </c>
      <c r="V14" s="19">
        <v>184</v>
      </c>
      <c r="W14" s="5"/>
      <c r="X14" s="27">
        <f>1/1.8297</f>
        <v>0.5465376837732961</v>
      </c>
      <c r="Y14" s="19">
        <v>184.05</v>
      </c>
      <c r="Z14" s="5"/>
      <c r="AA14" s="27">
        <f>1/1.823</f>
        <v>0.5485463521667581</v>
      </c>
      <c r="AB14" s="19">
        <v>183.96</v>
      </c>
      <c r="AC14" s="5"/>
      <c r="AD14" s="27">
        <f>1/1.8231</f>
        <v>0.548516263507213</v>
      </c>
      <c r="AE14" s="19">
        <v>184.06</v>
      </c>
      <c r="AF14" s="5"/>
      <c r="AG14" s="27">
        <f>1/1.8091</f>
        <v>0.552761041401802</v>
      </c>
      <c r="AH14" s="19">
        <v>183</v>
      </c>
      <c r="AI14" s="5"/>
      <c r="AJ14" s="27">
        <f>1/1.8109</f>
        <v>0.5522116074879894</v>
      </c>
      <c r="AK14" s="19">
        <v>182.72</v>
      </c>
      <c r="AL14" s="5"/>
      <c r="AM14" s="27">
        <f>1/1.8027</f>
        <v>0.5547234703500306</v>
      </c>
      <c r="AN14" s="19">
        <v>183.04</v>
      </c>
      <c r="AO14" s="5"/>
      <c r="AP14" s="27">
        <f>1/1.8024</f>
        <v>0.5548158011540169</v>
      </c>
      <c r="AQ14" s="19">
        <v>183.06</v>
      </c>
      <c r="AR14" s="5"/>
      <c r="AS14" s="27">
        <f>1/1.8071</f>
        <v>0.5533728072602513</v>
      </c>
      <c r="AT14" s="19">
        <v>182.99</v>
      </c>
      <c r="AU14" s="5"/>
      <c r="AV14" s="27">
        <f>1/1.8048</f>
        <v>0.5540780141843972</v>
      </c>
      <c r="AW14" s="19">
        <v>182.61</v>
      </c>
      <c r="AX14" s="5"/>
      <c r="AY14" s="27">
        <f>1/1.7861</f>
        <v>0.5598790661217177</v>
      </c>
      <c r="AZ14" s="19">
        <v>181.34</v>
      </c>
      <c r="BA14" s="5"/>
      <c r="BB14" s="27">
        <f>1/1.7725</f>
        <v>0.5641748942172073</v>
      </c>
      <c r="BC14" s="19">
        <v>181.04</v>
      </c>
      <c r="BD14" s="5"/>
      <c r="BE14" s="27">
        <f>1/1.7681</f>
        <v>0.5655788699734178</v>
      </c>
      <c r="BF14" s="19">
        <v>180.93</v>
      </c>
      <c r="BG14" s="27"/>
      <c r="BH14" s="27">
        <f>1/1.7672</f>
        <v>0.565866908103214</v>
      </c>
      <c r="BI14" s="19">
        <v>181.18</v>
      </c>
      <c r="BJ14" s="27"/>
      <c r="BK14" s="27">
        <f>1/1.7657</f>
        <v>0.5663476241717166</v>
      </c>
      <c r="BL14" s="19">
        <v>180.8</v>
      </c>
      <c r="BM14" s="19"/>
      <c r="BN14" s="27">
        <f>1/1.7614</f>
        <v>0.5677302146020211</v>
      </c>
      <c r="BO14" s="19">
        <v>180.68</v>
      </c>
      <c r="BP14" s="19"/>
      <c r="BQ14" s="27">
        <f t="shared" si="0"/>
        <v>0.5531610189600652</v>
      </c>
      <c r="BR14" s="19">
        <f t="shared" si="0"/>
        <v>182.66227272727272</v>
      </c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1.2506</v>
      </c>
      <c r="D15" s="19">
        <v>80.11</v>
      </c>
      <c r="E15" s="5"/>
      <c r="F15" s="27">
        <v>1.2285</v>
      </c>
      <c r="G15" s="19">
        <v>81.06</v>
      </c>
      <c r="H15" s="5"/>
      <c r="I15" s="27">
        <v>1.2291</v>
      </c>
      <c r="J15" s="19">
        <v>80.74</v>
      </c>
      <c r="K15" s="5"/>
      <c r="L15" s="27">
        <v>1.2381</v>
      </c>
      <c r="M15" s="19">
        <v>80.67</v>
      </c>
      <c r="N15" s="5"/>
      <c r="O15" s="27">
        <v>1.2371</v>
      </c>
      <c r="P15" s="19">
        <v>80.72</v>
      </c>
      <c r="Q15" s="5"/>
      <c r="R15" s="27">
        <v>1.2425</v>
      </c>
      <c r="S15" s="19">
        <v>80.65</v>
      </c>
      <c r="T15" s="5"/>
      <c r="U15" s="27">
        <v>1.2443</v>
      </c>
      <c r="V15" s="19">
        <v>80.54</v>
      </c>
      <c r="W15" s="5"/>
      <c r="X15" s="27">
        <v>1.2522</v>
      </c>
      <c r="Y15" s="19">
        <v>80.33</v>
      </c>
      <c r="Z15" s="5"/>
      <c r="AA15" s="27">
        <v>1.2577</v>
      </c>
      <c r="AB15" s="19">
        <v>80.23</v>
      </c>
      <c r="AC15" s="5"/>
      <c r="AD15" s="27">
        <v>1.2596</v>
      </c>
      <c r="AE15" s="19">
        <v>80.15</v>
      </c>
      <c r="AF15" s="5"/>
      <c r="AG15" s="27">
        <v>1.264</v>
      </c>
      <c r="AH15" s="19">
        <v>80.03</v>
      </c>
      <c r="AI15" s="5"/>
      <c r="AJ15" s="27">
        <v>1.2639</v>
      </c>
      <c r="AK15" s="19">
        <v>79.83</v>
      </c>
      <c r="AL15" s="5"/>
      <c r="AM15" s="27">
        <v>1.277</v>
      </c>
      <c r="AN15" s="19">
        <v>79.51</v>
      </c>
      <c r="AO15" s="5"/>
      <c r="AP15" s="27">
        <v>1.2773</v>
      </c>
      <c r="AQ15" s="19">
        <v>79.51</v>
      </c>
      <c r="AR15" s="5"/>
      <c r="AS15" s="27">
        <v>1.2713</v>
      </c>
      <c r="AT15" s="19">
        <v>79.65</v>
      </c>
      <c r="AU15" s="5"/>
      <c r="AV15" s="27">
        <v>1.2707</v>
      </c>
      <c r="AW15" s="19">
        <v>79.62</v>
      </c>
      <c r="AX15" s="5"/>
      <c r="AY15" s="27">
        <v>1.2825</v>
      </c>
      <c r="AZ15" s="19">
        <v>79.17</v>
      </c>
      <c r="BA15" s="5"/>
      <c r="BB15" s="27">
        <v>1.2909</v>
      </c>
      <c r="BC15" s="19">
        <v>79.12</v>
      </c>
      <c r="BD15" s="5"/>
      <c r="BE15" s="27">
        <v>1.2939</v>
      </c>
      <c r="BF15" s="19">
        <v>79.09</v>
      </c>
      <c r="BG15" s="27"/>
      <c r="BH15" s="27">
        <v>1.2941</v>
      </c>
      <c r="BI15" s="19">
        <v>79.22</v>
      </c>
      <c r="BJ15" s="27"/>
      <c r="BK15" s="27">
        <v>1.2922</v>
      </c>
      <c r="BL15" s="19">
        <v>79.24</v>
      </c>
      <c r="BM15" s="19"/>
      <c r="BN15" s="27">
        <v>1.2934</v>
      </c>
      <c r="BO15" s="19">
        <v>79.31</v>
      </c>
      <c r="BP15" s="19"/>
      <c r="BQ15" s="27">
        <f t="shared" si="0"/>
        <v>1.2641318181818184</v>
      </c>
      <c r="BR15" s="19">
        <f t="shared" si="0"/>
        <v>79.93181818181819</v>
      </c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1/1.2366</f>
        <v>0.8086689309396734</v>
      </c>
      <c r="D16" s="19">
        <v>123.88</v>
      </c>
      <c r="E16" s="5"/>
      <c r="F16" s="27">
        <f>1/1.2555</f>
        <v>0.7964954201513341</v>
      </c>
      <c r="G16" s="19">
        <v>125.03</v>
      </c>
      <c r="H16" s="5"/>
      <c r="I16" s="27">
        <f>1/1.2552</f>
        <v>0.7966857871255576</v>
      </c>
      <c r="J16" s="19">
        <v>124.56</v>
      </c>
      <c r="K16" s="5"/>
      <c r="L16" s="27">
        <f>1/1.2466</f>
        <v>0.802181934862827</v>
      </c>
      <c r="M16" s="19">
        <v>124.51</v>
      </c>
      <c r="N16" s="5"/>
      <c r="O16" s="27">
        <f>1/1.248</f>
        <v>0.8012820512820513</v>
      </c>
      <c r="P16" s="19">
        <v>124.58</v>
      </c>
      <c r="Q16" s="5"/>
      <c r="R16" s="27">
        <f>1/1.2414</f>
        <v>0.8055421298533912</v>
      </c>
      <c r="S16" s="19">
        <v>124.42</v>
      </c>
      <c r="T16" s="5"/>
      <c r="U16" s="27">
        <f>1/1.2402</f>
        <v>0.8063215610385422</v>
      </c>
      <c r="V16" s="19">
        <v>124.38</v>
      </c>
      <c r="W16" s="5"/>
      <c r="X16" s="27">
        <f>1/1.2329</f>
        <v>0.8110957904128477</v>
      </c>
      <c r="Y16" s="19">
        <v>124.03</v>
      </c>
      <c r="Z16" s="5"/>
      <c r="AA16" s="27">
        <f>1/1.2296</f>
        <v>0.8132726089785296</v>
      </c>
      <c r="AB16" s="19">
        <v>124.06</v>
      </c>
      <c r="AC16" s="5"/>
      <c r="AD16" s="27">
        <f>1/1.2281</f>
        <v>0.814265939255761</v>
      </c>
      <c r="AE16" s="19">
        <v>123.99</v>
      </c>
      <c r="AF16" s="5"/>
      <c r="AG16" s="27">
        <f>1/1.2225</f>
        <v>0.8179959100204499</v>
      </c>
      <c r="AH16" s="19">
        <v>123.67</v>
      </c>
      <c r="AI16" s="5"/>
      <c r="AJ16" s="27">
        <f>1/1.2269</f>
        <v>0.8150623522699486</v>
      </c>
      <c r="AK16" s="19">
        <v>123.8</v>
      </c>
      <c r="AL16" s="5"/>
      <c r="AM16" s="27">
        <f>1/1.2139</f>
        <v>0.8237910865804432</v>
      </c>
      <c r="AN16" s="19">
        <v>123.27</v>
      </c>
      <c r="AO16" s="5"/>
      <c r="AP16" s="27">
        <f>1/1.2151</f>
        <v>0.8229775327133568</v>
      </c>
      <c r="AQ16" s="19">
        <v>123.45</v>
      </c>
      <c r="AR16" s="5"/>
      <c r="AS16" s="27">
        <f>1/1.2203</f>
        <v>0.8194706219782021</v>
      </c>
      <c r="AT16" s="19">
        <v>123.54</v>
      </c>
      <c r="AU16" s="5"/>
      <c r="AV16" s="27">
        <f>1/1.2214</f>
        <v>0.8187326019322089</v>
      </c>
      <c r="AW16" s="19">
        <v>123.54</v>
      </c>
      <c r="AX16" s="5"/>
      <c r="AY16" s="27">
        <f>1/1.2126</f>
        <v>0.8246742536698005</v>
      </c>
      <c r="AZ16" s="19">
        <v>123.27</v>
      </c>
      <c r="BA16" s="5"/>
      <c r="BB16" s="27">
        <f>1/1.2046</f>
        <v>0.8301510874979247</v>
      </c>
      <c r="BC16" s="19">
        <v>123.14</v>
      </c>
      <c r="BD16" s="5"/>
      <c r="BE16" s="27">
        <f>1/1.2032</f>
        <v>0.8311170212765957</v>
      </c>
      <c r="BF16" s="19">
        <v>123.13</v>
      </c>
      <c r="BG16" s="27"/>
      <c r="BH16" s="27">
        <f>1/1.2014</f>
        <v>0.8323622440486099</v>
      </c>
      <c r="BI16" s="19">
        <v>123.26</v>
      </c>
      <c r="BJ16" s="27"/>
      <c r="BK16" s="27">
        <f>1/1.206</f>
        <v>0.8291873963515755</v>
      </c>
      <c r="BL16" s="19">
        <v>123.44</v>
      </c>
      <c r="BM16" s="19"/>
      <c r="BN16" s="27">
        <f>1/1.2025</f>
        <v>0.8316008316008316</v>
      </c>
      <c r="BO16" s="19">
        <v>123.41</v>
      </c>
      <c r="BP16" s="19"/>
      <c r="BQ16" s="27">
        <f t="shared" si="0"/>
        <v>0.8160425042654754</v>
      </c>
      <c r="BR16" s="19">
        <f t="shared" si="0"/>
        <v>123.83454545454546</v>
      </c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435.25</v>
      </c>
      <c r="D17" s="19">
        <v>43603.35</v>
      </c>
      <c r="E17" s="5"/>
      <c r="F17" s="27">
        <v>445.8</v>
      </c>
      <c r="G17" s="19">
        <v>44394.25</v>
      </c>
      <c r="H17" s="5"/>
      <c r="I17" s="27">
        <v>445.5</v>
      </c>
      <c r="J17" s="19">
        <v>44208.45</v>
      </c>
      <c r="K17" s="5"/>
      <c r="L17" s="27">
        <v>443.5</v>
      </c>
      <c r="M17" s="19">
        <v>44296.78</v>
      </c>
      <c r="N17" s="5"/>
      <c r="O17" s="27">
        <v>444.5</v>
      </c>
      <c r="P17" s="19">
        <v>44386.1</v>
      </c>
      <c r="Q17" s="5"/>
      <c r="R17" s="27">
        <v>444.75</v>
      </c>
      <c r="S17" s="19">
        <v>44565.62</v>
      </c>
      <c r="T17" s="5"/>
      <c r="U17" s="27">
        <v>446.4</v>
      </c>
      <c r="V17" s="19">
        <v>44738.49</v>
      </c>
      <c r="W17" s="5"/>
      <c r="X17" s="27">
        <v>448.8</v>
      </c>
      <c r="Y17" s="19">
        <v>45145.35</v>
      </c>
      <c r="Z17" s="5"/>
      <c r="AA17" s="27">
        <v>448.5</v>
      </c>
      <c r="AB17" s="19">
        <v>45258.7</v>
      </c>
      <c r="AC17" s="5"/>
      <c r="AD17" s="27">
        <v>447.7</v>
      </c>
      <c r="AE17" s="19">
        <v>45199.51</v>
      </c>
      <c r="AF17" s="5"/>
      <c r="AG17" s="27">
        <v>449.2</v>
      </c>
      <c r="AH17" s="19">
        <v>45437.98</v>
      </c>
      <c r="AI17" s="5"/>
      <c r="AJ17" s="27">
        <v>458</v>
      </c>
      <c r="AK17" s="19">
        <v>46213.06</v>
      </c>
      <c r="AL17" s="5"/>
      <c r="AM17" s="27">
        <v>462.1</v>
      </c>
      <c r="AN17" s="19">
        <v>46919.61</v>
      </c>
      <c r="AO17" s="5"/>
      <c r="AP17" s="27">
        <v>469.6</v>
      </c>
      <c r="AQ17" s="19">
        <v>47694.63</v>
      </c>
      <c r="AR17" s="5"/>
      <c r="AS17" s="27">
        <v>465.9</v>
      </c>
      <c r="AT17" s="19">
        <v>47177.33</v>
      </c>
      <c r="AU17" s="5"/>
      <c r="AV17" s="27">
        <v>472.6</v>
      </c>
      <c r="AW17" s="19">
        <v>47816.49</v>
      </c>
      <c r="AX17" s="5"/>
      <c r="AY17" s="27">
        <v>463.65</v>
      </c>
      <c r="AZ17" s="19">
        <v>47074.96</v>
      </c>
      <c r="BA17" s="5"/>
      <c r="BB17" s="27">
        <v>460.7</v>
      </c>
      <c r="BC17" s="19">
        <v>47053.88</v>
      </c>
      <c r="BD17" s="5"/>
      <c r="BE17" s="27">
        <v>465.3</v>
      </c>
      <c r="BF17" s="19">
        <v>47614.15</v>
      </c>
      <c r="BG17" s="27"/>
      <c r="BH17" s="27">
        <v>461.4</v>
      </c>
      <c r="BI17" s="19">
        <v>47305.04</v>
      </c>
      <c r="BJ17" s="27"/>
      <c r="BK17" s="27">
        <v>472</v>
      </c>
      <c r="BL17" s="19">
        <v>48329.56</v>
      </c>
      <c r="BM17" s="19"/>
      <c r="BN17" s="27">
        <v>473.4</v>
      </c>
      <c r="BO17" s="19">
        <v>48561.37</v>
      </c>
      <c r="BP17" s="19"/>
      <c r="BQ17" s="27">
        <f t="shared" si="0"/>
        <v>455.6613636363636</v>
      </c>
      <c r="BR17" s="19">
        <f t="shared" si="0"/>
        <v>46045.21181818181</v>
      </c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6.83</v>
      </c>
      <c r="D18" s="19">
        <v>684.23</v>
      </c>
      <c r="E18" s="5"/>
      <c r="F18" s="27">
        <v>7.04</v>
      </c>
      <c r="G18" s="19">
        <v>701.07</v>
      </c>
      <c r="H18" s="5"/>
      <c r="I18" s="27">
        <v>7.03</v>
      </c>
      <c r="J18" s="19">
        <v>697.61</v>
      </c>
      <c r="K18" s="5"/>
      <c r="L18" s="27">
        <v>7.02</v>
      </c>
      <c r="M18" s="19">
        <v>701.16</v>
      </c>
      <c r="N18" s="5"/>
      <c r="O18" s="27">
        <v>7.05</v>
      </c>
      <c r="P18" s="19">
        <v>703.99</v>
      </c>
      <c r="Q18" s="5"/>
      <c r="R18" s="27">
        <v>7.03</v>
      </c>
      <c r="S18" s="19">
        <v>704.43</v>
      </c>
      <c r="T18" s="5"/>
      <c r="U18" s="27">
        <v>6.98</v>
      </c>
      <c r="V18" s="19">
        <v>699.54</v>
      </c>
      <c r="W18" s="5"/>
      <c r="X18" s="27">
        <v>6.98</v>
      </c>
      <c r="Y18" s="19">
        <v>702.13</v>
      </c>
      <c r="Z18" s="5"/>
      <c r="AA18" s="27">
        <v>6.99</v>
      </c>
      <c r="AB18" s="19">
        <v>705.37</v>
      </c>
      <c r="AC18" s="5"/>
      <c r="AD18" s="27">
        <v>6.95</v>
      </c>
      <c r="AE18" s="19">
        <v>701.67</v>
      </c>
      <c r="AF18" s="5"/>
      <c r="AG18" s="27">
        <v>7.02</v>
      </c>
      <c r="AH18" s="19">
        <v>710.09</v>
      </c>
      <c r="AI18" s="5"/>
      <c r="AJ18" s="27">
        <v>7.05</v>
      </c>
      <c r="AK18" s="19">
        <v>711.36</v>
      </c>
      <c r="AL18" s="5"/>
      <c r="AM18" s="27">
        <v>7.31</v>
      </c>
      <c r="AN18" s="19">
        <v>742.23</v>
      </c>
      <c r="AO18" s="5"/>
      <c r="AP18" s="27">
        <v>7.36</v>
      </c>
      <c r="AQ18" s="19">
        <v>747.51</v>
      </c>
      <c r="AR18" s="5"/>
      <c r="AS18" s="27">
        <v>7.32</v>
      </c>
      <c r="AT18" s="19">
        <v>741.23</v>
      </c>
      <c r="AU18" s="5"/>
      <c r="AV18" s="27">
        <v>7.41</v>
      </c>
      <c r="AW18" s="19">
        <v>749.73</v>
      </c>
      <c r="AX18" s="5"/>
      <c r="AY18" s="27">
        <v>7.32</v>
      </c>
      <c r="AZ18" s="19">
        <v>743.21</v>
      </c>
      <c r="BA18" s="5"/>
      <c r="BB18" s="27">
        <v>7.2</v>
      </c>
      <c r="BC18" s="19">
        <v>735.38</v>
      </c>
      <c r="BD18" s="5"/>
      <c r="BE18" s="27">
        <v>7.3</v>
      </c>
      <c r="BF18" s="19">
        <v>747.01</v>
      </c>
      <c r="BG18" s="27"/>
      <c r="BH18" s="27">
        <v>7.24</v>
      </c>
      <c r="BI18" s="19">
        <v>742.28</v>
      </c>
      <c r="BJ18" s="27"/>
      <c r="BK18" s="27">
        <v>7.39</v>
      </c>
      <c r="BL18" s="19">
        <v>756.69</v>
      </c>
      <c r="BM18" s="19"/>
      <c r="BN18" s="27">
        <v>7.55</v>
      </c>
      <c r="BO18" s="19">
        <v>774.48</v>
      </c>
      <c r="BP18" s="19"/>
      <c r="BQ18" s="27">
        <f t="shared" si="0"/>
        <v>7.153181818181818</v>
      </c>
      <c r="BR18" s="19">
        <f t="shared" si="0"/>
        <v>722.8363636363637</v>
      </c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1/0.7559</f>
        <v>1.3229263130043656</v>
      </c>
      <c r="D19" s="19">
        <v>75.73</v>
      </c>
      <c r="E19" s="5"/>
      <c r="F19" s="27">
        <f>1/0.7654</f>
        <v>1.3065064018813692</v>
      </c>
      <c r="G19" s="19">
        <v>76.22</v>
      </c>
      <c r="H19" s="5"/>
      <c r="I19" s="27">
        <f>1/0.7685</f>
        <v>1.3012361743656475</v>
      </c>
      <c r="J19" s="19">
        <v>76.26</v>
      </c>
      <c r="K19" s="5"/>
      <c r="L19" s="27">
        <f>1/0.766</f>
        <v>1.3054830287206267</v>
      </c>
      <c r="M19" s="19">
        <v>76.51</v>
      </c>
      <c r="N19" s="5"/>
      <c r="O19" s="27">
        <f>1/0.7678</f>
        <v>1.3024225058609011</v>
      </c>
      <c r="P19" s="19">
        <v>76.67</v>
      </c>
      <c r="Q19" s="5"/>
      <c r="R19" s="27">
        <f>1/0.768</f>
        <v>1.3020833333333333</v>
      </c>
      <c r="S19" s="19">
        <v>76.96</v>
      </c>
      <c r="T19" s="5"/>
      <c r="U19" s="27">
        <f>1/0.7717</f>
        <v>1.2958403524685758</v>
      </c>
      <c r="V19" s="19">
        <v>77.34</v>
      </c>
      <c r="W19" s="5"/>
      <c r="X19" s="27">
        <f>1/0.7717</f>
        <v>1.2958403524685758</v>
      </c>
      <c r="Y19" s="19">
        <v>77.63</v>
      </c>
      <c r="Z19" s="5"/>
      <c r="AA19" s="27">
        <f>1/0.7697</f>
        <v>1.2992074834351044</v>
      </c>
      <c r="AB19" s="19">
        <v>77.67</v>
      </c>
      <c r="AC19" s="5"/>
      <c r="AD19" s="27">
        <f>1/0.7701</f>
        <v>1.2985326580963512</v>
      </c>
      <c r="AE19" s="19">
        <v>77.75</v>
      </c>
      <c r="AF19" s="5"/>
      <c r="AG19" s="27">
        <f>1/0.7683</f>
        <v>1.3015749056358195</v>
      </c>
      <c r="AH19" s="19">
        <v>77.72</v>
      </c>
      <c r="AI19" s="5"/>
      <c r="AJ19" s="27">
        <f>1/0.7687</f>
        <v>1.3008976193573565</v>
      </c>
      <c r="AK19" s="19">
        <v>77.56</v>
      </c>
      <c r="AL19" s="5"/>
      <c r="AM19" s="27">
        <f>1/0.7637</f>
        <v>1.30941469163284</v>
      </c>
      <c r="AN19" s="19">
        <v>77.54</v>
      </c>
      <c r="AO19" s="5"/>
      <c r="AP19" s="27">
        <f>1/0.7698</f>
        <v>1.2990387113535982</v>
      </c>
      <c r="AQ19" s="19">
        <v>78.18</v>
      </c>
      <c r="AR19" s="5"/>
      <c r="AS19" s="27">
        <f>1/0.7704</f>
        <v>1.2980269989615785</v>
      </c>
      <c r="AT19" s="19">
        <v>78.01</v>
      </c>
      <c r="AU19" s="5"/>
      <c r="AV19" s="27">
        <f>1/0.7677</f>
        <v>1.3025921583952065</v>
      </c>
      <c r="AW19" s="19">
        <v>77.67</v>
      </c>
      <c r="AX19" s="18"/>
      <c r="AY19" s="27">
        <f>1/0.7606</f>
        <v>1.3147515119642386</v>
      </c>
      <c r="AZ19" s="19">
        <v>77.22</v>
      </c>
      <c r="BA19" s="18"/>
      <c r="BB19" s="27">
        <f>1/0.7565</f>
        <v>1.3218770654329148</v>
      </c>
      <c r="BC19" s="19">
        <v>77.27</v>
      </c>
      <c r="BD19" s="18"/>
      <c r="BE19" s="27">
        <f>1/0.7555</f>
        <v>1.3236267372600927</v>
      </c>
      <c r="BF19" s="19">
        <v>77.31</v>
      </c>
      <c r="BG19" s="27"/>
      <c r="BH19" s="27">
        <f>1/0.7578</f>
        <v>1.3196093956188968</v>
      </c>
      <c r="BI19" s="19">
        <v>77.69</v>
      </c>
      <c r="BJ19" s="27"/>
      <c r="BK19" s="27">
        <f>1/0.7614</f>
        <v>1.3133701076963489</v>
      </c>
      <c r="BL19" s="19">
        <v>77.96</v>
      </c>
      <c r="BM19" s="19"/>
      <c r="BN19" s="27">
        <f>1/0.7602</f>
        <v>1.3154433043935807</v>
      </c>
      <c r="BO19" s="19">
        <v>77.98</v>
      </c>
      <c r="BP19" s="19"/>
      <c r="BQ19" s="27">
        <f t="shared" si="0"/>
        <v>1.3068319005153328</v>
      </c>
      <c r="BR19" s="19">
        <f t="shared" si="0"/>
        <v>77.31136363636364</v>
      </c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1.1897</v>
      </c>
      <c r="D20" s="19">
        <v>84.21</v>
      </c>
      <c r="E20" s="5"/>
      <c r="F20" s="27">
        <v>1.1849</v>
      </c>
      <c r="G20" s="19">
        <v>84.04</v>
      </c>
      <c r="H20" s="5"/>
      <c r="I20" s="27">
        <v>1.185</v>
      </c>
      <c r="J20" s="19">
        <v>83.74</v>
      </c>
      <c r="K20" s="5"/>
      <c r="L20" s="27">
        <v>1.1909</v>
      </c>
      <c r="M20" s="19">
        <v>83.87</v>
      </c>
      <c r="N20" s="5"/>
      <c r="O20" s="27">
        <v>1.1882</v>
      </c>
      <c r="P20" s="19">
        <v>84.04</v>
      </c>
      <c r="Q20" s="5"/>
      <c r="R20" s="27">
        <v>1.1855</v>
      </c>
      <c r="S20" s="19">
        <v>84.52</v>
      </c>
      <c r="T20" s="5"/>
      <c r="U20" s="27">
        <v>1.18</v>
      </c>
      <c r="V20" s="19">
        <v>84.93</v>
      </c>
      <c r="W20" s="5"/>
      <c r="X20" s="27">
        <v>1.1836</v>
      </c>
      <c r="Y20" s="19">
        <v>84.99</v>
      </c>
      <c r="Z20" s="5"/>
      <c r="AA20" s="27">
        <v>1.1855</v>
      </c>
      <c r="AB20" s="19">
        <v>85.12</v>
      </c>
      <c r="AC20" s="5"/>
      <c r="AD20" s="27">
        <v>1.1798</v>
      </c>
      <c r="AE20" s="19">
        <v>85.57</v>
      </c>
      <c r="AF20" s="5"/>
      <c r="AG20" s="27">
        <v>1.1854</v>
      </c>
      <c r="AH20" s="19">
        <v>85.33</v>
      </c>
      <c r="AI20" s="5"/>
      <c r="AJ20" s="27">
        <v>1.1823</v>
      </c>
      <c r="AK20" s="19">
        <v>85.34</v>
      </c>
      <c r="AL20" s="5"/>
      <c r="AM20" s="27">
        <v>1.1807</v>
      </c>
      <c r="AN20" s="19">
        <v>86</v>
      </c>
      <c r="AO20" s="5"/>
      <c r="AP20" s="27">
        <v>1.1683</v>
      </c>
      <c r="AQ20" s="19">
        <v>86.93</v>
      </c>
      <c r="AR20" s="5"/>
      <c r="AS20" s="27">
        <v>1.1679</v>
      </c>
      <c r="AT20" s="19">
        <v>86.7</v>
      </c>
      <c r="AU20" s="5"/>
      <c r="AV20" s="27">
        <v>1.1641</v>
      </c>
      <c r="AW20" s="19">
        <v>86.91</v>
      </c>
      <c r="AX20" s="5"/>
      <c r="AY20" s="27">
        <v>1.1711</v>
      </c>
      <c r="AZ20" s="19">
        <v>86.7</v>
      </c>
      <c r="BA20" s="5"/>
      <c r="BB20" s="27">
        <v>1.1766</v>
      </c>
      <c r="BC20" s="19">
        <v>86.81</v>
      </c>
      <c r="BD20" s="5"/>
      <c r="BE20" s="27">
        <v>1.1744</v>
      </c>
      <c r="BF20" s="19">
        <v>87.13</v>
      </c>
      <c r="BG20" s="27"/>
      <c r="BH20" s="27">
        <v>1.1785</v>
      </c>
      <c r="BI20" s="19">
        <v>87</v>
      </c>
      <c r="BJ20" s="27"/>
      <c r="BK20" s="27">
        <v>1.1722</v>
      </c>
      <c r="BL20" s="19">
        <v>87.35</v>
      </c>
      <c r="BM20" s="19"/>
      <c r="BN20" s="27">
        <v>1.167</v>
      </c>
      <c r="BO20" s="19">
        <v>87.9</v>
      </c>
      <c r="BP20" s="19"/>
      <c r="BQ20" s="27">
        <f t="shared" si="0"/>
        <v>1.1791636363636364</v>
      </c>
      <c r="BR20" s="19">
        <f t="shared" si="0"/>
        <v>85.68772727272727</v>
      </c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7.5451</v>
      </c>
      <c r="D21" s="19">
        <v>13.28</v>
      </c>
      <c r="E21" s="5"/>
      <c r="F21" s="27">
        <v>7.3914</v>
      </c>
      <c r="G21" s="19">
        <v>13.47</v>
      </c>
      <c r="H21" s="5"/>
      <c r="I21" s="27">
        <v>7.3956</v>
      </c>
      <c r="J21" s="19">
        <v>13.42</v>
      </c>
      <c r="K21" s="5"/>
      <c r="L21" s="27">
        <v>7.4635</v>
      </c>
      <c r="M21" s="19">
        <v>13.38</v>
      </c>
      <c r="N21" s="5"/>
      <c r="O21" s="27">
        <v>7.4586</v>
      </c>
      <c r="P21" s="19">
        <v>13.39</v>
      </c>
      <c r="Q21" s="5"/>
      <c r="R21" s="27">
        <v>7.5122</v>
      </c>
      <c r="S21" s="19">
        <v>13.34</v>
      </c>
      <c r="T21" s="5"/>
      <c r="U21" s="27">
        <v>7.523</v>
      </c>
      <c r="V21" s="19">
        <v>13.32</v>
      </c>
      <c r="W21" s="5"/>
      <c r="X21" s="27">
        <v>7.5412</v>
      </c>
      <c r="Y21" s="19">
        <v>13.34</v>
      </c>
      <c r="Z21" s="5"/>
      <c r="AA21" s="27">
        <v>7.5701</v>
      </c>
      <c r="AB21" s="19">
        <v>13.33</v>
      </c>
      <c r="AC21" s="5"/>
      <c r="AD21" s="27">
        <v>7.6046</v>
      </c>
      <c r="AE21" s="19">
        <v>13.28</v>
      </c>
      <c r="AF21" s="5"/>
      <c r="AG21" s="27">
        <v>7.6326</v>
      </c>
      <c r="AH21" s="19">
        <v>13.25</v>
      </c>
      <c r="AI21" s="5"/>
      <c r="AJ21" s="27">
        <v>7.6064</v>
      </c>
      <c r="AK21" s="19">
        <v>13.27</v>
      </c>
      <c r="AL21" s="5"/>
      <c r="AM21" s="27">
        <v>7.6838</v>
      </c>
      <c r="AN21" s="19">
        <v>13.21</v>
      </c>
      <c r="AO21" s="5"/>
      <c r="AP21" s="27">
        <v>7.6805</v>
      </c>
      <c r="AQ21" s="19">
        <v>13.22</v>
      </c>
      <c r="AR21" s="5"/>
      <c r="AS21" s="27">
        <v>7.6507</v>
      </c>
      <c r="AT21" s="19">
        <v>13.24</v>
      </c>
      <c r="AU21" s="5"/>
      <c r="AV21" s="27">
        <v>7.6645</v>
      </c>
      <c r="AW21" s="19">
        <v>13.2</v>
      </c>
      <c r="AX21" s="5"/>
      <c r="AY21" s="27">
        <v>7.7188</v>
      </c>
      <c r="AZ21" s="19">
        <v>13.15</v>
      </c>
      <c r="BA21" s="5"/>
      <c r="BB21" s="27">
        <v>7.7636</v>
      </c>
      <c r="BC21" s="19">
        <v>13.16</v>
      </c>
      <c r="BD21" s="5"/>
      <c r="BE21" s="27">
        <v>7.798</v>
      </c>
      <c r="BF21" s="19">
        <v>13.12</v>
      </c>
      <c r="BG21" s="27"/>
      <c r="BH21" s="27">
        <v>7.816</v>
      </c>
      <c r="BI21" s="19">
        <v>13.12</v>
      </c>
      <c r="BJ21" s="27"/>
      <c r="BK21" s="27">
        <v>7.772</v>
      </c>
      <c r="BL21" s="19">
        <v>13.17</v>
      </c>
      <c r="BM21" s="19"/>
      <c r="BN21" s="27">
        <v>7.7433</v>
      </c>
      <c r="BO21" s="19">
        <v>13.25</v>
      </c>
      <c r="BP21" s="19"/>
      <c r="BQ21" s="27">
        <f t="shared" si="0"/>
        <v>7.61525</v>
      </c>
      <c r="BR21" s="19">
        <f t="shared" si="0"/>
        <v>13.268636363636364</v>
      </c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6.3471</v>
      </c>
      <c r="D22" s="19">
        <v>15.78</v>
      </c>
      <c r="E22" s="5"/>
      <c r="F22" s="27">
        <v>6.1967</v>
      </c>
      <c r="G22" s="19">
        <v>16.07</v>
      </c>
      <c r="H22" s="5"/>
      <c r="I22" s="27">
        <v>6.2319</v>
      </c>
      <c r="J22" s="19">
        <v>15.92</v>
      </c>
      <c r="K22" s="5"/>
      <c r="L22" s="27">
        <v>6.284</v>
      </c>
      <c r="M22" s="19">
        <v>15.89</v>
      </c>
      <c r="N22" s="5"/>
      <c r="O22" s="27">
        <v>6.2539</v>
      </c>
      <c r="P22" s="19">
        <v>15.97</v>
      </c>
      <c r="Q22" s="5"/>
      <c r="R22" s="27">
        <v>6.2686</v>
      </c>
      <c r="S22" s="19">
        <v>15.99</v>
      </c>
      <c r="T22" s="5"/>
      <c r="U22" s="27">
        <v>6.2777</v>
      </c>
      <c r="V22" s="19">
        <v>15.96</v>
      </c>
      <c r="W22" s="5"/>
      <c r="X22" s="27">
        <v>6.3239</v>
      </c>
      <c r="Y22" s="19">
        <v>15.91</v>
      </c>
      <c r="Z22" s="5"/>
      <c r="AA22" s="27">
        <v>6.3633</v>
      </c>
      <c r="AB22" s="19">
        <v>15.86</v>
      </c>
      <c r="AC22" s="5"/>
      <c r="AD22" s="27">
        <v>6.3636</v>
      </c>
      <c r="AE22" s="19">
        <v>15.87</v>
      </c>
      <c r="AF22" s="5"/>
      <c r="AG22" s="27">
        <v>6.3679</v>
      </c>
      <c r="AH22" s="19">
        <v>15.88</v>
      </c>
      <c r="AI22" s="5"/>
      <c r="AJ22" s="27">
        <v>6.3459</v>
      </c>
      <c r="AK22" s="19">
        <v>15.9</v>
      </c>
      <c r="AL22" s="5"/>
      <c r="AM22" s="27">
        <v>6.424</v>
      </c>
      <c r="AN22" s="19">
        <v>15.81</v>
      </c>
      <c r="AO22" s="5"/>
      <c r="AP22" s="27">
        <v>6.3907</v>
      </c>
      <c r="AQ22" s="19">
        <v>15.89</v>
      </c>
      <c r="AR22" s="5"/>
      <c r="AS22" s="27">
        <v>6.3831</v>
      </c>
      <c r="AT22" s="19">
        <v>15.86</v>
      </c>
      <c r="AU22" s="5"/>
      <c r="AV22" s="27">
        <v>6.3651</v>
      </c>
      <c r="AW22" s="19">
        <v>15.9</v>
      </c>
      <c r="AX22" s="5"/>
      <c r="AY22" s="27">
        <v>6.4205</v>
      </c>
      <c r="AZ22" s="19">
        <v>15.81</v>
      </c>
      <c r="BA22" s="5"/>
      <c r="BB22" s="27">
        <v>6.493</v>
      </c>
      <c r="BC22" s="19">
        <v>15.73</v>
      </c>
      <c r="BD22" s="5"/>
      <c r="BE22" s="27">
        <v>6.5053</v>
      </c>
      <c r="BF22" s="19">
        <v>15.73</v>
      </c>
      <c r="BG22" s="27"/>
      <c r="BH22" s="27">
        <v>6.508</v>
      </c>
      <c r="BI22" s="19">
        <v>15.75</v>
      </c>
      <c r="BJ22" s="27"/>
      <c r="BK22" s="27">
        <v>6.474</v>
      </c>
      <c r="BL22" s="19">
        <v>15.82</v>
      </c>
      <c r="BM22" s="19"/>
      <c r="BN22" s="27">
        <v>6.5472</v>
      </c>
      <c r="BO22" s="19">
        <v>15.67</v>
      </c>
      <c r="BP22" s="19"/>
      <c r="BQ22" s="27">
        <f t="shared" si="0"/>
        <v>6.369790909090909</v>
      </c>
      <c r="BR22" s="19">
        <f t="shared" si="0"/>
        <v>15.862272727272732</v>
      </c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6.029</v>
      </c>
      <c r="D23" s="19">
        <v>16.62</v>
      </c>
      <c r="E23" s="5"/>
      <c r="F23" s="27">
        <v>5.9376</v>
      </c>
      <c r="G23" s="19">
        <v>16.77</v>
      </c>
      <c r="H23" s="5"/>
      <c r="I23" s="27">
        <v>5.9388</v>
      </c>
      <c r="J23" s="19">
        <v>16.71</v>
      </c>
      <c r="K23" s="5"/>
      <c r="L23" s="27">
        <v>5.9795</v>
      </c>
      <c r="M23" s="19">
        <v>16.7</v>
      </c>
      <c r="N23" s="5"/>
      <c r="O23" s="27">
        <v>5.9739</v>
      </c>
      <c r="P23" s="19">
        <v>16.72</v>
      </c>
      <c r="Q23" s="5"/>
      <c r="R23" s="27">
        <v>6.0045</v>
      </c>
      <c r="S23" s="19">
        <v>16.69</v>
      </c>
      <c r="T23" s="5"/>
      <c r="U23" s="27">
        <v>6.0095</v>
      </c>
      <c r="V23" s="19">
        <v>16.68</v>
      </c>
      <c r="W23" s="5"/>
      <c r="X23" s="27">
        <v>6.0465</v>
      </c>
      <c r="Y23" s="19">
        <v>16.64</v>
      </c>
      <c r="Z23" s="5"/>
      <c r="AA23" s="27">
        <v>6.0626</v>
      </c>
      <c r="AB23" s="19">
        <v>16.64</v>
      </c>
      <c r="AC23" s="5"/>
      <c r="AD23" s="27">
        <v>6.0705</v>
      </c>
      <c r="AE23" s="19">
        <v>16.63</v>
      </c>
      <c r="AF23" s="5"/>
      <c r="AG23" s="27">
        <v>6.0966</v>
      </c>
      <c r="AH23" s="19">
        <v>16.59</v>
      </c>
      <c r="AI23" s="5"/>
      <c r="AJ23" s="27">
        <v>6.0751</v>
      </c>
      <c r="AK23" s="19">
        <v>16.61</v>
      </c>
      <c r="AL23" s="5"/>
      <c r="AM23" s="27">
        <v>6.1431</v>
      </c>
      <c r="AN23" s="19">
        <v>16.53</v>
      </c>
      <c r="AO23" s="5"/>
      <c r="AP23" s="27">
        <v>6.1378</v>
      </c>
      <c r="AQ23" s="19">
        <v>16.55</v>
      </c>
      <c r="AR23" s="5"/>
      <c r="AS23" s="27">
        <v>6.1095</v>
      </c>
      <c r="AT23" s="19">
        <v>16.57</v>
      </c>
      <c r="AU23" s="5"/>
      <c r="AV23" s="27">
        <v>6.107</v>
      </c>
      <c r="AW23" s="19">
        <v>16.57</v>
      </c>
      <c r="AX23" s="5"/>
      <c r="AY23" s="27">
        <v>6.1511</v>
      </c>
      <c r="AZ23" s="19">
        <v>16.51</v>
      </c>
      <c r="BA23" s="5"/>
      <c r="BB23" s="27">
        <v>6.1917</v>
      </c>
      <c r="BC23" s="19">
        <v>16.5</v>
      </c>
      <c r="BD23" s="5"/>
      <c r="BE23" s="27">
        <v>6.1998</v>
      </c>
      <c r="BF23" s="19">
        <v>16.51</v>
      </c>
      <c r="BG23" s="27"/>
      <c r="BH23" s="27">
        <v>6.2103</v>
      </c>
      <c r="BI23" s="19">
        <v>16.51</v>
      </c>
      <c r="BJ23" s="27"/>
      <c r="BK23" s="27">
        <v>6.1863</v>
      </c>
      <c r="BL23" s="19">
        <v>16.55</v>
      </c>
      <c r="BM23" s="19"/>
      <c r="BN23" s="27">
        <v>6.2038</v>
      </c>
      <c r="BO23" s="19">
        <v>16.54</v>
      </c>
      <c r="BP23" s="19"/>
      <c r="BQ23" s="27">
        <f t="shared" si="0"/>
        <v>6.0847500000000005</v>
      </c>
      <c r="BR23" s="19">
        <f t="shared" si="0"/>
        <v>16.606363636363636</v>
      </c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1/1.45984</f>
        <v>0.6850065760631302</v>
      </c>
      <c r="D24" s="19">
        <v>146.25</v>
      </c>
      <c r="E24" s="5"/>
      <c r="F24" s="27">
        <f>1/1.47316</f>
        <v>0.6788128920144452</v>
      </c>
      <c r="G24" s="19">
        <v>146.7</v>
      </c>
      <c r="H24" s="5"/>
      <c r="I24" s="27">
        <f>1/1.48417</f>
        <v>0.6737772627124925</v>
      </c>
      <c r="J24" s="19">
        <v>147.28</v>
      </c>
      <c r="K24" s="5"/>
      <c r="L24" s="27">
        <f>1/1.48417</f>
        <v>0.6737772627124925</v>
      </c>
      <c r="M24" s="19">
        <v>148.24</v>
      </c>
      <c r="N24" s="5"/>
      <c r="O24" s="27">
        <f>1/1.4814</f>
        <v>0.6750371270419873</v>
      </c>
      <c r="P24" s="19">
        <v>147.93</v>
      </c>
      <c r="Q24" s="5"/>
      <c r="R24" s="27">
        <f>1/1.47984</f>
        <v>0.6757487295923883</v>
      </c>
      <c r="S24" s="19">
        <v>148.29</v>
      </c>
      <c r="T24" s="5"/>
      <c r="U24" s="27">
        <f>1/1.47589</f>
        <v>0.6775572705282914</v>
      </c>
      <c r="V24" s="19">
        <v>147.91</v>
      </c>
      <c r="W24" s="5"/>
      <c r="X24" s="27">
        <f>1/1.47517</f>
        <v>0.6778879722337087</v>
      </c>
      <c r="Y24" s="19">
        <v>148.39</v>
      </c>
      <c r="Z24" s="5"/>
      <c r="AA24" s="27">
        <f>1/1.47175</f>
        <v>0.6794632240529982</v>
      </c>
      <c r="AB24" s="19">
        <v>148.52</v>
      </c>
      <c r="AC24" s="5"/>
      <c r="AD24" s="27">
        <f>1/1.46861</f>
        <v>0.6809159681603694</v>
      </c>
      <c r="AE24" s="19">
        <v>148.27</v>
      </c>
      <c r="AF24" s="5"/>
      <c r="AG24" s="27">
        <f>1/1.47007</f>
        <v>0.6802397164760862</v>
      </c>
      <c r="AH24" s="19">
        <v>148.7</v>
      </c>
      <c r="AI24" s="5"/>
      <c r="AJ24" s="27">
        <f>1/1.46609</f>
        <v>0.6820863657756345</v>
      </c>
      <c r="AK24" s="19">
        <v>147.93</v>
      </c>
      <c r="AL24" s="5"/>
      <c r="AM24" s="27">
        <f>1/1.46659</f>
        <v>0.6818538241771729</v>
      </c>
      <c r="AN24" s="19">
        <v>148.91</v>
      </c>
      <c r="AO24" s="5"/>
      <c r="AP24" s="27">
        <f>1/1.46001</f>
        <v>0.6849268155697563</v>
      </c>
      <c r="AQ24" s="19">
        <v>148.29</v>
      </c>
      <c r="AR24" s="5"/>
      <c r="AS24" s="27">
        <f>1/1.46139</f>
        <v>0.6842800347614257</v>
      </c>
      <c r="AT24" s="19">
        <v>147.98</v>
      </c>
      <c r="AU24" s="5"/>
      <c r="AV24" s="27">
        <f>1/1.46414</f>
        <v>0.6829947955796577</v>
      </c>
      <c r="AW24" s="19">
        <v>148.14</v>
      </c>
      <c r="AX24" s="5"/>
      <c r="AY24" s="27">
        <f>1/1.4637</f>
        <v>0.6832001093120175</v>
      </c>
      <c r="AZ24" s="19">
        <v>148.61</v>
      </c>
      <c r="BA24" s="5"/>
      <c r="BB24" s="27">
        <f>1/1.45698</f>
        <v>0.6863512196461173</v>
      </c>
      <c r="BC24" s="19">
        <v>148.81</v>
      </c>
      <c r="BD24" s="5"/>
      <c r="BE24" s="27">
        <f>1/1.45104</f>
        <v>0.6891608777152938</v>
      </c>
      <c r="BF24" s="19">
        <v>148.48</v>
      </c>
      <c r="BG24" s="27"/>
      <c r="BH24" s="27">
        <f>1/1.44818</f>
        <v>0.6905218964493364</v>
      </c>
      <c r="BI24" s="19">
        <v>148.47</v>
      </c>
      <c r="BJ24" s="27"/>
      <c r="BK24" s="27">
        <f>1/1.44891</f>
        <v>0.6901739928636009</v>
      </c>
      <c r="BL24" s="19">
        <v>148.36</v>
      </c>
      <c r="BM24" s="19"/>
      <c r="BN24" s="27">
        <f>1/1.45058</f>
        <v>0.6893794206455349</v>
      </c>
      <c r="BO24" s="19">
        <v>148.8</v>
      </c>
      <c r="BP24" s="19"/>
      <c r="BQ24" s="27">
        <f t="shared" si="0"/>
        <v>0.6819615160947244</v>
      </c>
      <c r="BR24" s="19">
        <f t="shared" si="0"/>
        <v>148.14818181818185</v>
      </c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100.18</v>
      </c>
      <c r="E25" s="21"/>
      <c r="F25" s="28">
        <v>1</v>
      </c>
      <c r="G25" s="22">
        <v>99.58</v>
      </c>
      <c r="H25" s="21"/>
      <c r="I25" s="28">
        <v>1</v>
      </c>
      <c r="J25" s="22">
        <v>99.23</v>
      </c>
      <c r="K25" s="21"/>
      <c r="L25" s="28">
        <v>1</v>
      </c>
      <c r="M25" s="22">
        <v>99.88</v>
      </c>
      <c r="N25" s="21"/>
      <c r="O25" s="28">
        <v>1</v>
      </c>
      <c r="P25" s="22">
        <v>99.86</v>
      </c>
      <c r="Q25" s="21"/>
      <c r="R25" s="28">
        <v>1</v>
      </c>
      <c r="S25" s="22">
        <v>100.2</v>
      </c>
      <c r="T25" s="21"/>
      <c r="U25" s="28">
        <v>1</v>
      </c>
      <c r="V25" s="22">
        <v>100.22</v>
      </c>
      <c r="W25" s="21"/>
      <c r="X25" s="28">
        <v>1</v>
      </c>
      <c r="Y25" s="22">
        <v>100.59</v>
      </c>
      <c r="Z25" s="21"/>
      <c r="AA25" s="28">
        <v>1</v>
      </c>
      <c r="AB25" s="22">
        <v>100.91</v>
      </c>
      <c r="AC25" s="21"/>
      <c r="AD25" s="28">
        <v>1</v>
      </c>
      <c r="AE25" s="22">
        <v>100.96</v>
      </c>
      <c r="AF25" s="21"/>
      <c r="AG25" s="28">
        <v>1</v>
      </c>
      <c r="AH25" s="22">
        <v>101.15</v>
      </c>
      <c r="AI25" s="21"/>
      <c r="AJ25" s="28">
        <v>1</v>
      </c>
      <c r="AK25" s="22">
        <v>100.9</v>
      </c>
      <c r="AL25" s="21"/>
      <c r="AM25" s="28">
        <v>1</v>
      </c>
      <c r="AN25" s="22">
        <v>101.54</v>
      </c>
      <c r="AO25" s="21"/>
      <c r="AP25" s="28">
        <v>1</v>
      </c>
      <c r="AQ25" s="22">
        <v>101.56</v>
      </c>
      <c r="AR25" s="21"/>
      <c r="AS25" s="28">
        <v>1</v>
      </c>
      <c r="AT25" s="22">
        <v>101.26</v>
      </c>
      <c r="AU25" s="21"/>
      <c r="AV25" s="28">
        <v>1</v>
      </c>
      <c r="AW25" s="22">
        <v>101.18</v>
      </c>
      <c r="AX25" s="21"/>
      <c r="AY25" s="28">
        <v>1</v>
      </c>
      <c r="AZ25" s="22">
        <v>101.53</v>
      </c>
      <c r="BA25" s="21"/>
      <c r="BB25" s="28">
        <v>1</v>
      </c>
      <c r="BC25" s="22">
        <v>102.14</v>
      </c>
      <c r="BD25" s="21"/>
      <c r="BE25" s="28">
        <v>1</v>
      </c>
      <c r="BF25" s="22">
        <v>102.33</v>
      </c>
      <c r="BG25" s="28"/>
      <c r="BH25" s="28">
        <v>1</v>
      </c>
      <c r="BI25" s="22">
        <v>102.53</v>
      </c>
      <c r="BJ25" s="28"/>
      <c r="BK25" s="28">
        <v>1</v>
      </c>
      <c r="BL25" s="22">
        <v>102.39</v>
      </c>
      <c r="BM25" s="22"/>
      <c r="BN25" s="28">
        <v>1</v>
      </c>
      <c r="BO25" s="22">
        <v>102.58</v>
      </c>
      <c r="BP25" s="22"/>
      <c r="BQ25" s="28">
        <f t="shared" si="0"/>
        <v>1</v>
      </c>
      <c r="BR25" s="22">
        <f t="shared" si="0"/>
        <v>101.0318181818182</v>
      </c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&amp;LBANKA E SHQIPERISE
Sektori i Informacionit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2005-12-30T11:36:41Z</cp:lastPrinted>
  <dcterms:created xsi:type="dcterms:W3CDTF">2002-01-04T09:02:27Z</dcterms:created>
  <dcterms:modified xsi:type="dcterms:W3CDTF">2018-03-05T12:27:26Z</dcterms:modified>
  <cp:category/>
  <cp:version/>
  <cp:contentType/>
  <cp:contentStatus/>
</cp:coreProperties>
</file>