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781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'Dhjetor'!$A$1:$BJ$25</definedName>
    <definedName name="_xlnm.Print_Area" localSheetId="7">'Gusht'!$A$1:$BU$25</definedName>
    <definedName name="_xlnm.Print_Area" localSheetId="0">'Janar'!$A$1:$BG$25</definedName>
    <definedName name="_xlnm.Print_Area" localSheetId="6">'Korrik'!$A$1:$BS$25</definedName>
    <definedName name="_xlnm.Print_Area" localSheetId="4">'Maj'!$A$1:$BR$25</definedName>
    <definedName name="_xlnm.Print_Area" localSheetId="2">'Mars'!$A$1:$BM$25</definedName>
    <definedName name="_xlnm.Print_Area" localSheetId="10">'Nentor'!$A$1:$BJ$25</definedName>
    <definedName name="_xlnm.Print_Area" localSheetId="3">'Prill'!$A$1:$BO$25</definedName>
    <definedName name="_xlnm.Print_Area" localSheetId="5">'Qershor'!$A$1:$BQ$25</definedName>
    <definedName name="_xlnm.Print_Area" localSheetId="1">'Shkurt'!$A$1:$BL$25</definedName>
    <definedName name="_xlnm.Print_Area" localSheetId="8">'Shtator'!$A$1:$BP$25</definedName>
    <definedName name="_xlnm.Print_Area" localSheetId="9">'Tetor'!$A$1:$BM$25</definedName>
    <definedName name="_xlnm.Print_Titles" localSheetId="11">'Dhjetor'!$A:$B</definedName>
    <definedName name="_xlnm.Print_Titles" localSheetId="6">'Korrik'!$A:$B,'Korrik'!$1:$11</definedName>
    <definedName name="_xlnm.Print_Titles" localSheetId="4">'Maj'!$A:$B</definedName>
  </definedNames>
  <calcPr fullCalcOnLoad="1"/>
</workbook>
</file>

<file path=xl/sharedStrings.xml><?xml version="1.0" encoding="utf-8"?>
<sst xmlns="http://schemas.openxmlformats.org/spreadsheetml/2006/main" count="2369" uniqueCount="288">
  <si>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</si>
  <si>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</si>
  <si>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</si>
  <si>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</si>
  <si>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</si>
  <si>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</si>
  <si>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</si>
  <si>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</si>
  <si>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</si>
  <si>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</si>
  <si>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</si>
  <si>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</si>
  <si>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</si>
  <si>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</si>
  <si>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</si>
  <si>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</si>
  <si>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</si>
  <si>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</si>
  <si>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</si>
  <si>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</si>
  <si>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</si>
  <si>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</si>
  <si>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</si>
  <si>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</si>
  <si>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</si>
  <si>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</si>
  <si>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</si>
  <si>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 xml:space="preserve">    DT. 21.02.2006</t>
  </si>
  <si>
    <t xml:space="preserve">    DT. 04.01.2007</t>
  </si>
  <si>
    <t xml:space="preserve">    DT. 05.01.2007</t>
  </si>
  <si>
    <t>Janar' 07</t>
  </si>
  <si>
    <t xml:space="preserve">    DT. 08.01.2007</t>
  </si>
  <si>
    <t xml:space="preserve">    DT. 09.01.2007</t>
  </si>
  <si>
    <t xml:space="preserve">    DT. 10.01.2007</t>
  </si>
  <si>
    <t xml:space="preserve">    DT. 11.01.2007</t>
  </si>
  <si>
    <t xml:space="preserve">    DT. 12.01.2007</t>
  </si>
  <si>
    <t xml:space="preserve">    DT. 15.01.2007</t>
  </si>
  <si>
    <t xml:space="preserve">    DT. 16.01.2007</t>
  </si>
  <si>
    <t xml:space="preserve">    DT. 17.01.2007</t>
  </si>
  <si>
    <t xml:space="preserve">    DT. 18.01.2007</t>
  </si>
  <si>
    <t xml:space="preserve">    DT. 19.01.2007</t>
  </si>
  <si>
    <t xml:space="preserve">    DT. 22.01.2007</t>
  </si>
  <si>
    <t xml:space="preserve">    DT. 23.01.2007</t>
  </si>
  <si>
    <t xml:space="preserve">    DT. 24.01.2007</t>
  </si>
  <si>
    <t xml:space="preserve">    DT. 25.01.2007</t>
  </si>
  <si>
    <t xml:space="preserve">    DT. 26.01.2007</t>
  </si>
  <si>
    <t xml:space="preserve">    DT. 29.01.2007</t>
  </si>
  <si>
    <t xml:space="preserve">    DT. 30.01.2007</t>
  </si>
  <si>
    <t xml:space="preserve">    DT. 31.01.2007</t>
  </si>
  <si>
    <t>Shkurt' 07</t>
  </si>
  <si>
    <t xml:space="preserve">    DT. 01.02.2007</t>
  </si>
  <si>
    <t xml:space="preserve">    DT. 02.02.2007</t>
  </si>
  <si>
    <t xml:space="preserve">    DT. 05.02.2007</t>
  </si>
  <si>
    <t xml:space="preserve">    DT. 06.02.2007</t>
  </si>
  <si>
    <t xml:space="preserve">    DT. 07.02.2007</t>
  </si>
  <si>
    <t xml:space="preserve">    DT. 08.02.2007</t>
  </si>
  <si>
    <t xml:space="preserve">    DT. 09.02.2007</t>
  </si>
  <si>
    <t xml:space="preserve">    DT. 12.02.2007</t>
  </si>
  <si>
    <t xml:space="preserve">    DT. 13.02.2007</t>
  </si>
  <si>
    <t xml:space="preserve">    DT. 14.02.2007</t>
  </si>
  <si>
    <t xml:space="preserve">    DT. 15.02.2007</t>
  </si>
  <si>
    <t xml:space="preserve">    DT. 16.02.2007</t>
  </si>
  <si>
    <t xml:space="preserve">    DT. 19.02.2007</t>
  </si>
  <si>
    <t xml:space="preserve">    DT. 20.02.2007</t>
  </si>
  <si>
    <t xml:space="preserve">    DT. 22.02.2007</t>
  </si>
  <si>
    <t xml:space="preserve">    DT. 23.02.2007</t>
  </si>
  <si>
    <t xml:space="preserve">    DT. 26.02.2007</t>
  </si>
  <si>
    <t xml:space="preserve">    DT. 27.02.2007</t>
  </si>
  <si>
    <t xml:space="preserve">    DT. 28.02.2007</t>
  </si>
  <si>
    <t>Mars' 07</t>
  </si>
  <si>
    <t xml:space="preserve">    DT. 01.03.2007</t>
  </si>
  <si>
    <t xml:space="preserve">    DT. 02.03.2007</t>
  </si>
  <si>
    <t xml:space="preserve">    DT. 05.03.2007</t>
  </si>
  <si>
    <t xml:space="preserve">    DT. 06.03.2007</t>
  </si>
  <si>
    <t xml:space="preserve">    DT. 07.03.2007</t>
  </si>
  <si>
    <t xml:space="preserve">    DT. 08.03.2007</t>
  </si>
  <si>
    <t xml:space="preserve">    DT. 09.03.2007</t>
  </si>
  <si>
    <t xml:space="preserve">    DT. 12.03.2007</t>
  </si>
  <si>
    <t xml:space="preserve">    DT. 13.03.2007</t>
  </si>
  <si>
    <t xml:space="preserve">    DT. 15.03.2007</t>
  </si>
  <si>
    <t xml:space="preserve">    DT. 16.03.2007</t>
  </si>
  <si>
    <t xml:space="preserve">    DT. 19.03.2007</t>
  </si>
  <si>
    <t xml:space="preserve">    DT. 20.03.2007</t>
  </si>
  <si>
    <t xml:space="preserve">    DT. 21.03.2007</t>
  </si>
  <si>
    <t xml:space="preserve">    DT. 23.03.2007</t>
  </si>
  <si>
    <t xml:space="preserve">    DT. 26.03.2007</t>
  </si>
  <si>
    <t xml:space="preserve">    DT. 27.03.2007</t>
  </si>
  <si>
    <t xml:space="preserve">    DT. 28.03.2007</t>
  </si>
  <si>
    <t xml:space="preserve">    DT. 29.03.2007</t>
  </si>
  <si>
    <t xml:space="preserve">    DT. 30.03.2007</t>
  </si>
  <si>
    <t>Prill' 07</t>
  </si>
  <si>
    <t xml:space="preserve">    DT. 02.04.2007</t>
  </si>
  <si>
    <t xml:space="preserve">    DT. 03.04.2007</t>
  </si>
  <si>
    <t xml:space="preserve">    DT. 04.04.2007</t>
  </si>
  <si>
    <t xml:space="preserve">    DT. 05.04.2007</t>
  </si>
  <si>
    <t xml:space="preserve">    DT. 06.04.2007</t>
  </si>
  <si>
    <t xml:space="preserve">    DT. 10.04.2007</t>
  </si>
  <si>
    <t xml:space="preserve">    DT. 11.04.2007</t>
  </si>
  <si>
    <t xml:space="preserve">    DT. 12.04.2007</t>
  </si>
  <si>
    <t xml:space="preserve">    DT. 13.04.2007</t>
  </si>
  <si>
    <t xml:space="preserve">    DT. 16.04.2007</t>
  </si>
  <si>
    <t xml:space="preserve">    DT. 17.04.2007</t>
  </si>
  <si>
    <t xml:space="preserve">    DT. 18.04.2007</t>
  </si>
  <si>
    <t xml:space="preserve">    DT. 19.04.2007</t>
  </si>
  <si>
    <t xml:space="preserve">    DT. 20.04.2007</t>
  </si>
  <si>
    <t xml:space="preserve">    DT. 23.04.2007</t>
  </si>
  <si>
    <t xml:space="preserve">    DT. 24.04.2007</t>
  </si>
  <si>
    <t xml:space="preserve">    DT. 25.04.2007</t>
  </si>
  <si>
    <t xml:space="preserve">    DT. 26.04.2007</t>
  </si>
  <si>
    <t xml:space="preserve">    DT. 30.04.2007</t>
  </si>
  <si>
    <t xml:space="preserve">    DT. 27.04.2007</t>
  </si>
  <si>
    <t>Maj' 07</t>
  </si>
  <si>
    <t xml:space="preserve">    DT. 02.05.2007</t>
  </si>
  <si>
    <t xml:space="preserve">    DT. 03.05.2007</t>
  </si>
  <si>
    <t xml:space="preserve">    DT. 04.05.2007</t>
  </si>
  <si>
    <t xml:space="preserve">    DT. 07.05.2007</t>
  </si>
  <si>
    <t xml:space="preserve">    DT. 08.05.2007</t>
  </si>
  <si>
    <t xml:space="preserve">    DT. 09.05.2007</t>
  </si>
  <si>
    <t xml:space="preserve">    DT. 10.05.2007</t>
  </si>
  <si>
    <t xml:space="preserve">    DT. 11.05.2007</t>
  </si>
  <si>
    <t xml:space="preserve">    DT. 14.05.2007</t>
  </si>
  <si>
    <t xml:space="preserve">    DT. 15.05.2007</t>
  </si>
  <si>
    <t xml:space="preserve">    DT. 16.05.2007</t>
  </si>
  <si>
    <t xml:space="preserve">    DT. 17.05.2007</t>
  </si>
  <si>
    <t xml:space="preserve">    DT. 18.05.2007</t>
  </si>
  <si>
    <t xml:space="preserve">    DT. 21.05.2007</t>
  </si>
  <si>
    <t xml:space="preserve">    DT. 22.05.2007</t>
  </si>
  <si>
    <t xml:space="preserve">    DT. 23.05.2007</t>
  </si>
  <si>
    <t xml:space="preserve">    DT. 24.05.2007</t>
  </si>
  <si>
    <t xml:space="preserve">    DT. 25.05.2007</t>
  </si>
  <si>
    <t xml:space="preserve">    DT. 28.05.2007</t>
  </si>
  <si>
    <t xml:space="preserve">    DT. 29.05.2007</t>
  </si>
  <si>
    <t xml:space="preserve">    DT. 30.05.2007</t>
  </si>
  <si>
    <t xml:space="preserve">    DT. 31.05.2007</t>
  </si>
  <si>
    <t>Qershor' 07</t>
  </si>
  <si>
    <t xml:space="preserve">    DT. 01.06.2007</t>
  </si>
  <si>
    <t xml:space="preserve">    DT. 04.06.2007</t>
  </si>
  <si>
    <t xml:space="preserve">    DT. 05.06.2007</t>
  </si>
  <si>
    <t xml:space="preserve">    DT. 06.06.2007</t>
  </si>
  <si>
    <t xml:space="preserve">    DT. 07.06.2007</t>
  </si>
  <si>
    <t xml:space="preserve">    DT. 08.06.2007</t>
  </si>
  <si>
    <t xml:space="preserve">    DT. 11.06.2007</t>
  </si>
  <si>
    <t xml:space="preserve">    DT. 12.06.2007</t>
  </si>
  <si>
    <t xml:space="preserve">    DT. 13.06.2007</t>
  </si>
  <si>
    <t xml:space="preserve">    DT. 14.06.2007</t>
  </si>
  <si>
    <t xml:space="preserve">    DT. 15.06.2007</t>
  </si>
  <si>
    <t xml:space="preserve">    DT. 18.06.2007</t>
  </si>
  <si>
    <t xml:space="preserve">    DT. 19.06.2007</t>
  </si>
  <si>
    <t xml:space="preserve">    DT. 20.06.2007</t>
  </si>
  <si>
    <t xml:space="preserve">    DT. 21.06.2007</t>
  </si>
  <si>
    <t xml:space="preserve">    DT. 22.06.2007</t>
  </si>
  <si>
    <t xml:space="preserve">    DT. 25.06.2007</t>
  </si>
  <si>
    <t xml:space="preserve">    DT. 26.06.2007</t>
  </si>
  <si>
    <t xml:space="preserve">    DT. 27.06.2007</t>
  </si>
  <si>
    <t xml:space="preserve">    DT. 28.06.2007</t>
  </si>
  <si>
    <t xml:space="preserve">    DT. 29.06.2007</t>
  </si>
  <si>
    <t xml:space="preserve">    DT. 02.07.2007</t>
  </si>
  <si>
    <t xml:space="preserve">    DT. 03.07.2007</t>
  </si>
  <si>
    <t xml:space="preserve">    DT. 04.07.2007</t>
  </si>
  <si>
    <t xml:space="preserve">    DT. 05.07.2007</t>
  </si>
  <si>
    <t xml:space="preserve">    DT. 06.07.2007</t>
  </si>
  <si>
    <t xml:space="preserve">    DT. 09.07.2007</t>
  </si>
  <si>
    <t xml:space="preserve">    DT. 10.07.2007</t>
  </si>
  <si>
    <t xml:space="preserve">    DT. 11.07.2007</t>
  </si>
  <si>
    <t xml:space="preserve">    DT. 12.07.2007</t>
  </si>
  <si>
    <t xml:space="preserve">    DT. 13.07.2007</t>
  </si>
  <si>
    <t xml:space="preserve">    DT. 16.07.2007</t>
  </si>
  <si>
    <t xml:space="preserve">    DT. 17.07.2007</t>
  </si>
  <si>
    <t xml:space="preserve">    DT. 18.07.2007</t>
  </si>
  <si>
    <t xml:space="preserve">    DT. 19.07.2007</t>
  </si>
  <si>
    <t xml:space="preserve">    DT. 20.07.2007</t>
  </si>
  <si>
    <t xml:space="preserve">    DT. 23.07.2007</t>
  </si>
  <si>
    <t xml:space="preserve">    DT. 24.07.2007</t>
  </si>
  <si>
    <t xml:space="preserve">    DT. 25.07.2007</t>
  </si>
  <si>
    <t xml:space="preserve">    DT. 26.07.2007</t>
  </si>
  <si>
    <t xml:space="preserve">    DT. 27.07.2007</t>
  </si>
  <si>
    <t xml:space="preserve">    DT. 30.07.2007</t>
  </si>
  <si>
    <t xml:space="preserve">    DT. 31.07.2007</t>
  </si>
  <si>
    <t>Korrik' 07</t>
  </si>
  <si>
    <t>Gusht' 07</t>
  </si>
  <si>
    <t xml:space="preserve">    DT. 01.08.2007</t>
  </si>
  <si>
    <t xml:space="preserve">    DT. 02.08.2007</t>
  </si>
  <si>
    <t xml:space="preserve">    DT. 03.08.2007</t>
  </si>
  <si>
    <t xml:space="preserve">    DT. 06.08.2007</t>
  </si>
  <si>
    <t xml:space="preserve">    DT. 07.08.2007</t>
  </si>
  <si>
    <t xml:space="preserve">    DT. 08.08.2007</t>
  </si>
  <si>
    <t xml:space="preserve">    DT. 09.08.2007</t>
  </si>
  <si>
    <t xml:space="preserve">    DT. 10.08.2007</t>
  </si>
  <si>
    <t xml:space="preserve">    DT. 13.08.2007</t>
  </si>
  <si>
    <t xml:space="preserve">    DT. 14.08.2007</t>
  </si>
  <si>
    <t xml:space="preserve">    DT. 15.08.2007</t>
  </si>
  <si>
    <t xml:space="preserve">    DT. 16.08.2007</t>
  </si>
  <si>
    <t xml:space="preserve">    DT. 17.08.2007</t>
  </si>
  <si>
    <t xml:space="preserve">    DT. 20.08.2007</t>
  </si>
  <si>
    <t xml:space="preserve">    DT. 21.08.2007</t>
  </si>
  <si>
    <t xml:space="preserve">    DT. 22.08.2007</t>
  </si>
  <si>
    <t xml:space="preserve">    DT. 23.08.2007</t>
  </si>
  <si>
    <t xml:space="preserve">    DT. 24.08.2007</t>
  </si>
  <si>
    <t xml:space="preserve">    DT. 27.08.2007</t>
  </si>
  <si>
    <t xml:space="preserve">    DT. 28.08.2007</t>
  </si>
  <si>
    <t xml:space="preserve">    DT. 29.08.2007</t>
  </si>
  <si>
    <t xml:space="preserve">    DT. 30.08.2007</t>
  </si>
  <si>
    <t xml:space="preserve">    DT. 31.08.2007</t>
  </si>
  <si>
    <t xml:space="preserve">           </t>
  </si>
  <si>
    <t>Shtator' 07</t>
  </si>
  <si>
    <t xml:space="preserve">    DT. 03.09.2007</t>
  </si>
  <si>
    <t xml:space="preserve">    DT. 04.09.2007</t>
  </si>
  <si>
    <t xml:space="preserve">    DT. 05.09.2007</t>
  </si>
  <si>
    <t xml:space="preserve">    DT. 06.09.2007</t>
  </si>
  <si>
    <t xml:space="preserve">    DT. 07.09.2007</t>
  </si>
  <si>
    <t xml:space="preserve">    DT. 10.09.2007</t>
  </si>
  <si>
    <t xml:space="preserve">    DT. 11.09.2007</t>
  </si>
  <si>
    <t xml:space="preserve">    DT. 12.09.2007</t>
  </si>
  <si>
    <t xml:space="preserve">    DT. 13.09.2007</t>
  </si>
  <si>
    <t xml:space="preserve">    DT. 14.09.2007</t>
  </si>
  <si>
    <t xml:space="preserve">    DT. 17.09.2007</t>
  </si>
  <si>
    <t xml:space="preserve">    DT. 18.09.2007</t>
  </si>
  <si>
    <t xml:space="preserve">    DT. 19.09.2007</t>
  </si>
  <si>
    <t xml:space="preserve">    DT. 20.09.2007</t>
  </si>
  <si>
    <t xml:space="preserve">    DT. 21.09.2007</t>
  </si>
  <si>
    <t xml:space="preserve">    DT. 24.09.2007</t>
  </si>
  <si>
    <t xml:space="preserve">    DT. 25.09.2007</t>
  </si>
  <si>
    <t xml:space="preserve">    DT. 26.09.2007</t>
  </si>
  <si>
    <t xml:space="preserve">    DT. 27.09.2007</t>
  </si>
  <si>
    <t xml:space="preserve">    DT. 28.09.2007</t>
  </si>
  <si>
    <t>Tetor' 07</t>
  </si>
  <si>
    <t xml:space="preserve">    DT. 01.10.2007</t>
  </si>
  <si>
    <t xml:space="preserve">    DT. 02.10.2007</t>
  </si>
  <si>
    <t xml:space="preserve">    DT. 03.10.2007</t>
  </si>
  <si>
    <t xml:space="preserve">    DT. 04.10.2007</t>
  </si>
  <si>
    <t xml:space="preserve">    DT. 05.10.2007</t>
  </si>
  <si>
    <t xml:space="preserve">    DT. 08.10.2007</t>
  </si>
  <si>
    <t xml:space="preserve">    DT. 09.10.2007</t>
  </si>
  <si>
    <t xml:space="preserve">    DT. 10.10.2007</t>
  </si>
  <si>
    <t xml:space="preserve">    DT. 11.10.2007</t>
  </si>
  <si>
    <t xml:space="preserve">    DT. 15.10.2007</t>
  </si>
  <si>
    <t xml:space="preserve">    DT. 16.10.2007</t>
  </si>
  <si>
    <t xml:space="preserve">    DT. 17.10.2007</t>
  </si>
  <si>
    <t xml:space="preserve">    DT. 18.10.2007</t>
  </si>
  <si>
    <t xml:space="preserve">    DT. 22.10.2007</t>
  </si>
  <si>
    <t xml:space="preserve">    DT. 23.10.2007</t>
  </si>
  <si>
    <t xml:space="preserve">    DT. 24.10.2007</t>
  </si>
  <si>
    <t xml:space="preserve">    DT. 25.10.2007</t>
  </si>
  <si>
    <t xml:space="preserve">    DT. 26.10.2007</t>
  </si>
  <si>
    <t xml:space="preserve">    DT. 29.10.2007</t>
  </si>
  <si>
    <t xml:space="preserve">    DT. 30.10.2007</t>
  </si>
  <si>
    <t xml:space="preserve">    DT. 31.10.2007</t>
  </si>
  <si>
    <t>Nentor' 07</t>
  </si>
  <si>
    <t xml:space="preserve">    DT. 01.11.2007</t>
  </si>
  <si>
    <t xml:space="preserve">    DT. 02.11.2007</t>
  </si>
  <si>
    <t xml:space="preserve">    DT. 05.11.2007</t>
  </si>
  <si>
    <t xml:space="preserve">    DT. 06.11.2007</t>
  </si>
  <si>
    <t xml:space="preserve">    DT. 07.11.2007</t>
  </si>
  <si>
    <t xml:space="preserve">    DT. 08.11.2007</t>
  </si>
  <si>
    <t xml:space="preserve">    DT. 09.11.2007</t>
  </si>
  <si>
    <t xml:space="preserve">    DT. 12.11.2007</t>
  </si>
  <si>
    <t xml:space="preserve">    DT. 13.11.2007</t>
  </si>
  <si>
    <t xml:space="preserve">    DT. 14.11.2007</t>
  </si>
  <si>
    <t xml:space="preserve">    DT. 15.11.2007</t>
  </si>
  <si>
    <t xml:space="preserve">    DT. 16.11.2007</t>
  </si>
  <si>
    <t xml:space="preserve">    DT. 19.11.2007</t>
  </si>
  <si>
    <t xml:space="preserve">    DT. 20.11.2007</t>
  </si>
  <si>
    <t xml:space="preserve">    DT. 21.11.2007</t>
  </si>
  <si>
    <t xml:space="preserve">    DT. 22.11.2007</t>
  </si>
  <si>
    <t xml:space="preserve">    DT. 23.11.2007</t>
  </si>
  <si>
    <t xml:space="preserve">    DT. 26.11.2007</t>
  </si>
  <si>
    <t xml:space="preserve">    DT. 27.11.2007</t>
  </si>
  <si>
    <t xml:space="preserve">    DT. 30.11.2007</t>
  </si>
  <si>
    <t>Dhjetor' 07</t>
  </si>
  <si>
    <t xml:space="preserve">    DT. 04.12.2007</t>
  </si>
  <si>
    <t xml:space="preserve">    DT. 05.12.2007</t>
  </si>
  <si>
    <t xml:space="preserve">    DT. 06.12.2007</t>
  </si>
  <si>
    <t xml:space="preserve">    DT. 07.12.2007</t>
  </si>
  <si>
    <t xml:space="preserve">    DT. 03.12.2007</t>
  </si>
  <si>
    <t xml:space="preserve">    DT. 10.12.2007</t>
  </si>
  <si>
    <t xml:space="preserve">    DT. 11.12.2007</t>
  </si>
  <si>
    <t xml:space="preserve">    DT. 12.12.2007</t>
  </si>
  <si>
    <t xml:space="preserve">    DT. 13.12.2007</t>
  </si>
  <si>
    <t xml:space="preserve">    DT. 14.12.2007</t>
  </si>
  <si>
    <t xml:space="preserve">    DT. 17.12.2007</t>
  </si>
  <si>
    <t xml:space="preserve">    DT. 18.12.2007</t>
  </si>
  <si>
    <t xml:space="preserve">    DT. 19.12.2007</t>
  </si>
  <si>
    <t xml:space="preserve">    DT. 21.12.2007</t>
  </si>
  <si>
    <t xml:space="preserve">    DT. 24.12.2007</t>
  </si>
  <si>
    <t xml:space="preserve">    DT. 26.12.2007</t>
  </si>
  <si>
    <t xml:space="preserve">    DT. 27.12.2007</t>
  </si>
  <si>
    <t xml:space="preserve">    DT. 28.12.2007</t>
  </si>
  <si>
    <t xml:space="preserve">    DT. 31.12.2007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</si>
</sst>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  <numFmt numFmtId="206" formatCode="_(* #,##0.0_);_(* \(#,##0.0\);_(* &quot;-&quot;??_);_(@_)"/>
    <numFmt numFmtId="207" formatCode="_-* #,##0.0000_-;\-* #,##0.0000_-;_-* &quot;-&quot;????_-;_-@_-"/>
    <numFmt numFmtId="208" formatCode="_(* #,##0.000_);_(* \(#,##0.000\);_(* &quot;-&quot;??_);_(@_)"/>
    <numFmt numFmtId="209" formatCode="_(* #,##0.0000_);_(* \(#,##0.0000\);_(* &quot;-&quot;??_);_(@_)"/>
  </numFmts>
  <fonts count="5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trike/>
      <sz val="12"/>
      <color indexed="12"/>
      <name val="Tms Rmn"/>
      <family val="0"/>
    </font>
    <font>
      <b/>
      <sz val="14"/>
      <color indexed="12"/>
      <name val="Times New Roman"/>
      <family val="1"/>
    </font>
    <font>
      <b/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left"/>
      <protection/>
    </xf>
    <xf numFmtId="187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6" fontId="7" fillId="0" borderId="0" xfId="0" applyNumberFormat="1" applyFont="1" applyAlignment="1" applyProtection="1">
      <alignment horizontal="left"/>
      <protection/>
    </xf>
    <xf numFmtId="187" fontId="9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87" fontId="7" fillId="0" borderId="11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6" fontId="0" fillId="0" borderId="0" xfId="0" applyBorder="1" applyAlignment="1">
      <alignment/>
    </xf>
    <xf numFmtId="192" fontId="15" fillId="0" borderId="0" xfId="0" applyNumberFormat="1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/>
      <protection/>
    </xf>
    <xf numFmtId="187" fontId="11" fillId="0" borderId="12" xfId="0" applyNumberFormat="1" applyFont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center"/>
      <protection/>
    </xf>
    <xf numFmtId="187" fontId="16" fillId="0" borderId="0" xfId="0" applyNumberFormat="1" applyFont="1" applyAlignment="1" applyProtection="1">
      <alignment horizontal="right"/>
      <protection/>
    </xf>
    <xf numFmtId="187" fontId="9" fillId="0" borderId="12" xfId="0" applyNumberFormat="1" applyFont="1" applyFill="1" applyBorder="1" applyAlignment="1" applyProtection="1">
      <alignment/>
      <protection/>
    </xf>
    <xf numFmtId="187" fontId="9" fillId="0" borderId="11" xfId="0" applyNumberFormat="1" applyFont="1" applyFill="1" applyBorder="1" applyAlignment="1" applyProtection="1">
      <alignment/>
      <protection/>
    </xf>
    <xf numFmtId="43" fontId="10" fillId="0" borderId="0" xfId="42" applyFont="1" applyAlignment="1">
      <alignment/>
    </xf>
    <xf numFmtId="206" fontId="10" fillId="0" borderId="0" xfId="42" applyNumberFormat="1" applyFont="1" applyAlignment="1">
      <alignment/>
    </xf>
    <xf numFmtId="43" fontId="9" fillId="0" borderId="0" xfId="42" applyFont="1" applyBorder="1" applyAlignment="1" applyProtection="1">
      <alignment/>
      <protection/>
    </xf>
    <xf numFmtId="43" fontId="12" fillId="0" borderId="0" xfId="42" applyFont="1" applyBorder="1" applyAlignment="1">
      <alignment/>
    </xf>
    <xf numFmtId="187" fontId="8" fillId="0" borderId="0" xfId="0" applyNumberFormat="1" applyFont="1" applyAlignment="1" applyProtection="1">
      <alignment/>
      <protection/>
    </xf>
    <xf numFmtId="186" fontId="0" fillId="0" borderId="12" xfId="0" applyBorder="1" applyAlignment="1">
      <alignment/>
    </xf>
    <xf numFmtId="186" fontId="0" fillId="0" borderId="11" xfId="0" applyBorder="1" applyAlignment="1">
      <alignment/>
    </xf>
    <xf numFmtId="206" fontId="9" fillId="0" borderId="0" xfId="42" applyNumberFormat="1" applyFont="1" applyBorder="1" applyAlignment="1" applyProtection="1">
      <alignment/>
      <protection/>
    </xf>
    <xf numFmtId="192" fontId="9" fillId="33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Alignment="1" applyProtection="1">
      <alignment horizontal="right"/>
      <protection/>
    </xf>
    <xf numFmtId="43" fontId="9" fillId="0" borderId="0" xfId="42" applyFont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187" fontId="9" fillId="0" borderId="1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Alignment="1" applyProtection="1">
      <alignment horizontal="center"/>
      <protection/>
    </xf>
    <xf numFmtId="187" fontId="9" fillId="0" borderId="0" xfId="0" applyNumberFormat="1" applyFont="1" applyFill="1" applyAlignment="1" applyProtection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92" fontId="9" fillId="0" borderId="11" xfId="0" applyNumberFormat="1" applyFont="1" applyFill="1" applyBorder="1" applyAlignment="1" applyProtection="1">
      <alignment/>
      <protection/>
    </xf>
    <xf numFmtId="187" fontId="9" fillId="0" borderId="13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center"/>
      <protection/>
    </xf>
    <xf numFmtId="187" fontId="9" fillId="0" borderId="14" xfId="0" applyNumberFormat="1" applyFont="1" applyBorder="1" applyAlignment="1" applyProtection="1">
      <alignment/>
      <protection/>
    </xf>
    <xf numFmtId="187" fontId="9" fillId="0" borderId="15" xfId="0" applyNumberFormat="1" applyFont="1" applyBorder="1" applyAlignment="1" applyProtection="1">
      <alignment/>
      <protection/>
    </xf>
    <xf numFmtId="187" fontId="9" fillId="0" borderId="16" xfId="0" applyNumberFormat="1" applyFont="1" applyBorder="1" applyAlignment="1" applyProtection="1">
      <alignment/>
      <protection/>
    </xf>
    <xf numFmtId="187" fontId="8" fillId="0" borderId="17" xfId="0" applyNumberFormat="1" applyFont="1" applyBorder="1" applyAlignment="1" applyProtection="1">
      <alignment/>
      <protection/>
    </xf>
    <xf numFmtId="187" fontId="9" fillId="0" borderId="17" xfId="0" applyNumberFormat="1" applyFont="1" applyBorder="1" applyAlignment="1" applyProtection="1">
      <alignment/>
      <protection/>
    </xf>
    <xf numFmtId="187" fontId="9" fillId="0" borderId="18" xfId="0" applyNumberFormat="1" applyFont="1" applyBorder="1" applyAlignment="1" applyProtection="1">
      <alignment/>
      <protection/>
    </xf>
    <xf numFmtId="187" fontId="9" fillId="0" borderId="17" xfId="0" applyNumberFormat="1" applyFont="1" applyBorder="1" applyAlignment="1" applyProtection="1">
      <alignment horizontal="left"/>
      <protection/>
    </xf>
    <xf numFmtId="37" fontId="7" fillId="0" borderId="17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 horizontal="left"/>
      <protection/>
    </xf>
    <xf numFmtId="37" fontId="7" fillId="0" borderId="19" xfId="0" applyNumberFormat="1" applyFont="1" applyBorder="1" applyAlignment="1" applyProtection="1">
      <alignment/>
      <protection/>
    </xf>
    <xf numFmtId="187" fontId="7" fillId="0" borderId="20" xfId="0" applyNumberFormat="1" applyFont="1" applyBorder="1" applyAlignment="1" applyProtection="1">
      <alignment horizontal="left"/>
      <protection/>
    </xf>
    <xf numFmtId="192" fontId="9" fillId="0" borderId="20" xfId="0" applyNumberFormat="1" applyFont="1" applyBorder="1" applyAlignment="1" applyProtection="1">
      <alignment/>
      <protection/>
    </xf>
    <xf numFmtId="2" fontId="9" fillId="0" borderId="20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7" fontId="9" fillId="0" borderId="17" xfId="0" applyNumberFormat="1" applyFont="1" applyBorder="1" applyAlignment="1" applyProtection="1">
      <alignment horizontal="center"/>
      <protection/>
    </xf>
    <xf numFmtId="188" fontId="9" fillId="0" borderId="17" xfId="0" applyNumberFormat="1" applyFont="1" applyBorder="1" applyAlignment="1" applyProtection="1">
      <alignment/>
      <protection/>
    </xf>
    <xf numFmtId="209" fontId="9" fillId="0" borderId="0" xfId="42" applyNumberFormat="1" applyFont="1" applyFill="1" applyBorder="1" applyAlignment="1" applyProtection="1">
      <alignment/>
      <protection/>
    </xf>
    <xf numFmtId="43" fontId="9" fillId="0" borderId="0" xfId="42" applyFont="1" applyFill="1" applyBorder="1" applyAlignment="1" applyProtection="1">
      <alignment/>
      <protection/>
    </xf>
    <xf numFmtId="209" fontId="9" fillId="0" borderId="11" xfId="42" applyNumberFormat="1" applyFont="1" applyFill="1" applyBorder="1" applyAlignment="1" applyProtection="1">
      <alignment/>
      <protection/>
    </xf>
    <xf numFmtId="43" fontId="9" fillId="0" borderId="11" xfId="42" applyFont="1" applyFill="1" applyBorder="1" applyAlignment="1" applyProtection="1">
      <alignment/>
      <protection/>
    </xf>
    <xf numFmtId="209" fontId="9" fillId="0" borderId="0" xfId="42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/>
      <protection/>
    </xf>
    <xf numFmtId="2" fontId="9" fillId="0" borderId="11" xfId="0" applyNumberFormat="1" applyFont="1" applyFill="1" applyBorder="1" applyAlignment="1" applyProtection="1">
      <alignment/>
      <protection/>
    </xf>
    <xf numFmtId="186" fontId="17" fillId="0" borderId="0" xfId="0" applyFont="1" applyAlignment="1">
      <alignment/>
    </xf>
    <xf numFmtId="187" fontId="9" fillId="0" borderId="21" xfId="0" applyNumberFormat="1" applyFont="1" applyFill="1" applyBorder="1" applyAlignment="1" applyProtection="1">
      <alignment horizontal="center"/>
      <protection/>
    </xf>
    <xf numFmtId="187" fontId="9" fillId="0" borderId="22" xfId="0" applyNumberFormat="1" applyFont="1" applyFill="1" applyBorder="1" applyAlignment="1" applyProtection="1">
      <alignment horizontal="center"/>
      <protection/>
    </xf>
    <xf numFmtId="187" fontId="9" fillId="0" borderId="23" xfId="0" applyNumberFormat="1" applyFont="1" applyFill="1" applyBorder="1" applyAlignment="1" applyProtection="1">
      <alignment/>
      <protection/>
    </xf>
    <xf numFmtId="187" fontId="9" fillId="0" borderId="24" xfId="0" applyNumberFormat="1" applyFont="1" applyFill="1" applyBorder="1" applyAlignment="1" applyProtection="1">
      <alignment/>
      <protection/>
    </xf>
    <xf numFmtId="187" fontId="9" fillId="0" borderId="21" xfId="0" applyNumberFormat="1" applyFont="1" applyFill="1" applyBorder="1" applyAlignment="1" applyProtection="1">
      <alignment/>
      <protection/>
    </xf>
    <xf numFmtId="187" fontId="9" fillId="0" borderId="22" xfId="0" applyNumberFormat="1" applyFont="1" applyFill="1" applyBorder="1" applyAlignment="1" applyProtection="1">
      <alignment/>
      <protection/>
    </xf>
    <xf numFmtId="190" fontId="9" fillId="0" borderId="21" xfId="0" applyNumberFormat="1" applyFont="1" applyFill="1" applyBorder="1" applyAlignment="1" applyProtection="1">
      <alignment/>
      <protection/>
    </xf>
    <xf numFmtId="190" fontId="9" fillId="0" borderId="25" xfId="0" applyNumberFormat="1" applyFont="1" applyFill="1" applyBorder="1" applyAlignment="1" applyProtection="1">
      <alignment/>
      <protection/>
    </xf>
    <xf numFmtId="188" fontId="9" fillId="0" borderId="22" xfId="0" applyNumberFormat="1" applyFont="1" applyFill="1" applyBorder="1" applyAlignment="1" applyProtection="1">
      <alignment/>
      <protection/>
    </xf>
    <xf numFmtId="187" fontId="11" fillId="0" borderId="0" xfId="0" applyNumberFormat="1" applyFont="1" applyFill="1" applyAlignment="1" applyProtection="1">
      <alignment/>
      <protection/>
    </xf>
    <xf numFmtId="43" fontId="9" fillId="0" borderId="11" xfId="42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L30" sqref="BL30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7" width="13.28125" style="0" customWidth="1"/>
    <col min="58" max="58" width="13.421875" style="0" customWidth="1"/>
    <col min="59" max="59" width="4.28125" style="0" customWidth="1"/>
  </cols>
  <sheetData>
    <row r="1" spans="1:62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8"/>
      <c r="BJ1" s="8"/>
    </row>
    <row r="2" spans="1:62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8"/>
      <c r="BJ2" s="8"/>
    </row>
    <row r="3" spans="1:62" ht="15.75" customHeight="1">
      <c r="A3" s="5"/>
      <c r="B3" s="3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8"/>
      <c r="BJ3" s="8"/>
    </row>
    <row r="4" spans="1:64" ht="15.75" customHeight="1">
      <c r="A4" s="6" t="s">
        <v>2</v>
      </c>
      <c r="B4" s="5"/>
      <c r="C4" s="4" t="s">
        <v>28</v>
      </c>
      <c r="D4" s="4"/>
      <c r="E4" s="10"/>
      <c r="F4" s="4" t="s">
        <v>29</v>
      </c>
      <c r="G4" s="4"/>
      <c r="H4" s="10"/>
      <c r="I4" s="4" t="s">
        <v>31</v>
      </c>
      <c r="J4" s="4"/>
      <c r="K4" s="10"/>
      <c r="L4" s="4" t="s">
        <v>32</v>
      </c>
      <c r="M4" s="4"/>
      <c r="N4" s="10"/>
      <c r="O4" s="4" t="s">
        <v>33</v>
      </c>
      <c r="P4" s="4"/>
      <c r="Q4" s="10"/>
      <c r="R4" s="4" t="s">
        <v>34</v>
      </c>
      <c r="S4" s="4"/>
      <c r="T4" s="10"/>
      <c r="U4" s="4" t="s">
        <v>35</v>
      </c>
      <c r="V4" s="4"/>
      <c r="W4" s="10"/>
      <c r="X4" s="4" t="s">
        <v>36</v>
      </c>
      <c r="Y4" s="4"/>
      <c r="Z4" s="10"/>
      <c r="AA4" s="4" t="s">
        <v>37</v>
      </c>
      <c r="AB4" s="4"/>
      <c r="AC4" s="10"/>
      <c r="AD4" s="4" t="s">
        <v>38</v>
      </c>
      <c r="AE4" s="4"/>
      <c r="AF4" s="10"/>
      <c r="AG4" s="4" t="s">
        <v>39</v>
      </c>
      <c r="AH4" s="4"/>
      <c r="AI4" s="10"/>
      <c r="AJ4" s="4" t="s">
        <v>40</v>
      </c>
      <c r="AK4" s="4"/>
      <c r="AL4" s="10"/>
      <c r="AM4" s="4" t="s">
        <v>41</v>
      </c>
      <c r="AN4" s="4"/>
      <c r="AO4" s="10"/>
      <c r="AP4" s="4" t="s">
        <v>42</v>
      </c>
      <c r="AQ4" s="4"/>
      <c r="AR4" s="10"/>
      <c r="AS4" s="4" t="s">
        <v>43</v>
      </c>
      <c r="AT4" s="4"/>
      <c r="AU4" s="10"/>
      <c r="AV4" s="4" t="s">
        <v>44</v>
      </c>
      <c r="AW4" s="4"/>
      <c r="AX4" s="10"/>
      <c r="AY4" s="4" t="s">
        <v>45</v>
      </c>
      <c r="AZ4" s="4"/>
      <c r="BA4" s="10"/>
      <c r="BB4" s="4" t="s">
        <v>46</v>
      </c>
      <c r="BC4" s="4"/>
      <c r="BD4" s="10"/>
      <c r="BE4" s="4" t="s">
        <v>47</v>
      </c>
      <c r="BF4" s="4"/>
      <c r="BG4" s="47"/>
      <c r="BH4" s="4" t="s">
        <v>48</v>
      </c>
      <c r="BI4" s="4"/>
      <c r="BJ4" s="47"/>
      <c r="BK4" s="4" t="s">
        <v>3</v>
      </c>
      <c r="BL4" s="4"/>
    </row>
    <row r="5" spans="1:64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0"/>
      <c r="BH5" s="5"/>
      <c r="BI5" s="5"/>
      <c r="BJ5" s="50"/>
      <c r="BK5" s="26"/>
      <c r="BL5" s="26"/>
    </row>
    <row r="6" spans="1:64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44"/>
      <c r="BH6" s="11"/>
      <c r="BI6" s="11"/>
      <c r="BJ6" s="44"/>
      <c r="BK6" s="64"/>
      <c r="BL6" s="64"/>
    </row>
    <row r="7" spans="1:64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48"/>
      <c r="BH7" s="12" t="s">
        <v>4</v>
      </c>
      <c r="BI7" s="12" t="s">
        <v>4</v>
      </c>
      <c r="BJ7" s="48"/>
      <c r="BK7" s="65" t="s">
        <v>5</v>
      </c>
      <c r="BL7" s="65" t="s">
        <v>5</v>
      </c>
    </row>
    <row r="8" spans="1:64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48"/>
      <c r="BH8" s="12" t="s">
        <v>7</v>
      </c>
      <c r="BI8" s="12" t="s">
        <v>7</v>
      </c>
      <c r="BJ8" s="48"/>
      <c r="BK8" s="65" t="s">
        <v>8</v>
      </c>
      <c r="BL8" s="65" t="s">
        <v>9</v>
      </c>
    </row>
    <row r="9" spans="1:64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48"/>
      <c r="BH9" s="12" t="s">
        <v>10</v>
      </c>
      <c r="BI9" s="12" t="s">
        <v>9</v>
      </c>
      <c r="BJ9" s="48"/>
      <c r="BK9" s="65" t="s">
        <v>7</v>
      </c>
      <c r="BL9" s="65" t="s">
        <v>11</v>
      </c>
    </row>
    <row r="10" spans="1:64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48"/>
      <c r="BH10" s="5"/>
      <c r="BI10" s="12" t="s">
        <v>12</v>
      </c>
      <c r="BJ10" s="48"/>
      <c r="BK10" s="65" t="s">
        <v>10</v>
      </c>
      <c r="BL10" s="65" t="s">
        <v>12</v>
      </c>
    </row>
    <row r="11" spans="1:64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1"/>
      <c r="BH11" s="5"/>
      <c r="BI11" s="5"/>
      <c r="BJ11" s="51"/>
      <c r="BK11" s="51"/>
      <c r="BL11" s="51"/>
    </row>
    <row r="12" spans="1:64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44"/>
      <c r="BH12" s="11"/>
      <c r="BI12" s="11"/>
      <c r="BJ12" s="44"/>
      <c r="BK12" s="44"/>
      <c r="BL12" s="44"/>
    </row>
    <row r="13" spans="1:64" ht="15.75" customHeight="1">
      <c r="A13" s="16">
        <v>1</v>
      </c>
      <c r="B13" s="17" t="s">
        <v>14</v>
      </c>
      <c r="C13" s="27">
        <v>119.38</v>
      </c>
      <c r="D13" s="19">
        <v>79.14</v>
      </c>
      <c r="E13" s="5"/>
      <c r="F13" s="27">
        <v>118.16</v>
      </c>
      <c r="G13" s="19">
        <v>80.25</v>
      </c>
      <c r="H13" s="5"/>
      <c r="I13" s="27">
        <v>118.41</v>
      </c>
      <c r="J13" s="19">
        <v>80.64</v>
      </c>
      <c r="K13" s="5"/>
      <c r="L13" s="27">
        <v>119.12</v>
      </c>
      <c r="M13" s="19">
        <v>80.21</v>
      </c>
      <c r="N13" s="5"/>
      <c r="O13" s="27">
        <v>119.17</v>
      </c>
      <c r="P13" s="19">
        <v>80.87</v>
      </c>
      <c r="Q13" s="5"/>
      <c r="R13" s="27">
        <v>120.29</v>
      </c>
      <c r="S13" s="19">
        <v>80.47</v>
      </c>
      <c r="T13" s="5"/>
      <c r="U13" s="27">
        <v>120.44</v>
      </c>
      <c r="V13" s="19">
        <v>80.6</v>
      </c>
      <c r="W13" s="5"/>
      <c r="X13" s="27">
        <v>120.45</v>
      </c>
      <c r="Y13" s="19">
        <v>80.31</v>
      </c>
      <c r="Z13" s="5"/>
      <c r="AA13" s="27">
        <v>120.28</v>
      </c>
      <c r="AB13" s="19">
        <v>80.27</v>
      </c>
      <c r="AC13" s="5"/>
      <c r="AD13" s="27">
        <v>120.59</v>
      </c>
      <c r="AE13" s="19">
        <v>80.26</v>
      </c>
      <c r="AF13" s="5"/>
      <c r="AG13" s="27">
        <v>121.37</v>
      </c>
      <c r="AH13" s="19">
        <v>79.62</v>
      </c>
      <c r="AI13" s="5"/>
      <c r="AJ13" s="27">
        <v>121.23</v>
      </c>
      <c r="AK13" s="19">
        <v>79.38</v>
      </c>
      <c r="AL13" s="5"/>
      <c r="AM13" s="27">
        <v>121.6</v>
      </c>
      <c r="AN13" s="19">
        <v>79.08</v>
      </c>
      <c r="AO13" s="5"/>
      <c r="AP13" s="27">
        <v>121.43</v>
      </c>
      <c r="AQ13" s="19">
        <v>78.86</v>
      </c>
      <c r="AR13" s="5"/>
      <c r="AS13" s="27">
        <v>121.44</v>
      </c>
      <c r="AT13" s="19">
        <v>78.73</v>
      </c>
      <c r="AU13" s="5"/>
      <c r="AV13" s="27">
        <v>120.57</v>
      </c>
      <c r="AW13" s="19">
        <v>79.25</v>
      </c>
      <c r="AX13" s="5"/>
      <c r="AY13" s="27">
        <v>121.39</v>
      </c>
      <c r="AZ13" s="19">
        <v>78.94</v>
      </c>
      <c r="BA13" s="5"/>
      <c r="BB13" s="27">
        <v>121.92</v>
      </c>
      <c r="BC13" s="19">
        <v>78.7</v>
      </c>
      <c r="BD13" s="5"/>
      <c r="BE13" s="27">
        <v>121.86</v>
      </c>
      <c r="BF13" s="19">
        <v>78.87</v>
      </c>
      <c r="BG13" s="44"/>
      <c r="BH13" s="27">
        <v>121.45</v>
      </c>
      <c r="BI13" s="19">
        <v>79.35</v>
      </c>
      <c r="BJ13" s="44"/>
      <c r="BK13" s="88">
        <v>120.5275</v>
      </c>
      <c r="BL13" s="89">
        <v>79.69</v>
      </c>
    </row>
    <row r="14" spans="1:64" ht="15.75" customHeight="1">
      <c r="A14" s="16">
        <v>2</v>
      </c>
      <c r="B14" s="17" t="s">
        <v>15</v>
      </c>
      <c r="C14" s="27">
        <f>1/1.9433</f>
        <v>0.514588586425153</v>
      </c>
      <c r="D14" s="19">
        <v>183.6</v>
      </c>
      <c r="E14" s="5"/>
      <c r="F14" s="27">
        <f>1/1.9414</f>
        <v>0.5150922015040692</v>
      </c>
      <c r="G14" s="19">
        <v>184.08</v>
      </c>
      <c r="H14" s="5"/>
      <c r="I14" s="27">
        <f>1/1.9317</f>
        <v>0.5176787285810426</v>
      </c>
      <c r="J14" s="19">
        <v>184.46</v>
      </c>
      <c r="K14" s="5"/>
      <c r="L14" s="27">
        <f>1/1.9423</f>
        <v>0.514853524172373</v>
      </c>
      <c r="M14" s="19">
        <v>185.58</v>
      </c>
      <c r="N14" s="5"/>
      <c r="O14" s="27">
        <f>1/1.9389</f>
        <v>0.5157563566970963</v>
      </c>
      <c r="P14" s="19">
        <v>186.85</v>
      </c>
      <c r="Q14" s="5"/>
      <c r="R14" s="27">
        <f>1/1.9389</f>
        <v>0.5157563566970963</v>
      </c>
      <c r="S14" s="19">
        <v>187.67</v>
      </c>
      <c r="T14" s="5"/>
      <c r="U14" s="27">
        <f>1/1.9484</f>
        <v>0.5132416341613631</v>
      </c>
      <c r="V14" s="19">
        <v>189.14</v>
      </c>
      <c r="W14" s="5"/>
      <c r="X14" s="27">
        <f>1/1.9663</f>
        <v>0.5085693942938514</v>
      </c>
      <c r="Y14" s="19">
        <v>190.21</v>
      </c>
      <c r="Z14" s="5"/>
      <c r="AA14" s="27">
        <f>1/1.9656</f>
        <v>0.5087505087505088</v>
      </c>
      <c r="AB14" s="19">
        <v>189.77</v>
      </c>
      <c r="AC14" s="5"/>
      <c r="AD14" s="27">
        <f>1/1.9666</f>
        <v>0.5084918132818061</v>
      </c>
      <c r="AE14" s="19">
        <v>190.34</v>
      </c>
      <c r="AF14" s="5"/>
      <c r="AG14" s="27">
        <f>1/1.9717</f>
        <v>0.5071765481564132</v>
      </c>
      <c r="AH14" s="19">
        <v>190.54</v>
      </c>
      <c r="AI14" s="5"/>
      <c r="AJ14" s="27">
        <f>1/1.9721</f>
        <v>0.5070736778053851</v>
      </c>
      <c r="AK14" s="19">
        <v>189.78</v>
      </c>
      <c r="AL14" s="5"/>
      <c r="AM14" s="27">
        <f>1/1.9735</f>
        <v>0.5067139599695971</v>
      </c>
      <c r="AN14" s="19">
        <v>189.77</v>
      </c>
      <c r="AO14" s="5"/>
      <c r="AP14" s="27">
        <f>1/1.984</f>
        <v>0.5040322580645161</v>
      </c>
      <c r="AQ14" s="19">
        <v>189.99</v>
      </c>
      <c r="AR14" s="5"/>
      <c r="AS14" s="27">
        <f>1/1.9757</f>
        <v>0.5061497190869059</v>
      </c>
      <c r="AT14" s="19">
        <v>188.91</v>
      </c>
      <c r="AU14" s="5"/>
      <c r="AV14" s="27">
        <f>1/1.9709</f>
        <v>0.5073824141255264</v>
      </c>
      <c r="AW14" s="19">
        <v>188.31</v>
      </c>
      <c r="AX14" s="5"/>
      <c r="AY14" s="27">
        <f>1/1.962</f>
        <v>0.509683995922528</v>
      </c>
      <c r="AZ14" s="19">
        <v>188</v>
      </c>
      <c r="BA14" s="5"/>
      <c r="BB14" s="27">
        <f>1/1.9579</f>
        <v>0.5107513151846366</v>
      </c>
      <c r="BC14" s="19">
        <v>187.87</v>
      </c>
      <c r="BD14" s="5"/>
      <c r="BE14" s="27">
        <f>1/1.9656</f>
        <v>0.5087505087505088</v>
      </c>
      <c r="BF14" s="19">
        <v>188.92</v>
      </c>
      <c r="BG14" s="44"/>
      <c r="BH14" s="27">
        <f>1/1.9546</f>
        <v>0.5116136293870869</v>
      </c>
      <c r="BI14" s="19">
        <v>188.36</v>
      </c>
      <c r="BJ14" s="44"/>
      <c r="BK14" s="88">
        <v>0.5106053565508732</v>
      </c>
      <c r="BL14" s="89">
        <v>188.1075</v>
      </c>
    </row>
    <row r="15" spans="1:64" ht="15.75" customHeight="1">
      <c r="A15" s="16">
        <v>3</v>
      </c>
      <c r="B15" s="17" t="s">
        <v>16</v>
      </c>
      <c r="C15" s="27">
        <v>1.2313</v>
      </c>
      <c r="D15" s="19">
        <v>76.73</v>
      </c>
      <c r="E15" s="5"/>
      <c r="F15" s="27">
        <v>1.2274</v>
      </c>
      <c r="G15" s="19">
        <v>77.25</v>
      </c>
      <c r="H15" s="5"/>
      <c r="I15" s="27">
        <v>1.2362</v>
      </c>
      <c r="J15" s="19">
        <v>77.25</v>
      </c>
      <c r="K15" s="5"/>
      <c r="L15" s="27">
        <v>1.237</v>
      </c>
      <c r="M15" s="19">
        <v>77.24</v>
      </c>
      <c r="N15" s="5"/>
      <c r="O15" s="27">
        <v>1.2422</v>
      </c>
      <c r="P15" s="19">
        <v>77.58</v>
      </c>
      <c r="Q15" s="5"/>
      <c r="R15" s="27">
        <v>1.2456</v>
      </c>
      <c r="S15" s="19">
        <v>77.71</v>
      </c>
      <c r="T15" s="5"/>
      <c r="U15" s="27">
        <v>1.249</v>
      </c>
      <c r="V15" s="19">
        <v>77.72</v>
      </c>
      <c r="W15" s="5"/>
      <c r="X15" s="27">
        <v>1.2449</v>
      </c>
      <c r="Y15" s="19">
        <v>77.7</v>
      </c>
      <c r="Z15" s="5"/>
      <c r="AA15" s="27">
        <v>1.2428</v>
      </c>
      <c r="AB15" s="19">
        <v>77.68</v>
      </c>
      <c r="AC15" s="5"/>
      <c r="AD15" s="27">
        <v>1.249</v>
      </c>
      <c r="AE15" s="19">
        <v>77.49</v>
      </c>
      <c r="AF15" s="5"/>
      <c r="AG15" s="27">
        <v>1.2518</v>
      </c>
      <c r="AH15" s="19">
        <v>77.2</v>
      </c>
      <c r="AI15" s="5"/>
      <c r="AJ15" s="27">
        <v>1.249</v>
      </c>
      <c r="AK15" s="19">
        <v>77.05</v>
      </c>
      <c r="AL15" s="5"/>
      <c r="AM15" s="27">
        <v>1.2496</v>
      </c>
      <c r="AN15" s="19">
        <v>76.95</v>
      </c>
      <c r="AO15" s="5"/>
      <c r="AP15" s="27">
        <v>1.2421</v>
      </c>
      <c r="AQ15" s="19">
        <v>77.1</v>
      </c>
      <c r="AR15" s="5"/>
      <c r="AS15" s="27">
        <v>1.2449</v>
      </c>
      <c r="AT15" s="19">
        <v>76.8</v>
      </c>
      <c r="AU15" s="5"/>
      <c r="AV15" s="27">
        <v>1.2435</v>
      </c>
      <c r="AW15" s="19">
        <v>76.84</v>
      </c>
      <c r="AX15" s="5"/>
      <c r="AY15" s="27">
        <v>1.2529</v>
      </c>
      <c r="AZ15" s="19">
        <v>76.48</v>
      </c>
      <c r="BA15" s="5"/>
      <c r="BB15" s="27">
        <v>1.2548</v>
      </c>
      <c r="BC15" s="19">
        <v>76.47</v>
      </c>
      <c r="BD15" s="5"/>
      <c r="BE15" s="27">
        <v>1.253</v>
      </c>
      <c r="BF15" s="19">
        <v>76.7</v>
      </c>
      <c r="BG15" s="44"/>
      <c r="BH15" s="27">
        <v>1.2542</v>
      </c>
      <c r="BI15" s="19">
        <v>76.83</v>
      </c>
      <c r="BJ15" s="44"/>
      <c r="BK15" s="88">
        <v>1.2450600000000003</v>
      </c>
      <c r="BL15" s="89">
        <v>77.1385</v>
      </c>
    </row>
    <row r="16" spans="1:64" ht="15.75" customHeight="1">
      <c r="A16" s="16">
        <v>4</v>
      </c>
      <c r="B16" s="17" t="s">
        <v>17</v>
      </c>
      <c r="C16" s="27">
        <f>1/1.3108</f>
        <v>0.7628928898382668</v>
      </c>
      <c r="D16" s="19">
        <v>123.77</v>
      </c>
      <c r="E16" s="5"/>
      <c r="F16" s="27">
        <f>1/1.3104</f>
        <v>0.7631257631257631</v>
      </c>
      <c r="G16" s="19">
        <v>124.03</v>
      </c>
      <c r="H16" s="5"/>
      <c r="I16" s="27">
        <f>1/1.3015</f>
        <v>0.768344218209758</v>
      </c>
      <c r="J16" s="19">
        <v>124.16</v>
      </c>
      <c r="K16" s="5"/>
      <c r="L16" s="27">
        <f>1/1.3029</f>
        <v>0.767518612326349</v>
      </c>
      <c r="M16" s="19">
        <v>124.42</v>
      </c>
      <c r="N16" s="5"/>
      <c r="O16" s="27">
        <f>1/1.2995</f>
        <v>0.7695267410542516</v>
      </c>
      <c r="P16" s="19">
        <v>125.1</v>
      </c>
      <c r="Q16" s="5"/>
      <c r="R16" s="27">
        <f>1/1.2973</f>
        <v>0.7708317274339013</v>
      </c>
      <c r="S16" s="19">
        <v>125.34</v>
      </c>
      <c r="T16" s="5"/>
      <c r="U16" s="27">
        <f>1/1.2905</f>
        <v>0.7748934521503293</v>
      </c>
      <c r="V16" s="19">
        <v>125.19</v>
      </c>
      <c r="W16" s="5"/>
      <c r="X16" s="27">
        <f>1/1.2946</f>
        <v>0.7724393635099644</v>
      </c>
      <c r="Y16" s="19">
        <v>125.11</v>
      </c>
      <c r="Z16" s="5"/>
      <c r="AA16" s="27">
        <f>1/1.298</f>
        <v>0.7704160246533127</v>
      </c>
      <c r="AB16" s="19">
        <v>125.2</v>
      </c>
      <c r="AC16" s="5"/>
      <c r="AD16" s="27">
        <f>1/1.2925</f>
        <v>0.7736943907156674</v>
      </c>
      <c r="AE16" s="19">
        <v>125.11</v>
      </c>
      <c r="AF16" s="5"/>
      <c r="AG16" s="27">
        <f>1/1.2936</f>
        <v>0.7730364873222015</v>
      </c>
      <c r="AH16" s="19">
        <v>125.03</v>
      </c>
      <c r="AI16" s="5"/>
      <c r="AJ16" s="27">
        <f>1/1.2962</f>
        <v>0.7714858818083629</v>
      </c>
      <c r="AK16" s="19">
        <v>124.68</v>
      </c>
      <c r="AL16" s="5"/>
      <c r="AM16" s="27">
        <f>1/1.2954</f>
        <v>0.771962328238382</v>
      </c>
      <c r="AN16" s="19">
        <v>124.55</v>
      </c>
      <c r="AO16" s="5"/>
      <c r="AP16" s="27">
        <f>1/1.3011</f>
        <v>0.7685804319422028</v>
      </c>
      <c r="AQ16" s="19">
        <v>124.57</v>
      </c>
      <c r="AR16" s="5"/>
      <c r="AS16" s="27">
        <f>1/1.3002</f>
        <v>0.7691124442393478</v>
      </c>
      <c r="AT16" s="19">
        <v>124.32</v>
      </c>
      <c r="AU16" s="5"/>
      <c r="AV16" s="27">
        <f>1/1.2988</f>
        <v>0.769941484447182</v>
      </c>
      <c r="AW16" s="19">
        <v>124.07</v>
      </c>
      <c r="AX16" s="5"/>
      <c r="AY16" s="27">
        <f>1/1.2916</f>
        <v>0.774233508826262</v>
      </c>
      <c r="AZ16" s="19">
        <v>123.82</v>
      </c>
      <c r="BA16" s="5"/>
      <c r="BB16" s="27">
        <f>1/1.2919</f>
        <v>0.7740537193281214</v>
      </c>
      <c r="BC16" s="19">
        <v>123.99</v>
      </c>
      <c r="BD16" s="5"/>
      <c r="BE16" s="27">
        <f>1/1.2957</f>
        <v>0.7717835918808366</v>
      </c>
      <c r="BF16" s="19">
        <v>124.44</v>
      </c>
      <c r="BG16" s="44"/>
      <c r="BH16" s="27">
        <f>1/1.2933</f>
        <v>0.7732158045310447</v>
      </c>
      <c r="BI16" s="19">
        <v>124.63</v>
      </c>
      <c r="BJ16" s="44"/>
      <c r="BK16" s="88">
        <v>0.7705544432790755</v>
      </c>
      <c r="BL16" s="89">
        <v>124.57649999999998</v>
      </c>
    </row>
    <row r="17" spans="1:64" ht="15.75" customHeight="1">
      <c r="A17" s="16">
        <v>5</v>
      </c>
      <c r="B17" s="17" t="s">
        <v>18</v>
      </c>
      <c r="C17" s="27">
        <v>624.4</v>
      </c>
      <c r="D17" s="19">
        <v>58991.75</v>
      </c>
      <c r="E17" s="5"/>
      <c r="F17" s="27">
        <v>625.4</v>
      </c>
      <c r="G17" s="19">
        <v>59300.82</v>
      </c>
      <c r="H17" s="5"/>
      <c r="I17" s="27">
        <v>608.1</v>
      </c>
      <c r="J17" s="19">
        <v>58068.23</v>
      </c>
      <c r="K17" s="5"/>
      <c r="L17" s="27">
        <v>611.6</v>
      </c>
      <c r="M17" s="19">
        <v>58436.85</v>
      </c>
      <c r="N17" s="5"/>
      <c r="O17" s="27">
        <v>609.5</v>
      </c>
      <c r="P17" s="19">
        <v>58737.9</v>
      </c>
      <c r="Q17" s="5"/>
      <c r="R17" s="27">
        <v>613</v>
      </c>
      <c r="S17" s="19">
        <v>59334.57</v>
      </c>
      <c r="T17" s="5"/>
      <c r="U17" s="27">
        <v>613.2</v>
      </c>
      <c r="V17" s="19">
        <v>59527.54</v>
      </c>
      <c r="W17" s="5"/>
      <c r="X17" s="27">
        <v>627.4</v>
      </c>
      <c r="Y17" s="19">
        <v>60689.97</v>
      </c>
      <c r="Z17" s="5"/>
      <c r="AA17" s="27">
        <v>625.1</v>
      </c>
      <c r="AB17" s="19">
        <v>60349.11</v>
      </c>
      <c r="AC17" s="5"/>
      <c r="AD17" s="27">
        <v>623.2</v>
      </c>
      <c r="AE17" s="19">
        <v>60317.97</v>
      </c>
      <c r="AF17" s="5"/>
      <c r="AG17" s="27">
        <v>632.5</v>
      </c>
      <c r="AH17" s="19">
        <v>61121.64</v>
      </c>
      <c r="AI17" s="5"/>
      <c r="AJ17" s="27">
        <v>628.7</v>
      </c>
      <c r="AK17" s="19">
        <v>60500.98</v>
      </c>
      <c r="AL17" s="5"/>
      <c r="AM17" s="27">
        <v>634.6</v>
      </c>
      <c r="AN17" s="19">
        <v>61023.53</v>
      </c>
      <c r="AO17" s="5"/>
      <c r="AP17" s="27">
        <v>637.3</v>
      </c>
      <c r="AQ17" s="19">
        <v>61028.64</v>
      </c>
      <c r="AR17" s="5"/>
      <c r="AS17" s="27">
        <v>643.1</v>
      </c>
      <c r="AT17" s="19">
        <v>61489.6</v>
      </c>
      <c r="AU17" s="5"/>
      <c r="AV17" s="27">
        <v>648.7</v>
      </c>
      <c r="AW17" s="19">
        <v>61981.26</v>
      </c>
      <c r="AX17" s="5"/>
      <c r="AY17" s="27">
        <v>644.9</v>
      </c>
      <c r="AZ17" s="19">
        <v>61796.33</v>
      </c>
      <c r="BA17" s="5"/>
      <c r="BB17" s="27">
        <v>642.7</v>
      </c>
      <c r="BC17" s="19">
        <v>61669.48</v>
      </c>
      <c r="BD17" s="5"/>
      <c r="BE17" s="27">
        <v>642.6</v>
      </c>
      <c r="BF17" s="19">
        <v>61761.09</v>
      </c>
      <c r="BG17" s="44"/>
      <c r="BH17" s="27">
        <v>645.75</v>
      </c>
      <c r="BI17" s="19">
        <v>62228.1</v>
      </c>
      <c r="BJ17" s="44"/>
      <c r="BK17" s="88">
        <v>629.0875</v>
      </c>
      <c r="BL17" s="89">
        <v>60417.768000000004</v>
      </c>
    </row>
    <row r="18" spans="1:64" ht="15.75" customHeight="1">
      <c r="A18" s="16">
        <v>6</v>
      </c>
      <c r="B18" s="20" t="s">
        <v>19</v>
      </c>
      <c r="C18" s="27">
        <v>12.44</v>
      </c>
      <c r="D18" s="19">
        <v>1175.3</v>
      </c>
      <c r="E18" s="5"/>
      <c r="F18" s="27">
        <v>12.67</v>
      </c>
      <c r="G18" s="19">
        <v>1201.38</v>
      </c>
      <c r="H18" s="5"/>
      <c r="I18" s="27">
        <v>12.1</v>
      </c>
      <c r="J18" s="19">
        <v>1155.44</v>
      </c>
      <c r="K18" s="5"/>
      <c r="L18" s="27">
        <v>12.33</v>
      </c>
      <c r="M18" s="19">
        <v>1178.1</v>
      </c>
      <c r="N18" s="5"/>
      <c r="O18" s="27">
        <v>12.38</v>
      </c>
      <c r="P18" s="19">
        <v>1193.07</v>
      </c>
      <c r="Q18" s="5"/>
      <c r="R18" s="27">
        <v>12.35</v>
      </c>
      <c r="S18" s="19">
        <v>1195.4</v>
      </c>
      <c r="T18" s="5"/>
      <c r="U18" s="27">
        <v>12.4</v>
      </c>
      <c r="V18" s="19">
        <v>1203.75</v>
      </c>
      <c r="W18" s="5"/>
      <c r="X18" s="27">
        <v>12.87</v>
      </c>
      <c r="Y18" s="19">
        <v>1244.95</v>
      </c>
      <c r="Z18" s="5"/>
      <c r="AA18" s="27">
        <v>12.78</v>
      </c>
      <c r="AB18" s="19">
        <v>1233.82</v>
      </c>
      <c r="AC18" s="5"/>
      <c r="AD18" s="27">
        <v>12.5</v>
      </c>
      <c r="AE18" s="19">
        <v>1209.84</v>
      </c>
      <c r="AF18" s="5"/>
      <c r="AG18" s="27">
        <v>12.81</v>
      </c>
      <c r="AH18" s="19">
        <v>1237.89</v>
      </c>
      <c r="AI18" s="5"/>
      <c r="AJ18" s="27">
        <v>12.62</v>
      </c>
      <c r="AK18" s="19">
        <v>1214.45</v>
      </c>
      <c r="AL18" s="5"/>
      <c r="AM18" s="27">
        <v>12.85</v>
      </c>
      <c r="AN18" s="19">
        <v>1235.66</v>
      </c>
      <c r="AO18" s="5"/>
      <c r="AP18" s="27">
        <v>13.03</v>
      </c>
      <c r="AQ18" s="19">
        <v>1247.77</v>
      </c>
      <c r="AR18" s="5"/>
      <c r="AS18" s="27">
        <v>13.16</v>
      </c>
      <c r="AT18" s="19">
        <v>1258.29</v>
      </c>
      <c r="AU18" s="5"/>
      <c r="AV18" s="27">
        <v>13.36</v>
      </c>
      <c r="AW18" s="19">
        <v>1276.51</v>
      </c>
      <c r="AX18" s="5"/>
      <c r="AY18" s="27">
        <v>13.3</v>
      </c>
      <c r="AZ18" s="19">
        <v>1274.45</v>
      </c>
      <c r="BA18" s="5"/>
      <c r="BB18" s="27">
        <v>13.23</v>
      </c>
      <c r="BC18" s="19">
        <v>1269.47</v>
      </c>
      <c r="BD18" s="5"/>
      <c r="BE18" s="27">
        <v>13.12</v>
      </c>
      <c r="BF18" s="19">
        <v>1260.98</v>
      </c>
      <c r="BG18" s="44"/>
      <c r="BH18" s="27">
        <v>13.3</v>
      </c>
      <c r="BI18" s="19">
        <v>1281.66</v>
      </c>
      <c r="BJ18" s="44"/>
      <c r="BK18" s="88">
        <v>12.78</v>
      </c>
      <c r="BL18" s="89">
        <v>1227.409</v>
      </c>
    </row>
    <row r="19" spans="1:64" ht="15.75" customHeight="1">
      <c r="A19" s="16">
        <v>7</v>
      </c>
      <c r="B19" s="17" t="s">
        <v>20</v>
      </c>
      <c r="C19" s="27">
        <f>1/0.7841</f>
        <v>1.2753475322025252</v>
      </c>
      <c r="D19" s="19">
        <v>74.08</v>
      </c>
      <c r="E19" s="5"/>
      <c r="F19" s="27">
        <f>1/0.7848</f>
        <v>1.27420998980632</v>
      </c>
      <c r="G19" s="19">
        <v>74.42</v>
      </c>
      <c r="H19" s="5"/>
      <c r="I19" s="27">
        <f>1/0.7792</f>
        <v>1.2833675564681726</v>
      </c>
      <c r="J19" s="19">
        <v>74.41</v>
      </c>
      <c r="K19" s="5"/>
      <c r="L19" s="27">
        <f>1/0.7822</f>
        <v>1.2784454103809768</v>
      </c>
      <c r="M19" s="19">
        <v>74.74</v>
      </c>
      <c r="N19" s="5"/>
      <c r="O19" s="27">
        <f>1/0.7796</f>
        <v>1.2827090815802977</v>
      </c>
      <c r="P19" s="19">
        <v>75.13</v>
      </c>
      <c r="Q19" s="5"/>
      <c r="R19" s="27">
        <f>1/0.7823</f>
        <v>1.278281989006775</v>
      </c>
      <c r="S19" s="19">
        <v>75.72</v>
      </c>
      <c r="T19" s="5"/>
      <c r="U19" s="27">
        <f>1/0.7806</f>
        <v>1.2810658467845248</v>
      </c>
      <c r="V19" s="19">
        <v>75.78</v>
      </c>
      <c r="W19" s="5"/>
      <c r="X19" s="27">
        <f>1/0.7849</f>
        <v>1.274047649382087</v>
      </c>
      <c r="Y19" s="19">
        <v>75.93</v>
      </c>
      <c r="Z19" s="5"/>
      <c r="AA19" s="27">
        <f>1/0.7846</f>
        <v>1.2745347947998982</v>
      </c>
      <c r="AB19" s="19">
        <v>75.75</v>
      </c>
      <c r="AC19" s="5"/>
      <c r="AD19" s="27">
        <f>1/0.7854</f>
        <v>1.2732365673542145</v>
      </c>
      <c r="AE19" s="19">
        <v>76.02</v>
      </c>
      <c r="AF19" s="5"/>
      <c r="AG19" s="27">
        <f>1/0.7881</f>
        <v>1.268874508311128</v>
      </c>
      <c r="AH19" s="19">
        <v>76.16</v>
      </c>
      <c r="AI19" s="5"/>
      <c r="AJ19" s="27">
        <f>1/0.7875</f>
        <v>1.2698412698412698</v>
      </c>
      <c r="AK19" s="19">
        <v>75.78</v>
      </c>
      <c r="AL19" s="5"/>
      <c r="AM19" s="27">
        <f>1/0.789</f>
        <v>1.2674271229404308</v>
      </c>
      <c r="AN19" s="19">
        <v>75.87</v>
      </c>
      <c r="AO19" s="5"/>
      <c r="AP19" s="27">
        <f>1/0.7918</f>
        <v>1.2629451881788332</v>
      </c>
      <c r="AQ19" s="19">
        <v>75.82</v>
      </c>
      <c r="AR19" s="5"/>
      <c r="AS19" s="27">
        <f>1/0.7837</f>
        <v>1.2759984688018375</v>
      </c>
      <c r="AT19" s="19">
        <v>74.93</v>
      </c>
      <c r="AU19" s="5"/>
      <c r="AV19" s="27">
        <f>1/0.7796</f>
        <v>1.2827090815802977</v>
      </c>
      <c r="AW19" s="19">
        <v>74.49</v>
      </c>
      <c r="AX19" s="5"/>
      <c r="AY19" s="27">
        <f>1/0.774</f>
        <v>1.2919896640826873</v>
      </c>
      <c r="AZ19" s="19">
        <v>74.17</v>
      </c>
      <c r="BA19" s="5"/>
      <c r="BB19" s="27">
        <f>1/0.7733</f>
        <v>1.29315918789603</v>
      </c>
      <c r="BC19" s="19">
        <v>74.2</v>
      </c>
      <c r="BD19" s="5"/>
      <c r="BE19" s="27">
        <f>1/0.7725</f>
        <v>1.2944983818770228</v>
      </c>
      <c r="BF19" s="19">
        <v>74.25</v>
      </c>
      <c r="BG19" s="44"/>
      <c r="BH19" s="27">
        <f>1/0.7708</f>
        <v>1.2973533990659054</v>
      </c>
      <c r="BI19" s="19">
        <v>74.28</v>
      </c>
      <c r="BJ19" s="44"/>
      <c r="BK19" s="88">
        <v>1.2790021345170617</v>
      </c>
      <c r="BL19" s="89">
        <v>75.0965</v>
      </c>
    </row>
    <row r="20" spans="1:64" ht="15.75" customHeight="1">
      <c r="A20" s="16">
        <v>8</v>
      </c>
      <c r="B20" s="17" t="s">
        <v>21</v>
      </c>
      <c r="C20" s="27">
        <v>1.1742</v>
      </c>
      <c r="D20" s="19">
        <v>80.46</v>
      </c>
      <c r="E20" s="5"/>
      <c r="F20" s="27">
        <v>1.1761</v>
      </c>
      <c r="G20" s="19">
        <v>80.62</v>
      </c>
      <c r="H20" s="5"/>
      <c r="I20" s="27">
        <v>1.1747</v>
      </c>
      <c r="J20" s="19">
        <v>81.29</v>
      </c>
      <c r="K20" s="5"/>
      <c r="L20" s="27">
        <v>1.1752</v>
      </c>
      <c r="M20" s="19">
        <v>81.3</v>
      </c>
      <c r="N20" s="5"/>
      <c r="O20" s="27">
        <v>1.1779</v>
      </c>
      <c r="P20" s="19">
        <v>81.82</v>
      </c>
      <c r="Q20" s="5"/>
      <c r="R20" s="27">
        <v>1.1703</v>
      </c>
      <c r="S20" s="19">
        <v>82.71</v>
      </c>
      <c r="T20" s="5"/>
      <c r="U20" s="27">
        <v>1.1742</v>
      </c>
      <c r="V20" s="19">
        <v>82.67</v>
      </c>
      <c r="W20" s="5"/>
      <c r="X20" s="27">
        <v>1.1683</v>
      </c>
      <c r="Y20" s="19">
        <v>82.8</v>
      </c>
      <c r="Z20" s="5"/>
      <c r="AA20" s="27">
        <v>1.1652</v>
      </c>
      <c r="AB20" s="19">
        <v>82.86</v>
      </c>
      <c r="AC20" s="5"/>
      <c r="AD20" s="27">
        <v>1.1743</v>
      </c>
      <c r="AE20" s="19">
        <v>82.42</v>
      </c>
      <c r="AF20" s="5"/>
      <c r="AG20" s="27">
        <v>1.1753</v>
      </c>
      <c r="AH20" s="19">
        <v>82.22</v>
      </c>
      <c r="AI20" s="5"/>
      <c r="AJ20" s="27">
        <v>1.1734</v>
      </c>
      <c r="AK20" s="19">
        <v>82.01</v>
      </c>
      <c r="AL20" s="5"/>
      <c r="AM20" s="27">
        <v>1.1747</v>
      </c>
      <c r="AN20" s="19">
        <v>81.86</v>
      </c>
      <c r="AO20" s="5"/>
      <c r="AP20" s="27">
        <v>1.1805</v>
      </c>
      <c r="AQ20" s="19">
        <v>81.12</v>
      </c>
      <c r="AR20" s="5"/>
      <c r="AS20" s="27">
        <v>1.1804</v>
      </c>
      <c r="AT20" s="19">
        <v>81</v>
      </c>
      <c r="AU20" s="5"/>
      <c r="AV20" s="27">
        <v>1.177</v>
      </c>
      <c r="AW20" s="19">
        <v>81.18</v>
      </c>
      <c r="AX20" s="5"/>
      <c r="AY20" s="27">
        <v>1.1825</v>
      </c>
      <c r="AZ20" s="19">
        <v>81.03</v>
      </c>
      <c r="BA20" s="5"/>
      <c r="BB20" s="27">
        <v>1.1814</v>
      </c>
      <c r="BC20" s="19">
        <v>81.22</v>
      </c>
      <c r="BD20" s="5"/>
      <c r="BE20" s="27">
        <v>1.1825</v>
      </c>
      <c r="BF20" s="19">
        <v>81.28</v>
      </c>
      <c r="BG20" s="44"/>
      <c r="BH20" s="27">
        <v>1.1799</v>
      </c>
      <c r="BI20" s="19">
        <v>81.67</v>
      </c>
      <c r="BJ20" s="44"/>
      <c r="BK20" s="88">
        <v>1.1759</v>
      </c>
      <c r="BL20" s="89">
        <v>81.67699999999999</v>
      </c>
    </row>
    <row r="21" spans="1:64" ht="15.75" customHeight="1">
      <c r="A21" s="16">
        <v>9</v>
      </c>
      <c r="B21" s="17" t="s">
        <v>22</v>
      </c>
      <c r="C21" s="27">
        <v>6.8934</v>
      </c>
      <c r="D21" s="19">
        <v>13.71</v>
      </c>
      <c r="E21" s="5"/>
      <c r="F21" s="27">
        <v>6.9332</v>
      </c>
      <c r="G21" s="19">
        <v>13.68</v>
      </c>
      <c r="H21" s="5"/>
      <c r="I21" s="27">
        <v>6.9668</v>
      </c>
      <c r="J21" s="19">
        <v>13.71</v>
      </c>
      <c r="K21" s="5"/>
      <c r="L21" s="27">
        <v>6.9748</v>
      </c>
      <c r="M21" s="19">
        <v>13.7</v>
      </c>
      <c r="N21" s="5"/>
      <c r="O21" s="27">
        <v>7.0193</v>
      </c>
      <c r="P21" s="19">
        <v>13.73</v>
      </c>
      <c r="Q21" s="5"/>
      <c r="R21" s="27">
        <v>7.0217</v>
      </c>
      <c r="S21" s="19">
        <v>13.78</v>
      </c>
      <c r="T21" s="5"/>
      <c r="U21" s="27">
        <v>7.0659</v>
      </c>
      <c r="V21" s="19">
        <v>13.74</v>
      </c>
      <c r="W21" s="5"/>
      <c r="X21" s="27">
        <v>7.0098</v>
      </c>
      <c r="Y21" s="19">
        <v>13.8</v>
      </c>
      <c r="Z21" s="5"/>
      <c r="AA21" s="27">
        <v>6.9888</v>
      </c>
      <c r="AB21" s="19">
        <v>13.81</v>
      </c>
      <c r="AC21" s="5"/>
      <c r="AD21" s="27">
        <v>7.0021</v>
      </c>
      <c r="AE21" s="19">
        <v>13.82</v>
      </c>
      <c r="AF21" s="5"/>
      <c r="AG21" s="27">
        <v>7.0209</v>
      </c>
      <c r="AH21" s="19">
        <v>13.76</v>
      </c>
      <c r="AI21" s="5"/>
      <c r="AJ21" s="27">
        <v>7.0265</v>
      </c>
      <c r="AK21" s="19">
        <v>13.7</v>
      </c>
      <c r="AL21" s="5"/>
      <c r="AM21" s="27">
        <v>7.0439</v>
      </c>
      <c r="AN21" s="19">
        <v>13.65</v>
      </c>
      <c r="AO21" s="5"/>
      <c r="AP21" s="27">
        <v>6.987</v>
      </c>
      <c r="AQ21" s="19">
        <v>13.71</v>
      </c>
      <c r="AR21" s="5"/>
      <c r="AS21" s="27">
        <v>6.9759</v>
      </c>
      <c r="AT21" s="19">
        <v>13.71</v>
      </c>
      <c r="AU21" s="5"/>
      <c r="AV21" s="27">
        <v>6.9788</v>
      </c>
      <c r="AW21" s="19">
        <v>13.69</v>
      </c>
      <c r="AX21" s="5"/>
      <c r="AY21" s="27">
        <v>7.0365</v>
      </c>
      <c r="AZ21" s="19">
        <v>13.62</v>
      </c>
      <c r="BA21" s="5"/>
      <c r="BB21" s="27">
        <v>7.0153</v>
      </c>
      <c r="BC21" s="19">
        <v>13.68</v>
      </c>
      <c r="BD21" s="5"/>
      <c r="BE21" s="27">
        <v>6.965</v>
      </c>
      <c r="BF21" s="19">
        <v>13.8</v>
      </c>
      <c r="BG21" s="44"/>
      <c r="BH21" s="27">
        <v>6.988</v>
      </c>
      <c r="BI21" s="19">
        <v>13.79</v>
      </c>
      <c r="BJ21" s="44"/>
      <c r="BK21" s="88">
        <v>6.995679999999998</v>
      </c>
      <c r="BL21" s="89">
        <v>13.729500000000002</v>
      </c>
    </row>
    <row r="22" spans="1:64" ht="15.75" customHeight="1">
      <c r="A22" s="16">
        <v>10</v>
      </c>
      <c r="B22" s="17" t="s">
        <v>23</v>
      </c>
      <c r="C22" s="27">
        <v>6.2979</v>
      </c>
      <c r="D22" s="19">
        <v>15</v>
      </c>
      <c r="E22" s="5"/>
      <c r="F22" s="27">
        <v>6.3233</v>
      </c>
      <c r="G22" s="19">
        <v>15</v>
      </c>
      <c r="H22" s="5"/>
      <c r="I22" s="27">
        <v>6.3572</v>
      </c>
      <c r="J22" s="19">
        <v>15.02</v>
      </c>
      <c r="K22" s="5"/>
      <c r="L22" s="27">
        <v>6.3244</v>
      </c>
      <c r="M22" s="19">
        <v>15.11</v>
      </c>
      <c r="N22" s="5"/>
      <c r="O22" s="27">
        <v>6.3785</v>
      </c>
      <c r="P22" s="19">
        <v>15.11</v>
      </c>
      <c r="Q22" s="5"/>
      <c r="R22" s="27">
        <v>6.4197</v>
      </c>
      <c r="S22" s="19">
        <v>15.08</v>
      </c>
      <c r="T22" s="5"/>
      <c r="U22" s="27">
        <v>6.4627</v>
      </c>
      <c r="V22" s="19">
        <v>15.02</v>
      </c>
      <c r="W22" s="5"/>
      <c r="X22" s="27">
        <v>6.426</v>
      </c>
      <c r="Y22" s="19">
        <v>15.05</v>
      </c>
      <c r="Z22" s="5"/>
      <c r="AA22" s="27">
        <v>6.4</v>
      </c>
      <c r="AB22" s="19">
        <v>15.08</v>
      </c>
      <c r="AC22" s="5"/>
      <c r="AD22" s="27">
        <v>6.4417</v>
      </c>
      <c r="AE22" s="19">
        <v>15.03</v>
      </c>
      <c r="AF22" s="5"/>
      <c r="AG22" s="27">
        <v>6.4455</v>
      </c>
      <c r="AH22" s="19">
        <v>14.99</v>
      </c>
      <c r="AI22" s="5"/>
      <c r="AJ22" s="27">
        <v>6.4409</v>
      </c>
      <c r="AK22" s="19">
        <v>14.94</v>
      </c>
      <c r="AL22" s="5"/>
      <c r="AM22" s="27">
        <v>6.4436</v>
      </c>
      <c r="AN22" s="19">
        <v>14.92</v>
      </c>
      <c r="AO22" s="5"/>
      <c r="AP22" s="27">
        <v>6.43</v>
      </c>
      <c r="AQ22" s="19">
        <v>14.89</v>
      </c>
      <c r="AR22" s="5"/>
      <c r="AS22" s="27">
        <v>6.3992</v>
      </c>
      <c r="AT22" s="19">
        <v>14.94</v>
      </c>
      <c r="AU22" s="5"/>
      <c r="AV22" s="27">
        <v>6.3126</v>
      </c>
      <c r="AW22" s="19">
        <v>15.14</v>
      </c>
      <c r="AX22" s="5"/>
      <c r="AY22" s="27">
        <v>6.3385</v>
      </c>
      <c r="AZ22" s="19">
        <v>15.12</v>
      </c>
      <c r="BA22" s="5"/>
      <c r="BB22" s="27">
        <v>6.3243</v>
      </c>
      <c r="BC22" s="19">
        <v>15.17</v>
      </c>
      <c r="BD22" s="5"/>
      <c r="BE22" s="27">
        <v>6.2993</v>
      </c>
      <c r="BF22" s="19">
        <v>15.26</v>
      </c>
      <c r="BG22" s="44"/>
      <c r="BH22" s="27">
        <v>6.3001</v>
      </c>
      <c r="BI22" s="19">
        <v>15.3</v>
      </c>
      <c r="BJ22" s="44"/>
      <c r="BK22" s="88">
        <v>6.37827</v>
      </c>
      <c r="BL22" s="89">
        <v>15.0585</v>
      </c>
    </row>
    <row r="23" spans="1:64" ht="15.75" customHeight="1">
      <c r="A23" s="16">
        <v>11</v>
      </c>
      <c r="B23" s="17" t="s">
        <v>24</v>
      </c>
      <c r="C23" s="27">
        <v>5.684</v>
      </c>
      <c r="D23" s="19">
        <v>16.62</v>
      </c>
      <c r="E23" s="5"/>
      <c r="F23" s="27">
        <v>5.6867</v>
      </c>
      <c r="G23" s="19">
        <v>16.67</v>
      </c>
      <c r="H23" s="5"/>
      <c r="I23" s="27">
        <v>5.7265</v>
      </c>
      <c r="J23" s="19">
        <v>16.68</v>
      </c>
      <c r="K23" s="5"/>
      <c r="L23" s="27">
        <v>5.7191</v>
      </c>
      <c r="M23" s="19">
        <v>16.71</v>
      </c>
      <c r="N23" s="5"/>
      <c r="O23" s="27">
        <v>5.7348</v>
      </c>
      <c r="P23" s="19">
        <v>16.8</v>
      </c>
      <c r="Q23" s="5"/>
      <c r="R23" s="27">
        <v>5.745</v>
      </c>
      <c r="S23" s="19">
        <v>16.85</v>
      </c>
      <c r="T23" s="5"/>
      <c r="U23" s="27">
        <v>5.7733</v>
      </c>
      <c r="V23" s="19">
        <v>16.81</v>
      </c>
      <c r="W23" s="5"/>
      <c r="X23" s="27">
        <v>5.7556</v>
      </c>
      <c r="Y23" s="19">
        <v>16.81</v>
      </c>
      <c r="Z23" s="5"/>
      <c r="AA23" s="27">
        <v>5.7395</v>
      </c>
      <c r="AB23" s="19">
        <v>16.82</v>
      </c>
      <c r="AC23" s="5"/>
      <c r="AD23" s="27">
        <v>5.7646</v>
      </c>
      <c r="AE23" s="19">
        <v>16.79</v>
      </c>
      <c r="AF23" s="5"/>
      <c r="AG23" s="27">
        <v>5.7616</v>
      </c>
      <c r="AH23" s="19">
        <v>16.77</v>
      </c>
      <c r="AI23" s="5"/>
      <c r="AJ23" s="27">
        <v>5.7503</v>
      </c>
      <c r="AK23" s="19">
        <v>16.74</v>
      </c>
      <c r="AL23" s="5"/>
      <c r="AM23" s="27">
        <v>5.7535</v>
      </c>
      <c r="AN23" s="19">
        <v>16.71</v>
      </c>
      <c r="AO23" s="5"/>
      <c r="AP23" s="27">
        <v>5.7282</v>
      </c>
      <c r="AQ23" s="19">
        <v>16.72</v>
      </c>
      <c r="AR23" s="5"/>
      <c r="AS23" s="27">
        <v>5.7325</v>
      </c>
      <c r="AT23" s="19">
        <v>16.68</v>
      </c>
      <c r="AU23" s="5"/>
      <c r="AV23" s="27">
        <v>5.7378</v>
      </c>
      <c r="AW23" s="19">
        <v>16.65</v>
      </c>
      <c r="AX23" s="5"/>
      <c r="AY23" s="27">
        <v>5.7703</v>
      </c>
      <c r="AZ23" s="19">
        <v>16.61</v>
      </c>
      <c r="BA23" s="5"/>
      <c r="BB23" s="27">
        <v>5.7688</v>
      </c>
      <c r="BC23" s="19">
        <v>16.63</v>
      </c>
      <c r="BD23" s="5"/>
      <c r="BE23" s="27">
        <v>5.7519</v>
      </c>
      <c r="BF23" s="19">
        <v>16.71</v>
      </c>
      <c r="BG23" s="19"/>
      <c r="BH23" s="27">
        <v>5.7614</v>
      </c>
      <c r="BI23" s="19">
        <v>16.73</v>
      </c>
      <c r="BJ23" s="19"/>
      <c r="BK23" s="88">
        <v>5.74227</v>
      </c>
      <c r="BL23" s="89">
        <v>16.725500000000004</v>
      </c>
    </row>
    <row r="24" spans="1:64" ht="15.75" customHeight="1">
      <c r="A24" s="16">
        <v>12</v>
      </c>
      <c r="B24" s="17" t="s">
        <v>25</v>
      </c>
      <c r="C24" s="27">
        <f>1/1.50522</f>
        <v>0.6643547122679742</v>
      </c>
      <c r="D24" s="19">
        <v>142.21</v>
      </c>
      <c r="E24" s="5"/>
      <c r="F24" s="27">
        <f>1/1.49904</f>
        <v>0.6670936065748746</v>
      </c>
      <c r="G24" s="19">
        <v>142.14</v>
      </c>
      <c r="H24" s="5"/>
      <c r="I24" s="27">
        <f>1/1.49949</f>
        <v>0.6668934104262115</v>
      </c>
      <c r="J24" s="19">
        <v>143.19</v>
      </c>
      <c r="K24" s="5"/>
      <c r="L24" s="27">
        <f>1/1.49523</f>
        <v>0.6687934297733459</v>
      </c>
      <c r="M24" s="19">
        <v>142.87</v>
      </c>
      <c r="N24" s="5"/>
      <c r="O24" s="27">
        <f>1/1.49577</f>
        <v>0.6685519832594583</v>
      </c>
      <c r="P24" s="19">
        <v>144.15</v>
      </c>
      <c r="Q24" s="5"/>
      <c r="R24" s="27">
        <f>1/1.49429</f>
        <v>0.6692141418332452</v>
      </c>
      <c r="S24" s="19">
        <v>144.64</v>
      </c>
      <c r="T24" s="5"/>
      <c r="U24" s="27">
        <f>1/1.49123</f>
        <v>0.6705873674751714</v>
      </c>
      <c r="V24" s="19">
        <v>144.76</v>
      </c>
      <c r="W24" s="5"/>
      <c r="X24" s="27">
        <f>1/1.48977</f>
        <v>0.6712445545285514</v>
      </c>
      <c r="Y24" s="19">
        <v>144.11</v>
      </c>
      <c r="Z24" s="5"/>
      <c r="AA24" s="27">
        <f>1/1.48977</f>
        <v>0.6712445545285514</v>
      </c>
      <c r="AB24" s="19">
        <v>143.83</v>
      </c>
      <c r="AC24" s="5"/>
      <c r="AD24" s="27">
        <f>1/1.49445</f>
        <v>0.6691424938940748</v>
      </c>
      <c r="AE24" s="19">
        <v>144.64</v>
      </c>
      <c r="AF24" s="5"/>
      <c r="AG24" s="27">
        <f>1/1.49179</f>
        <v>0.6703356370534727</v>
      </c>
      <c r="AH24" s="19">
        <v>144.16</v>
      </c>
      <c r="AI24" s="5"/>
      <c r="AJ24" s="27">
        <f>1/1.49199</f>
        <v>0.670245779127206</v>
      </c>
      <c r="AK24" s="19">
        <v>143.58</v>
      </c>
      <c r="AL24" s="5"/>
      <c r="AM24" s="27">
        <f>1/1.49324</f>
        <v>0.6696847124373845</v>
      </c>
      <c r="AN24" s="19">
        <v>143.59</v>
      </c>
      <c r="AO24" s="5"/>
      <c r="AP24" s="27">
        <f>1/1.49254</f>
        <v>0.6699987940021708</v>
      </c>
      <c r="AQ24" s="19">
        <v>142.93</v>
      </c>
      <c r="AR24" s="5"/>
      <c r="AS24" s="27">
        <f>1/1.4971</f>
        <v>0.6679580522343196</v>
      </c>
      <c r="AT24" s="19">
        <v>143.14</v>
      </c>
      <c r="AU24" s="5"/>
      <c r="AV24" s="27">
        <f>1/1.49503</f>
        <v>0.6688828986709296</v>
      </c>
      <c r="AW24" s="19">
        <v>142.85</v>
      </c>
      <c r="AX24" s="5"/>
      <c r="AY24" s="27">
        <f>1/1.49491</f>
        <v>0.6689365915004917</v>
      </c>
      <c r="AZ24" s="19">
        <v>143.25</v>
      </c>
      <c r="BA24" s="5"/>
      <c r="BB24" s="27">
        <f>1/1.48927</f>
        <v>0.6714699147904678</v>
      </c>
      <c r="BC24" s="19">
        <v>142.9</v>
      </c>
      <c r="BD24" s="5"/>
      <c r="BE24" s="27">
        <f>1/1.48945</f>
        <v>0.6713887676659169</v>
      </c>
      <c r="BF24" s="19">
        <v>143.15</v>
      </c>
      <c r="BG24" s="19"/>
      <c r="BH24" s="27">
        <f>1/1.49164</f>
        <v>0.6704030463114424</v>
      </c>
      <c r="BI24" s="19">
        <v>143.74</v>
      </c>
      <c r="BJ24" s="19"/>
      <c r="BK24" s="88">
        <v>0.6693212224177629</v>
      </c>
      <c r="BL24" s="89">
        <v>143.4915</v>
      </c>
    </row>
    <row r="25" spans="1:64" ht="15.75" customHeight="1" thickBot="1">
      <c r="A25" s="35">
        <v>13</v>
      </c>
      <c r="B25" s="36" t="s">
        <v>26</v>
      </c>
      <c r="C25" s="28">
        <v>1</v>
      </c>
      <c r="D25" s="22">
        <v>94.48</v>
      </c>
      <c r="E25" s="21"/>
      <c r="F25" s="28">
        <v>1</v>
      </c>
      <c r="G25" s="22">
        <v>94.82</v>
      </c>
      <c r="H25" s="21"/>
      <c r="I25" s="28">
        <v>1</v>
      </c>
      <c r="J25" s="22">
        <v>95.49</v>
      </c>
      <c r="K25" s="21"/>
      <c r="L25" s="28">
        <v>1</v>
      </c>
      <c r="M25" s="22">
        <v>95.55</v>
      </c>
      <c r="N25" s="21"/>
      <c r="O25" s="28">
        <v>1</v>
      </c>
      <c r="P25" s="22">
        <v>96.37</v>
      </c>
      <c r="Q25" s="21"/>
      <c r="R25" s="28">
        <v>1</v>
      </c>
      <c r="S25" s="22">
        <v>96.79</v>
      </c>
      <c r="T25" s="21"/>
      <c r="U25" s="28">
        <v>1</v>
      </c>
      <c r="V25" s="22">
        <v>97.08</v>
      </c>
      <c r="W25" s="21"/>
      <c r="X25" s="28">
        <v>1</v>
      </c>
      <c r="Y25" s="22">
        <v>96.73</v>
      </c>
      <c r="Z25" s="21"/>
      <c r="AA25" s="28">
        <v>1</v>
      </c>
      <c r="AB25" s="22">
        <v>96.54</v>
      </c>
      <c r="AC25" s="21"/>
      <c r="AD25" s="28">
        <v>1</v>
      </c>
      <c r="AE25" s="22">
        <v>96.79</v>
      </c>
      <c r="AF25" s="21"/>
      <c r="AG25" s="28">
        <v>1</v>
      </c>
      <c r="AH25" s="22">
        <v>96.64</v>
      </c>
      <c r="AI25" s="21"/>
      <c r="AJ25" s="28">
        <v>1</v>
      </c>
      <c r="AK25" s="22">
        <v>96.23</v>
      </c>
      <c r="AL25" s="21"/>
      <c r="AM25" s="28">
        <v>1</v>
      </c>
      <c r="AN25" s="22">
        <v>96.16</v>
      </c>
      <c r="AO25" s="21"/>
      <c r="AP25" s="28">
        <v>1</v>
      </c>
      <c r="AQ25" s="22">
        <v>95.76</v>
      </c>
      <c r="AR25" s="21"/>
      <c r="AS25" s="28">
        <v>1</v>
      </c>
      <c r="AT25" s="22">
        <v>95.61</v>
      </c>
      <c r="AU25" s="21"/>
      <c r="AV25" s="28">
        <v>1</v>
      </c>
      <c r="AW25" s="22">
        <v>95.55</v>
      </c>
      <c r="AX25" s="21"/>
      <c r="AY25" s="28">
        <v>1</v>
      </c>
      <c r="AZ25" s="22">
        <v>95.82</v>
      </c>
      <c r="BA25" s="21"/>
      <c r="BB25" s="28">
        <v>1</v>
      </c>
      <c r="BC25" s="22">
        <v>95.95</v>
      </c>
      <c r="BD25" s="21"/>
      <c r="BE25" s="28">
        <v>1</v>
      </c>
      <c r="BF25" s="22">
        <v>96.11</v>
      </c>
      <c r="BG25" s="22"/>
      <c r="BH25" s="28">
        <v>1</v>
      </c>
      <c r="BI25" s="22">
        <v>96.37</v>
      </c>
      <c r="BJ25" s="22"/>
      <c r="BK25" s="90">
        <v>1</v>
      </c>
      <c r="BL25" s="91">
        <v>96.04199999999999</v>
      </c>
    </row>
    <row r="26" spans="1:64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44"/>
      <c r="BH26" s="31"/>
      <c r="BI26" s="32"/>
      <c r="BJ26" s="44"/>
      <c r="BK26" s="45"/>
      <c r="BL26" s="46"/>
    </row>
    <row r="27" spans="1:62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</row>
    <row r="28" spans="1:62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</row>
    <row r="29" spans="1:62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54"/>
      <c r="BC29" s="54"/>
      <c r="BD29" s="9"/>
      <c r="BE29" s="31"/>
      <c r="BF29" s="32"/>
      <c r="BG29" s="9"/>
      <c r="BH29" s="31"/>
      <c r="BI29" s="32"/>
      <c r="BJ29" s="9"/>
    </row>
    <row r="30" spans="1:62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4"/>
      <c r="AW30" s="4"/>
      <c r="AX30" s="9"/>
      <c r="AY30" s="31"/>
      <c r="AZ30" s="32"/>
      <c r="BA30" s="9"/>
      <c r="BB30" s="54"/>
      <c r="BC30" s="54"/>
      <c r="BD30" s="9"/>
      <c r="BE30" s="31"/>
      <c r="BF30" s="32"/>
      <c r="BG30" s="9"/>
      <c r="BH30" s="31"/>
      <c r="BI30" s="32"/>
      <c r="BJ30" s="9"/>
    </row>
    <row r="31" spans="1:62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8"/>
      <c r="AW31" s="38"/>
      <c r="AX31" s="9"/>
      <c r="AY31" s="31"/>
      <c r="AZ31" s="32"/>
      <c r="BA31" s="9"/>
      <c r="BB31" s="54"/>
      <c r="BC31" s="54"/>
      <c r="BD31" s="9"/>
      <c r="BE31" s="31"/>
      <c r="BF31" s="32"/>
      <c r="BG31" s="9"/>
      <c r="BH31" s="31"/>
      <c r="BI31" s="32"/>
      <c r="BJ31" s="9"/>
    </row>
    <row r="32" spans="1:62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9"/>
      <c r="AW32" s="9"/>
      <c r="AX32" s="9"/>
      <c r="AY32" s="31"/>
      <c r="AZ32" s="32"/>
      <c r="BA32" s="9"/>
      <c r="BB32" s="54"/>
      <c r="BC32" s="54"/>
      <c r="BD32" s="9"/>
      <c r="BE32" s="31"/>
      <c r="BF32" s="32"/>
      <c r="BG32" s="9"/>
      <c r="BH32" s="31"/>
      <c r="BI32" s="32"/>
      <c r="BJ32" s="9"/>
    </row>
    <row r="33" spans="1:62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12"/>
      <c r="AW33" s="12"/>
      <c r="AX33" s="9"/>
      <c r="AY33" s="31"/>
      <c r="AZ33" s="32"/>
      <c r="BA33" s="9"/>
      <c r="BB33" s="54"/>
      <c r="BC33" s="54"/>
      <c r="BD33" s="9"/>
      <c r="BE33" s="31"/>
      <c r="BF33" s="32"/>
      <c r="BG33" s="9"/>
      <c r="BH33" s="31"/>
      <c r="BI33" s="32"/>
      <c r="BJ33" s="9"/>
    </row>
    <row r="34" spans="1:62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12"/>
      <c r="AW34" s="12"/>
      <c r="AX34" s="9"/>
      <c r="AY34" s="31"/>
      <c r="AZ34" s="32"/>
      <c r="BA34" s="9"/>
      <c r="BB34" s="54"/>
      <c r="BC34" s="54"/>
      <c r="BD34" s="9"/>
      <c r="BE34" s="31"/>
      <c r="BF34" s="32"/>
      <c r="BG34" s="9"/>
      <c r="BH34" s="31"/>
      <c r="BI34" s="32"/>
      <c r="BJ34" s="24"/>
    </row>
    <row r="35" spans="1:62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12"/>
      <c r="AW35" s="12"/>
      <c r="AX35" s="9"/>
      <c r="AY35" s="31"/>
      <c r="AZ35" s="32"/>
      <c r="BA35" s="9"/>
      <c r="BB35" s="54"/>
      <c r="BC35" s="54"/>
      <c r="BD35" s="9"/>
      <c r="BE35" s="31"/>
      <c r="BF35" s="32"/>
      <c r="BG35" s="9"/>
      <c r="BH35" s="31"/>
      <c r="BI35" s="32"/>
      <c r="BJ35" s="24"/>
    </row>
    <row r="36" spans="1:62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12"/>
      <c r="AW36" s="12"/>
      <c r="AX36" s="25"/>
      <c r="AY36" s="25"/>
      <c r="AZ36" s="25"/>
      <c r="BA36" s="25"/>
      <c r="BB36" s="55"/>
      <c r="BC36" s="55"/>
      <c r="BD36" s="25"/>
      <c r="BE36" s="25"/>
      <c r="BF36" s="25"/>
      <c r="BG36" s="23"/>
      <c r="BH36" s="25"/>
      <c r="BI36" s="25"/>
      <c r="BJ36" s="23"/>
    </row>
    <row r="37" spans="1:62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  <c r="AW37" s="5"/>
      <c r="AX37" s="8"/>
      <c r="AY37" s="8"/>
      <c r="AZ37" s="8"/>
      <c r="BA37" s="8"/>
      <c r="BB37" s="52"/>
      <c r="BC37" s="52"/>
      <c r="BD37" s="8"/>
      <c r="BE37" s="8"/>
      <c r="BF37" s="8"/>
      <c r="BG37" s="8"/>
      <c r="BH37" s="8"/>
      <c r="BI37" s="8"/>
      <c r="BJ37" s="8"/>
    </row>
    <row r="38" spans="1:62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52"/>
      <c r="BC38" s="52"/>
      <c r="BD38" s="8"/>
      <c r="BE38" s="8"/>
      <c r="BF38" s="8"/>
      <c r="BG38" s="8"/>
      <c r="BH38" s="8"/>
      <c r="BI38" s="8"/>
      <c r="BJ38" s="8"/>
    </row>
    <row r="39" spans="1:62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52"/>
      <c r="BC39" s="52"/>
      <c r="BD39" s="8"/>
      <c r="BE39" s="8"/>
      <c r="BF39" s="8"/>
      <c r="BG39" s="8"/>
      <c r="BH39" s="8"/>
      <c r="BI39" s="8"/>
      <c r="BJ39" s="8"/>
    </row>
    <row r="40" spans="1:62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52"/>
      <c r="BC40" s="52"/>
      <c r="BD40" s="8"/>
      <c r="BE40" s="8"/>
      <c r="BF40" s="8"/>
      <c r="BG40" s="8"/>
      <c r="BH40" s="8"/>
      <c r="BI40" s="8"/>
      <c r="BJ40" s="8"/>
    </row>
    <row r="41" spans="1:62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52"/>
      <c r="BC41" s="52"/>
      <c r="BD41" s="8"/>
      <c r="BE41" s="8"/>
      <c r="BF41" s="8"/>
      <c r="BG41" s="8"/>
      <c r="BH41" s="8"/>
      <c r="BI41" s="8"/>
      <c r="BJ41" s="8"/>
    </row>
    <row r="42" spans="1:6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52"/>
      <c r="BC43" s="8"/>
      <c r="BD43" s="8"/>
      <c r="BE43" s="53"/>
      <c r="BF43" s="8"/>
      <c r="BG43" s="8"/>
      <c r="BH43" s="8"/>
      <c r="BI43" s="8"/>
      <c r="BJ43" s="8"/>
    </row>
    <row r="44" spans="1:62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52"/>
      <c r="BC44" s="8"/>
      <c r="BD44" s="8"/>
      <c r="BE44" s="53"/>
      <c r="BF44" s="8"/>
      <c r="BG44" s="8"/>
      <c r="BH44" s="8"/>
      <c r="BI44" s="8"/>
      <c r="BJ44" s="8"/>
    </row>
    <row r="45" spans="1:62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52"/>
      <c r="BC45" s="8"/>
      <c r="BD45" s="8"/>
      <c r="BE45" s="53"/>
      <c r="BF45" s="8"/>
      <c r="BG45" s="8"/>
      <c r="BH45" s="8"/>
      <c r="BI45" s="8"/>
      <c r="BJ45" s="8"/>
    </row>
    <row r="46" spans="1:62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52"/>
      <c r="BC46" s="8"/>
      <c r="BD46" s="8"/>
      <c r="BE46" s="53"/>
      <c r="BF46" s="8"/>
      <c r="BG46" s="8"/>
      <c r="BH46" s="8"/>
      <c r="BI46" s="8"/>
      <c r="BJ46" s="8"/>
    </row>
    <row r="47" spans="1:62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52"/>
      <c r="BC47" s="8"/>
      <c r="BD47" s="8"/>
      <c r="BE47" s="53"/>
      <c r="BF47" s="8"/>
      <c r="BG47" s="8"/>
      <c r="BH47" s="8"/>
      <c r="BI47" s="8"/>
      <c r="BJ47" s="8"/>
    </row>
    <row r="48" spans="1:62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52"/>
      <c r="BC48" s="8"/>
      <c r="BD48" s="8"/>
      <c r="BE48" s="53"/>
      <c r="BF48" s="8"/>
      <c r="BG48" s="8"/>
      <c r="BH48" s="8"/>
      <c r="BI48" s="8"/>
      <c r="BJ48" s="8"/>
    </row>
    <row r="49" spans="1:62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52"/>
      <c r="BC49" s="8"/>
      <c r="BD49" s="8"/>
      <c r="BE49" s="53"/>
      <c r="BF49" s="8"/>
      <c r="BG49" s="8"/>
      <c r="BH49" s="8"/>
      <c r="BI49" s="8"/>
      <c r="BJ49" s="8"/>
    </row>
    <row r="50" spans="1:62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52"/>
      <c r="BC50" s="8"/>
      <c r="BD50" s="8"/>
      <c r="BE50" s="53"/>
      <c r="BF50" s="8"/>
      <c r="BG50" s="8"/>
      <c r="BH50" s="8"/>
      <c r="BI50" s="8"/>
      <c r="BJ50" s="8"/>
    </row>
    <row r="51" spans="1:62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52"/>
      <c r="BC51" s="8"/>
      <c r="BD51" s="8"/>
      <c r="BE51" s="53"/>
      <c r="BF51" s="8"/>
      <c r="BG51" s="8"/>
      <c r="BH51" s="8"/>
      <c r="BI51" s="8"/>
      <c r="BJ51" s="8"/>
    </row>
    <row r="52" spans="1:6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52"/>
      <c r="BC52" s="8"/>
      <c r="BD52" s="8"/>
      <c r="BE52" s="53"/>
      <c r="BF52" s="8"/>
      <c r="BG52" s="8"/>
      <c r="BH52" s="8"/>
      <c r="BI52" s="8"/>
      <c r="BJ52" s="8"/>
    </row>
    <row r="53" spans="54:57" ht="15.75" customHeight="1">
      <c r="BB53" s="52"/>
      <c r="BC53" s="8"/>
      <c r="BE53" s="53"/>
    </row>
    <row r="54" spans="54:57" ht="15.75" customHeight="1">
      <c r="BB54" s="52"/>
      <c r="BC54" s="8"/>
      <c r="BE54" s="53"/>
    </row>
    <row r="55" spans="54:57" ht="15.75" customHeight="1">
      <c r="BB55" s="52"/>
      <c r="BC55" s="8"/>
      <c r="BE55" s="53"/>
    </row>
    <row r="56" spans="54:57" ht="15.75" customHeight="1">
      <c r="BB56" s="52"/>
      <c r="BE56" s="53"/>
    </row>
    <row r="57" ht="15.75" customHeight="1">
      <c r="BB57" s="5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BH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N19" sqref="BN19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6.0039062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3" width="11.140625" style="0" customWidth="1"/>
    <col min="64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226</v>
      </c>
      <c r="D4" s="4"/>
      <c r="E4" s="10"/>
      <c r="F4" s="4" t="s">
        <v>227</v>
      </c>
      <c r="G4" s="4"/>
      <c r="H4" s="10"/>
      <c r="I4" s="4" t="s">
        <v>228</v>
      </c>
      <c r="J4" s="4"/>
      <c r="K4" s="10"/>
      <c r="L4" s="4" t="s">
        <v>229</v>
      </c>
      <c r="M4" s="4"/>
      <c r="N4" s="10"/>
      <c r="O4" s="4" t="s">
        <v>230</v>
      </c>
      <c r="P4" s="4"/>
      <c r="Q4" s="10"/>
      <c r="R4" s="4" t="s">
        <v>231</v>
      </c>
      <c r="S4" s="4"/>
      <c r="T4" s="10"/>
      <c r="U4" s="4" t="s">
        <v>232</v>
      </c>
      <c r="V4" s="4"/>
      <c r="W4" s="10"/>
      <c r="X4" s="4" t="s">
        <v>233</v>
      </c>
      <c r="Y4" s="4"/>
      <c r="Z4" s="10"/>
      <c r="AA4" s="4" t="s">
        <v>234</v>
      </c>
      <c r="AB4" s="4"/>
      <c r="AC4" s="10"/>
      <c r="AD4" s="4" t="s">
        <v>235</v>
      </c>
      <c r="AE4" s="4"/>
      <c r="AF4" s="10"/>
      <c r="AG4" s="4" t="s">
        <v>236</v>
      </c>
      <c r="AH4" s="4"/>
      <c r="AI4" s="10"/>
      <c r="AJ4" s="4" t="s">
        <v>237</v>
      </c>
      <c r="AK4" s="4"/>
      <c r="AL4" s="10"/>
      <c r="AM4" s="4" t="s">
        <v>238</v>
      </c>
      <c r="AN4" s="4"/>
      <c r="AO4" s="10"/>
      <c r="AP4" s="4" t="s">
        <v>239</v>
      </c>
      <c r="AQ4" s="4"/>
      <c r="AR4" s="10"/>
      <c r="AS4" s="4" t="s">
        <v>240</v>
      </c>
      <c r="AT4" s="4"/>
      <c r="AU4" s="10"/>
      <c r="AV4" s="4" t="s">
        <v>241</v>
      </c>
      <c r="AW4" s="4"/>
      <c r="AX4" s="26"/>
      <c r="AY4" s="4" t="s">
        <v>242</v>
      </c>
      <c r="AZ4" s="4"/>
      <c r="BA4" s="26"/>
      <c r="BB4" s="4" t="s">
        <v>243</v>
      </c>
      <c r="BC4" s="4"/>
      <c r="BD4" s="26"/>
      <c r="BE4" s="4" t="s">
        <v>244</v>
      </c>
      <c r="BF4" s="4"/>
      <c r="BG4" s="4"/>
      <c r="BH4" s="4" t="s">
        <v>245</v>
      </c>
      <c r="BI4" s="4"/>
      <c r="BJ4" s="4"/>
      <c r="BK4" s="4" t="s">
        <v>246</v>
      </c>
      <c r="BL4" s="4"/>
      <c r="BM4" s="4"/>
      <c r="BN4" s="4" t="s">
        <v>3</v>
      </c>
      <c r="BO4" s="4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  <c r="BR6" s="9"/>
      <c r="BS6" s="9"/>
      <c r="BT6" s="9"/>
      <c r="BU6" s="9"/>
    </row>
    <row r="7" spans="1:73" ht="18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115.64</v>
      </c>
      <c r="D13" s="19">
        <v>74.88</v>
      </c>
      <c r="E13" s="5"/>
      <c r="F13" s="27">
        <v>115.65</v>
      </c>
      <c r="G13" s="19">
        <v>75.13</v>
      </c>
      <c r="H13" s="5"/>
      <c r="I13" s="27">
        <v>116.17</v>
      </c>
      <c r="J13" s="19">
        <v>74.69</v>
      </c>
      <c r="K13" s="5"/>
      <c r="L13" s="27">
        <v>116.61</v>
      </c>
      <c r="M13" s="19">
        <v>74.65</v>
      </c>
      <c r="N13" s="5"/>
      <c r="O13" s="27">
        <v>116.53</v>
      </c>
      <c r="P13" s="19">
        <v>74.59</v>
      </c>
      <c r="Q13" s="5"/>
      <c r="R13" s="27">
        <v>117.38</v>
      </c>
      <c r="S13" s="19">
        <v>73.95</v>
      </c>
      <c r="T13" s="5"/>
      <c r="U13" s="27">
        <v>117.33</v>
      </c>
      <c r="V13" s="19">
        <v>73.98</v>
      </c>
      <c r="W13" s="5"/>
      <c r="X13" s="27">
        <v>117.28</v>
      </c>
      <c r="Y13" s="19">
        <v>73.56</v>
      </c>
      <c r="Z13" s="5"/>
      <c r="AA13" s="27">
        <v>117.3</v>
      </c>
      <c r="AB13" s="19">
        <v>73.27</v>
      </c>
      <c r="AC13" s="5"/>
      <c r="AD13" s="27">
        <v>117.63</v>
      </c>
      <c r="AE13" s="19">
        <v>72.99</v>
      </c>
      <c r="AF13" s="5"/>
      <c r="AG13" s="27">
        <v>116.78</v>
      </c>
      <c r="AH13" s="19">
        <v>73.75</v>
      </c>
      <c r="AI13" s="5"/>
      <c r="AJ13" s="27">
        <v>116.77</v>
      </c>
      <c r="AK13" s="19">
        <v>73.74</v>
      </c>
      <c r="AL13" s="5"/>
      <c r="AM13" s="27">
        <v>116.1</v>
      </c>
      <c r="AN13" s="19">
        <v>73.78</v>
      </c>
      <c r="AO13" s="5"/>
      <c r="AP13" s="27">
        <v>113.83</v>
      </c>
      <c r="AQ13" s="19">
        <v>74.9</v>
      </c>
      <c r="AR13" s="5"/>
      <c r="AS13" s="27">
        <v>114.35</v>
      </c>
      <c r="AT13" s="19">
        <v>75</v>
      </c>
      <c r="AU13" s="5"/>
      <c r="AV13" s="27">
        <v>114.4</v>
      </c>
      <c r="AW13" s="19">
        <v>75</v>
      </c>
      <c r="AX13" s="5"/>
      <c r="AY13" s="27">
        <v>114.24</v>
      </c>
      <c r="AZ13" s="19">
        <v>74.97</v>
      </c>
      <c r="BA13" s="5"/>
      <c r="BB13" s="27">
        <v>114.39</v>
      </c>
      <c r="BC13" s="19">
        <v>74.65</v>
      </c>
      <c r="BD13" s="5"/>
      <c r="BE13" s="27">
        <v>114.45</v>
      </c>
      <c r="BF13" s="19">
        <v>74.39</v>
      </c>
      <c r="BG13" s="27"/>
      <c r="BH13" s="27">
        <v>114.78</v>
      </c>
      <c r="BI13" s="19">
        <v>74.28</v>
      </c>
      <c r="BJ13" s="27"/>
      <c r="BK13" s="27">
        <v>115.06</v>
      </c>
      <c r="BL13" s="19">
        <v>73.81</v>
      </c>
      <c r="BM13" s="27"/>
      <c r="BN13" s="27">
        <v>115.84142857142855</v>
      </c>
      <c r="BO13" s="62">
        <v>74.28380952380954</v>
      </c>
      <c r="BP13" s="32"/>
      <c r="BQ13" s="27"/>
      <c r="BR13" s="19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1/2.0436</f>
        <v>0.4893325504012527</v>
      </c>
      <c r="D14" s="19">
        <v>176.96</v>
      </c>
      <c r="E14" s="5"/>
      <c r="F14" s="27">
        <f>1/2.0381</f>
        <v>0.49065305922182423</v>
      </c>
      <c r="G14" s="19">
        <v>177.09</v>
      </c>
      <c r="H14" s="5"/>
      <c r="I14" s="27">
        <f>1/2.0388</f>
        <v>0.4904845987835982</v>
      </c>
      <c r="J14" s="19">
        <v>176.89</v>
      </c>
      <c r="K14" s="5"/>
      <c r="L14" s="27">
        <f>1/2.0324</f>
        <v>0.492029128124385</v>
      </c>
      <c r="M14" s="19">
        <v>176.93</v>
      </c>
      <c r="N14" s="5"/>
      <c r="O14" s="27">
        <f>1/2.036</f>
        <v>0.4911591355599214</v>
      </c>
      <c r="P14" s="19">
        <v>176.97</v>
      </c>
      <c r="Q14" s="5"/>
      <c r="R14" s="27">
        <f>1/2.0368</f>
        <v>0.4909662215239592</v>
      </c>
      <c r="S14" s="19">
        <v>176.79</v>
      </c>
      <c r="T14" s="5"/>
      <c r="U14" s="27">
        <f>1/2.0307</f>
        <v>0.49244103018663515</v>
      </c>
      <c r="V14" s="19">
        <v>176.26</v>
      </c>
      <c r="W14" s="5"/>
      <c r="X14" s="27">
        <f>1/2.0453</f>
        <v>0.48892582995159634</v>
      </c>
      <c r="Y14" s="19">
        <v>176.45</v>
      </c>
      <c r="Z14" s="5"/>
      <c r="AA14" s="27">
        <f>1/2.041</f>
        <v>0.48995590396864286</v>
      </c>
      <c r="AB14" s="19">
        <v>175.42</v>
      </c>
      <c r="AC14" s="5"/>
      <c r="AD14" s="27">
        <f>1/2.037</f>
        <v>0.4909180166912126</v>
      </c>
      <c r="AE14" s="19">
        <v>174.89</v>
      </c>
      <c r="AF14" s="5"/>
      <c r="AG14" s="27">
        <f>1/2.0336</f>
        <v>0.4917387883556255</v>
      </c>
      <c r="AH14" s="19">
        <v>175.14</v>
      </c>
      <c r="AI14" s="5"/>
      <c r="AJ14" s="27">
        <f>1/2.0336</f>
        <v>0.4917387883556255</v>
      </c>
      <c r="AK14" s="19">
        <v>175.11</v>
      </c>
      <c r="AL14" s="5"/>
      <c r="AM14" s="27">
        <f>1/2.0449</f>
        <v>0.489021468042447</v>
      </c>
      <c r="AN14" s="19">
        <v>175.16</v>
      </c>
      <c r="AO14" s="5"/>
      <c r="AP14" s="27">
        <f>1/2.0477</f>
        <v>0.4883527860526445</v>
      </c>
      <c r="AQ14" s="19">
        <v>174.58</v>
      </c>
      <c r="AR14" s="5"/>
      <c r="AS14" s="27">
        <f>1/2.0443</f>
        <v>0.4891649953529326</v>
      </c>
      <c r="AT14" s="19">
        <v>175.33</v>
      </c>
      <c r="AU14" s="5"/>
      <c r="AV14" s="27">
        <f>1/2.0491</f>
        <v>0.4880191303499097</v>
      </c>
      <c r="AW14" s="19">
        <v>175.81</v>
      </c>
      <c r="AX14" s="5"/>
      <c r="AY14" s="27">
        <f>1/2.0477</f>
        <v>0.4883527860526445</v>
      </c>
      <c r="AZ14" s="19">
        <v>175.38</v>
      </c>
      <c r="BA14" s="5"/>
      <c r="BB14" s="27">
        <f>1/2.0541</f>
        <v>0.4868312156175454</v>
      </c>
      <c r="BC14" s="19">
        <v>175.41</v>
      </c>
      <c r="BD14" s="5"/>
      <c r="BE14" s="27">
        <f>1/2.0576</f>
        <v>0.48600311041990674</v>
      </c>
      <c r="BF14" s="19">
        <v>175.19</v>
      </c>
      <c r="BG14" s="27"/>
      <c r="BH14" s="27">
        <f>1/2.0654</f>
        <v>0.48416771569671735</v>
      </c>
      <c r="BI14" s="19">
        <v>176.1</v>
      </c>
      <c r="BJ14" s="27"/>
      <c r="BK14" s="27">
        <f>1/2.0719</f>
        <v>0.48264877648535165</v>
      </c>
      <c r="BL14" s="19">
        <v>175.97</v>
      </c>
      <c r="BM14" s="27"/>
      <c r="BN14" s="27">
        <v>0.48918595405687515</v>
      </c>
      <c r="BO14" s="62">
        <v>175.89666666666665</v>
      </c>
      <c r="BP14" s="32"/>
      <c r="BQ14" s="27"/>
      <c r="BR14" s="19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1.1677</v>
      </c>
      <c r="D15" s="19">
        <v>74.15</v>
      </c>
      <c r="E15" s="5"/>
      <c r="F15" s="27">
        <v>1.1734</v>
      </c>
      <c r="G15" s="19">
        <v>74.05</v>
      </c>
      <c r="H15" s="5"/>
      <c r="I15" s="27">
        <v>1.1737</v>
      </c>
      <c r="J15" s="19">
        <v>73.92</v>
      </c>
      <c r="K15" s="5"/>
      <c r="L15" s="27">
        <v>1.1769</v>
      </c>
      <c r="M15" s="19">
        <v>73.97</v>
      </c>
      <c r="N15" s="5"/>
      <c r="O15" s="27">
        <v>1.1776</v>
      </c>
      <c r="P15" s="19">
        <v>73.81</v>
      </c>
      <c r="Q15" s="5"/>
      <c r="R15" s="27">
        <v>1.1832</v>
      </c>
      <c r="S15" s="19">
        <v>73.36</v>
      </c>
      <c r="T15" s="5"/>
      <c r="U15" s="27">
        <v>1.1881</v>
      </c>
      <c r="V15" s="19">
        <v>73.06</v>
      </c>
      <c r="W15" s="5"/>
      <c r="X15" s="27">
        <v>1.1821</v>
      </c>
      <c r="Y15" s="19">
        <v>72.98</v>
      </c>
      <c r="Z15" s="5"/>
      <c r="AA15" s="27">
        <v>1.1777</v>
      </c>
      <c r="AB15" s="19">
        <v>72.98</v>
      </c>
      <c r="AC15" s="5"/>
      <c r="AD15" s="27">
        <v>1.1784</v>
      </c>
      <c r="AE15" s="19">
        <v>72.86</v>
      </c>
      <c r="AF15" s="5"/>
      <c r="AG15" s="27">
        <v>1.1822</v>
      </c>
      <c r="AH15" s="19">
        <v>72.85</v>
      </c>
      <c r="AI15" s="5"/>
      <c r="AJ15" s="27">
        <v>1.1818</v>
      </c>
      <c r="AK15" s="19">
        <v>72.86</v>
      </c>
      <c r="AL15" s="5"/>
      <c r="AM15" s="27">
        <v>1.1723</v>
      </c>
      <c r="AN15" s="19">
        <v>73.07</v>
      </c>
      <c r="AO15" s="5"/>
      <c r="AP15" s="27">
        <v>1.1638</v>
      </c>
      <c r="AQ15" s="19">
        <v>73.26</v>
      </c>
      <c r="AR15" s="5"/>
      <c r="AS15" s="27">
        <v>1.1738</v>
      </c>
      <c r="AT15" s="19">
        <v>73.07</v>
      </c>
      <c r="AU15" s="5"/>
      <c r="AV15" s="27">
        <v>1.1746</v>
      </c>
      <c r="AW15" s="19">
        <v>73.04</v>
      </c>
      <c r="AX15" s="5"/>
      <c r="AY15" s="27">
        <v>1.1692</v>
      </c>
      <c r="AZ15" s="19">
        <v>73.25</v>
      </c>
      <c r="BA15" s="5"/>
      <c r="BB15" s="27">
        <v>1.1645</v>
      </c>
      <c r="BC15" s="19">
        <v>73.33</v>
      </c>
      <c r="BD15" s="5"/>
      <c r="BE15" s="27">
        <v>1.1631</v>
      </c>
      <c r="BF15" s="19">
        <v>73.2</v>
      </c>
      <c r="BG15" s="27"/>
      <c r="BH15" s="27">
        <v>1.1659</v>
      </c>
      <c r="BI15" s="19">
        <v>73.13</v>
      </c>
      <c r="BJ15" s="27"/>
      <c r="BK15" s="27">
        <v>1.1602</v>
      </c>
      <c r="BL15" s="19">
        <v>73.2</v>
      </c>
      <c r="BM15" s="27"/>
      <c r="BN15" s="27">
        <v>1.1738190476190478</v>
      </c>
      <c r="BO15" s="62">
        <v>73.3047619047619</v>
      </c>
      <c r="BP15" s="32"/>
      <c r="BQ15" s="27"/>
      <c r="BR15" s="19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1/1.4234</f>
        <v>0.702543206407194</v>
      </c>
      <c r="D16" s="19">
        <v>123.23</v>
      </c>
      <c r="E16" s="5"/>
      <c r="F16" s="27">
        <f>1/1.4181</f>
        <v>0.7051688879486637</v>
      </c>
      <c r="G16" s="19">
        <v>123.23</v>
      </c>
      <c r="H16" s="5"/>
      <c r="I16" s="27">
        <f>1/1.4183</f>
        <v>0.7050694493407601</v>
      </c>
      <c r="J16" s="19">
        <v>122.99</v>
      </c>
      <c r="K16" s="5"/>
      <c r="L16" s="27">
        <f>1/1.4125</f>
        <v>0.7079646017699115</v>
      </c>
      <c r="M16" s="19">
        <v>122.92</v>
      </c>
      <c r="N16" s="5"/>
      <c r="O16" s="27">
        <f>1/1.4109</f>
        <v>0.70876745339854</v>
      </c>
      <c r="P16" s="19">
        <v>122.72</v>
      </c>
      <c r="Q16" s="5"/>
      <c r="R16" s="27">
        <f>1/1.4089</f>
        <v>0.7097735822272695</v>
      </c>
      <c r="S16" s="19">
        <v>122.39</v>
      </c>
      <c r="T16" s="5"/>
      <c r="U16" s="27">
        <f>1/1.4027</f>
        <v>0.7129108148570613</v>
      </c>
      <c r="V16" s="19">
        <v>121.79</v>
      </c>
      <c r="W16" s="5"/>
      <c r="X16" s="27">
        <f>1/1.4137</f>
        <v>0.7073636556553724</v>
      </c>
      <c r="Y16" s="19">
        <v>121.82</v>
      </c>
      <c r="Z16" s="5"/>
      <c r="AA16" s="27">
        <f>1/1.421</f>
        <v>0.7037297677691766</v>
      </c>
      <c r="AB16" s="19">
        <v>122.1</v>
      </c>
      <c r="AC16" s="5"/>
      <c r="AD16" s="27">
        <f>1/1.4233</f>
        <v>0.7025925665706457</v>
      </c>
      <c r="AE16" s="19">
        <v>122.09</v>
      </c>
      <c r="AF16" s="5"/>
      <c r="AG16" s="27">
        <f>1/1.4178</f>
        <v>0.7053180984624066</v>
      </c>
      <c r="AH16" s="19">
        <v>122.07</v>
      </c>
      <c r="AI16" s="5"/>
      <c r="AJ16" s="27">
        <f>1/1.4178</f>
        <v>0.7053180984624066</v>
      </c>
      <c r="AK16" s="19">
        <v>122.12</v>
      </c>
      <c r="AL16" s="5"/>
      <c r="AM16" s="27">
        <f>1/1.4258</f>
        <v>0.7013606396409033</v>
      </c>
      <c r="AN16" s="19">
        <v>122.05</v>
      </c>
      <c r="AO16" s="5"/>
      <c r="AP16" s="27">
        <f>1/1.4306</f>
        <v>0.6990074094785405</v>
      </c>
      <c r="AQ16" s="19">
        <v>121.96</v>
      </c>
      <c r="AR16" s="5"/>
      <c r="AS16" s="27">
        <f>1/1.4211</f>
        <v>0.7036802476954471</v>
      </c>
      <c r="AT16" s="19">
        <v>121.86</v>
      </c>
      <c r="AU16" s="5"/>
      <c r="AV16" s="27">
        <f>1/1.4226</f>
        <v>0.7029382820188387</v>
      </c>
      <c r="AW16" s="19">
        <v>121.99</v>
      </c>
      <c r="AX16" s="5"/>
      <c r="AY16" s="27">
        <f>1/1.4276</f>
        <v>0.7004763239002522</v>
      </c>
      <c r="AZ16" s="19">
        <v>122.21</v>
      </c>
      <c r="BA16" s="5"/>
      <c r="BB16" s="27">
        <f>1/1.4363</f>
        <v>0.696233377428114</v>
      </c>
      <c r="BC16" s="19">
        <v>122.56</v>
      </c>
      <c r="BD16" s="5"/>
      <c r="BE16" s="27">
        <f>1/1.441</f>
        <v>0.6939625260235947</v>
      </c>
      <c r="BF16" s="19">
        <v>122.7</v>
      </c>
      <c r="BG16" s="27"/>
      <c r="BH16" s="27">
        <f>1/1.4393</f>
        <v>0.6947821857847565</v>
      </c>
      <c r="BI16" s="19">
        <v>122.69</v>
      </c>
      <c r="BJ16" s="27"/>
      <c r="BK16" s="27">
        <f>1/1.4449</f>
        <v>0.6920894179527994</v>
      </c>
      <c r="BL16" s="19">
        <v>122.66</v>
      </c>
      <c r="BM16" s="27"/>
      <c r="BN16" s="27">
        <v>0.7029071710853645</v>
      </c>
      <c r="BO16" s="62">
        <v>122.3880952380952</v>
      </c>
      <c r="BP16" s="32"/>
      <c r="BQ16" s="27"/>
      <c r="BR16" s="19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745.2</v>
      </c>
      <c r="D17" s="19">
        <v>64527.33</v>
      </c>
      <c r="E17" s="5"/>
      <c r="F17" s="27">
        <v>735.05</v>
      </c>
      <c r="G17" s="19">
        <v>63868.49</v>
      </c>
      <c r="H17" s="5"/>
      <c r="I17" s="27">
        <v>732.25</v>
      </c>
      <c r="J17" s="19">
        <v>63531.84</v>
      </c>
      <c r="K17" s="5"/>
      <c r="L17" s="27">
        <v>727.7</v>
      </c>
      <c r="M17" s="19">
        <v>63349.01</v>
      </c>
      <c r="N17" s="5"/>
      <c r="O17" s="27">
        <v>735.4</v>
      </c>
      <c r="P17" s="19">
        <v>63920.51</v>
      </c>
      <c r="Q17" s="5"/>
      <c r="R17" s="27">
        <v>737.05</v>
      </c>
      <c r="S17" s="19">
        <v>63974.56</v>
      </c>
      <c r="T17" s="5"/>
      <c r="U17" s="27">
        <v>728.2</v>
      </c>
      <c r="V17" s="19">
        <v>63207.3</v>
      </c>
      <c r="W17" s="5"/>
      <c r="X17" s="27">
        <v>739.95</v>
      </c>
      <c r="Y17" s="19">
        <v>63836.41</v>
      </c>
      <c r="Z17" s="5"/>
      <c r="AA17" s="27">
        <v>746.95</v>
      </c>
      <c r="AB17" s="19">
        <v>64198.49</v>
      </c>
      <c r="AC17" s="5"/>
      <c r="AD17" s="27">
        <v>755.8</v>
      </c>
      <c r="AE17" s="19">
        <v>64891.57</v>
      </c>
      <c r="AF17" s="5"/>
      <c r="AG17" s="27">
        <v>761.7</v>
      </c>
      <c r="AH17" s="19">
        <v>65600.46</v>
      </c>
      <c r="AI17" s="5"/>
      <c r="AJ17" s="27">
        <v>759.4</v>
      </c>
      <c r="AK17" s="19">
        <v>65392.41</v>
      </c>
      <c r="AL17" s="5"/>
      <c r="AM17" s="27">
        <v>757.9</v>
      </c>
      <c r="AN17" s="19">
        <v>64918.87</v>
      </c>
      <c r="AO17" s="5"/>
      <c r="AP17" s="27">
        <v>755.9</v>
      </c>
      <c r="AQ17" s="19">
        <v>64446.62</v>
      </c>
      <c r="AR17" s="5"/>
      <c r="AS17" s="27">
        <v>757.6</v>
      </c>
      <c r="AT17" s="19">
        <v>64976.98</v>
      </c>
      <c r="AU17" s="5"/>
      <c r="AV17" s="27">
        <v>757</v>
      </c>
      <c r="AW17" s="19">
        <v>64947.76</v>
      </c>
      <c r="AX17" s="5"/>
      <c r="AY17" s="27">
        <v>765.1</v>
      </c>
      <c r="AZ17" s="19">
        <v>65528.9</v>
      </c>
      <c r="BA17" s="5"/>
      <c r="BB17" s="27">
        <v>775</v>
      </c>
      <c r="BC17" s="19">
        <v>66181.13</v>
      </c>
      <c r="BD17" s="5"/>
      <c r="BE17" s="27">
        <v>791.9</v>
      </c>
      <c r="BF17" s="19">
        <v>67423.36</v>
      </c>
      <c r="BG17" s="27"/>
      <c r="BH17" s="27">
        <v>783.85</v>
      </c>
      <c r="BI17" s="19">
        <v>66831.05</v>
      </c>
      <c r="BJ17" s="27"/>
      <c r="BK17" s="27">
        <v>783.1</v>
      </c>
      <c r="BL17" s="19">
        <v>66508.68</v>
      </c>
      <c r="BM17" s="27"/>
      <c r="BN17" s="27">
        <v>753.9047619047619</v>
      </c>
      <c r="BO17" s="62">
        <v>64860.08238095237</v>
      </c>
      <c r="BP17" s="32"/>
      <c r="BQ17" s="27"/>
      <c r="BR17" s="19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13.78</v>
      </c>
      <c r="D18" s="19">
        <v>1193.22</v>
      </c>
      <c r="E18" s="5"/>
      <c r="F18" s="27">
        <v>13.39</v>
      </c>
      <c r="G18" s="19">
        <v>1163.46</v>
      </c>
      <c r="H18" s="5"/>
      <c r="I18" s="27">
        <v>13.37</v>
      </c>
      <c r="J18" s="19">
        <v>1160.01</v>
      </c>
      <c r="K18" s="5"/>
      <c r="L18" s="27">
        <v>13.24</v>
      </c>
      <c r="M18" s="19">
        <v>1152.59</v>
      </c>
      <c r="N18" s="5"/>
      <c r="O18" s="27">
        <v>13.4</v>
      </c>
      <c r="P18" s="19">
        <v>1164.72</v>
      </c>
      <c r="Q18" s="5"/>
      <c r="R18" s="27">
        <v>13.3</v>
      </c>
      <c r="S18" s="19">
        <v>1154.42</v>
      </c>
      <c r="T18" s="5"/>
      <c r="U18" s="27">
        <v>13.16</v>
      </c>
      <c r="V18" s="19">
        <v>1142.28</v>
      </c>
      <c r="W18" s="5"/>
      <c r="X18" s="27">
        <v>13.56</v>
      </c>
      <c r="Y18" s="19">
        <v>1169.84</v>
      </c>
      <c r="Z18" s="5"/>
      <c r="AA18" s="27">
        <v>13.68</v>
      </c>
      <c r="AB18" s="19">
        <v>1175.76</v>
      </c>
      <c r="AC18" s="5"/>
      <c r="AD18" s="27">
        <v>13.94</v>
      </c>
      <c r="AE18" s="19">
        <v>1196.86</v>
      </c>
      <c r="AF18" s="5"/>
      <c r="AG18" s="27">
        <v>13.71</v>
      </c>
      <c r="AH18" s="19">
        <v>1180.76</v>
      </c>
      <c r="AI18" s="5"/>
      <c r="AJ18" s="27">
        <v>13.58</v>
      </c>
      <c r="AK18" s="19">
        <v>1169.38</v>
      </c>
      <c r="AL18" s="5"/>
      <c r="AM18" s="27">
        <v>13.66</v>
      </c>
      <c r="AN18" s="19">
        <v>1170.06</v>
      </c>
      <c r="AO18" s="5"/>
      <c r="AP18" s="27">
        <v>13.32</v>
      </c>
      <c r="AQ18" s="19">
        <v>1135.64</v>
      </c>
      <c r="AR18" s="5"/>
      <c r="AS18" s="27">
        <v>13.51</v>
      </c>
      <c r="AT18" s="19">
        <v>1158.71</v>
      </c>
      <c r="AU18" s="5"/>
      <c r="AV18" s="27">
        <v>13.5</v>
      </c>
      <c r="AW18" s="19">
        <v>1158.25</v>
      </c>
      <c r="AX18" s="5"/>
      <c r="AY18" s="27">
        <v>13.68</v>
      </c>
      <c r="AZ18" s="19">
        <v>1171.66</v>
      </c>
      <c r="BA18" s="5"/>
      <c r="BB18" s="27">
        <v>14.05</v>
      </c>
      <c r="BC18" s="19">
        <v>1199.8</v>
      </c>
      <c r="BD18" s="5"/>
      <c r="BE18" s="27">
        <v>14.38</v>
      </c>
      <c r="BF18" s="19">
        <v>1224.33</v>
      </c>
      <c r="BG18" s="27"/>
      <c r="BH18" s="27">
        <v>14.27</v>
      </c>
      <c r="BI18" s="19">
        <v>1216.66</v>
      </c>
      <c r="BJ18" s="27"/>
      <c r="BK18" s="27">
        <v>14.21</v>
      </c>
      <c r="BL18" s="19">
        <v>1206.86</v>
      </c>
      <c r="BM18" s="27"/>
      <c r="BN18" s="27">
        <v>13.651904761904762</v>
      </c>
      <c r="BO18" s="62">
        <v>1174.5366666666666</v>
      </c>
      <c r="BP18" s="32"/>
      <c r="BQ18" s="27"/>
      <c r="BR18" s="19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1/0.8905</f>
        <v>1.1229646266142617</v>
      </c>
      <c r="D19" s="19">
        <v>77.11</v>
      </c>
      <c r="E19" s="5"/>
      <c r="F19" s="27">
        <f>1/0.8855</f>
        <v>1.129305477131564</v>
      </c>
      <c r="G19" s="19">
        <v>76.94</v>
      </c>
      <c r="H19" s="5"/>
      <c r="I19" s="27">
        <f>1/0.8897</f>
        <v>1.1239743733842869</v>
      </c>
      <c r="J19" s="19">
        <v>77.19</v>
      </c>
      <c r="K19" s="5"/>
      <c r="L19" s="27">
        <f>1/0.885</f>
        <v>1.1299435028248588</v>
      </c>
      <c r="M19" s="19">
        <v>77.04</v>
      </c>
      <c r="N19" s="5"/>
      <c r="O19" s="27">
        <f>1/0.8911</f>
        <v>1.122208506340478</v>
      </c>
      <c r="P19" s="19">
        <v>77.45</v>
      </c>
      <c r="Q19" s="5"/>
      <c r="R19" s="27">
        <f>1/0.8984</f>
        <v>1.1130899376669636</v>
      </c>
      <c r="S19" s="19">
        <v>77.98</v>
      </c>
      <c r="T19" s="5"/>
      <c r="U19" s="27">
        <f>1/0.8929</f>
        <v>1.1199462425803561</v>
      </c>
      <c r="V19" s="19">
        <v>77.5</v>
      </c>
      <c r="W19" s="5"/>
      <c r="X19" s="27">
        <f>1/0.8985</f>
        <v>1.1129660545353368</v>
      </c>
      <c r="Y19" s="19">
        <v>77.51</v>
      </c>
      <c r="Z19" s="5"/>
      <c r="AA19" s="27">
        <f>1/0.9048</f>
        <v>1.1052166224580018</v>
      </c>
      <c r="AB19" s="19">
        <v>77.77</v>
      </c>
      <c r="AC19" s="5"/>
      <c r="AD19" s="27">
        <f>1/0.9065</f>
        <v>1.1031439602868174</v>
      </c>
      <c r="AE19" s="19">
        <v>77.83</v>
      </c>
      <c r="AF19" s="5"/>
      <c r="AG19" s="27">
        <f>1/0.8909</f>
        <v>1.1224604332697272</v>
      </c>
      <c r="AH19" s="19">
        <v>76.73</v>
      </c>
      <c r="AI19" s="5"/>
      <c r="AJ19" s="27">
        <f>1/0.8883</f>
        <v>1.1257458065968704</v>
      </c>
      <c r="AK19" s="19">
        <v>76.49</v>
      </c>
      <c r="AL19" s="5"/>
      <c r="AM19" s="27">
        <f>1/0.8936</f>
        <v>1.1190689346463742</v>
      </c>
      <c r="AN19" s="19">
        <v>76.54</v>
      </c>
      <c r="AO19" s="5"/>
      <c r="AP19" s="27">
        <f>1/0.8884</f>
        <v>1.125619090499775</v>
      </c>
      <c r="AQ19" s="19">
        <v>75.74</v>
      </c>
      <c r="AR19" s="5"/>
      <c r="AS19" s="27">
        <f>1/0.8922</f>
        <v>1.1208249271463797</v>
      </c>
      <c r="AT19" s="19">
        <v>76.52</v>
      </c>
      <c r="AU19" s="5"/>
      <c r="AV19" s="27">
        <f>1/0.898</f>
        <v>1.1135857461024499</v>
      </c>
      <c r="AW19" s="19">
        <v>77.05</v>
      </c>
      <c r="AX19" s="18"/>
      <c r="AY19" s="27">
        <f>1/0.9032</f>
        <v>1.1071744906997343</v>
      </c>
      <c r="AZ19" s="19">
        <v>77.36</v>
      </c>
      <c r="BA19" s="18"/>
      <c r="BB19" s="27">
        <f>1/0.9119</f>
        <v>1.096611470555982</v>
      </c>
      <c r="BC19" s="19">
        <v>77.87</v>
      </c>
      <c r="BD19" s="18"/>
      <c r="BE19" s="27">
        <f>1/0.9252</f>
        <v>1.0808473843493298</v>
      </c>
      <c r="BF19" s="19">
        <v>78.77</v>
      </c>
      <c r="BG19" s="27"/>
      <c r="BH19" s="27">
        <f>1/0.9194</f>
        <v>1.0876658690450294</v>
      </c>
      <c r="BI19" s="19">
        <v>78.39</v>
      </c>
      <c r="BJ19" s="27"/>
      <c r="BK19" s="27">
        <f>1/0.9233</f>
        <v>1.0830715910321673</v>
      </c>
      <c r="BL19" s="19">
        <v>78.42</v>
      </c>
      <c r="BM19" s="27"/>
      <c r="BN19" s="27">
        <v>1.1126397641793686</v>
      </c>
      <c r="BO19" s="62">
        <v>77.34285714285714</v>
      </c>
      <c r="BP19" s="32"/>
      <c r="BQ19" s="27"/>
      <c r="BR19" s="19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0.9926</v>
      </c>
      <c r="D20" s="19">
        <v>87.24</v>
      </c>
      <c r="E20" s="5"/>
      <c r="F20" s="27">
        <v>0.9964</v>
      </c>
      <c r="G20" s="19">
        <v>87.2</v>
      </c>
      <c r="H20" s="5"/>
      <c r="I20" s="27">
        <v>0.9975</v>
      </c>
      <c r="J20" s="19">
        <v>86.98</v>
      </c>
      <c r="K20" s="5"/>
      <c r="L20" s="27">
        <v>0.9975</v>
      </c>
      <c r="M20" s="19">
        <v>87.27</v>
      </c>
      <c r="N20" s="5"/>
      <c r="O20" s="27">
        <v>0.9953</v>
      </c>
      <c r="P20" s="19">
        <v>87.33</v>
      </c>
      <c r="Q20" s="5"/>
      <c r="R20" s="27">
        <v>0.9831</v>
      </c>
      <c r="S20" s="19">
        <v>88.29</v>
      </c>
      <c r="T20" s="5"/>
      <c r="U20" s="27">
        <v>0.9883</v>
      </c>
      <c r="V20" s="19">
        <v>87.83</v>
      </c>
      <c r="W20" s="5"/>
      <c r="X20" s="27">
        <v>0.9809</v>
      </c>
      <c r="Y20" s="19">
        <v>87.95</v>
      </c>
      <c r="Z20" s="5"/>
      <c r="AA20" s="27">
        <v>0.9768</v>
      </c>
      <c r="AB20" s="19">
        <v>87.99</v>
      </c>
      <c r="AC20" s="5"/>
      <c r="AD20" s="27">
        <v>0.9722</v>
      </c>
      <c r="AE20" s="19">
        <v>88.31</v>
      </c>
      <c r="AF20" s="5"/>
      <c r="AG20" s="27">
        <v>0.9787</v>
      </c>
      <c r="AH20" s="19">
        <v>88</v>
      </c>
      <c r="AI20" s="5"/>
      <c r="AJ20" s="27">
        <v>0.9793</v>
      </c>
      <c r="AK20" s="19">
        <v>87.93</v>
      </c>
      <c r="AL20" s="5"/>
      <c r="AM20" s="27">
        <v>0.9732</v>
      </c>
      <c r="AN20" s="19">
        <v>88.02</v>
      </c>
      <c r="AO20" s="5"/>
      <c r="AP20" s="27">
        <v>0.9712</v>
      </c>
      <c r="AQ20" s="19">
        <v>87.79</v>
      </c>
      <c r="AR20" s="5"/>
      <c r="AS20" s="27">
        <v>0.9712</v>
      </c>
      <c r="AT20" s="19">
        <v>88.31</v>
      </c>
      <c r="AU20" s="5"/>
      <c r="AV20" s="27">
        <v>0.9692</v>
      </c>
      <c r="AW20" s="19">
        <v>88.52</v>
      </c>
      <c r="AX20" s="5"/>
      <c r="AY20" s="27">
        <v>0.9657</v>
      </c>
      <c r="AZ20" s="19">
        <v>88.69</v>
      </c>
      <c r="BA20" s="5"/>
      <c r="BB20" s="27">
        <v>0.9611</v>
      </c>
      <c r="BC20" s="19">
        <v>88.85</v>
      </c>
      <c r="BD20" s="5"/>
      <c r="BE20" s="27">
        <v>0.9591</v>
      </c>
      <c r="BF20" s="19">
        <v>88.77</v>
      </c>
      <c r="BG20" s="27"/>
      <c r="BH20" s="27">
        <v>0.956</v>
      </c>
      <c r="BI20" s="19">
        <v>89.18</v>
      </c>
      <c r="BJ20" s="27"/>
      <c r="BK20" s="27">
        <v>0.9541</v>
      </c>
      <c r="BL20" s="19">
        <v>89.02</v>
      </c>
      <c r="BM20" s="27"/>
      <c r="BN20" s="27">
        <v>0.9771142857142857</v>
      </c>
      <c r="BO20" s="62">
        <v>88.07</v>
      </c>
      <c r="BP20" s="32"/>
      <c r="BQ20" s="27"/>
      <c r="BR20" s="19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6.4607</v>
      </c>
      <c r="D21" s="19">
        <v>13.4</v>
      </c>
      <c r="E21" s="5"/>
      <c r="F21" s="27">
        <v>6.4837</v>
      </c>
      <c r="G21" s="19">
        <v>13.4</v>
      </c>
      <c r="H21" s="5"/>
      <c r="I21" s="27">
        <v>6.496</v>
      </c>
      <c r="J21" s="19">
        <v>13.36</v>
      </c>
      <c r="K21" s="5"/>
      <c r="L21" s="27">
        <v>6.5019</v>
      </c>
      <c r="M21" s="19">
        <v>13.39</v>
      </c>
      <c r="N21" s="5"/>
      <c r="O21" s="27">
        <v>6.5086</v>
      </c>
      <c r="P21" s="19">
        <v>13.35</v>
      </c>
      <c r="Q21" s="5"/>
      <c r="R21" s="27">
        <v>6.505</v>
      </c>
      <c r="S21" s="19">
        <v>13.34</v>
      </c>
      <c r="T21" s="5"/>
      <c r="U21" s="27">
        <v>6.529</v>
      </c>
      <c r="V21" s="19">
        <v>13.29</v>
      </c>
      <c r="W21" s="5"/>
      <c r="X21" s="27">
        <v>6.47</v>
      </c>
      <c r="Y21" s="19">
        <v>13.33</v>
      </c>
      <c r="Z21" s="5"/>
      <c r="AA21" s="27">
        <v>6.413</v>
      </c>
      <c r="AB21" s="19">
        <v>13.4</v>
      </c>
      <c r="AC21" s="5"/>
      <c r="AD21" s="27">
        <v>6.391</v>
      </c>
      <c r="AE21" s="19">
        <v>13.43</v>
      </c>
      <c r="AF21" s="5"/>
      <c r="AG21" s="27">
        <v>6.463</v>
      </c>
      <c r="AH21" s="19">
        <v>13.33</v>
      </c>
      <c r="AI21" s="5"/>
      <c r="AJ21" s="27">
        <v>6.4505</v>
      </c>
      <c r="AK21" s="19">
        <v>13.35</v>
      </c>
      <c r="AL21" s="5"/>
      <c r="AM21" s="27">
        <v>6.4154</v>
      </c>
      <c r="AN21" s="19">
        <v>13.35</v>
      </c>
      <c r="AO21" s="5"/>
      <c r="AP21" s="27">
        <v>6.4199</v>
      </c>
      <c r="AQ21" s="19">
        <v>13.28</v>
      </c>
      <c r="AR21" s="5"/>
      <c r="AS21" s="27">
        <v>6.4729</v>
      </c>
      <c r="AT21" s="19">
        <v>13.25</v>
      </c>
      <c r="AU21" s="5"/>
      <c r="AV21" s="27">
        <v>6.473</v>
      </c>
      <c r="AW21" s="19">
        <v>13.25</v>
      </c>
      <c r="AX21" s="5"/>
      <c r="AY21" s="27">
        <v>6.4477</v>
      </c>
      <c r="AZ21" s="19">
        <v>13.28</v>
      </c>
      <c r="BA21" s="5"/>
      <c r="BB21" s="27">
        <v>6.421</v>
      </c>
      <c r="BC21" s="19">
        <v>13.3</v>
      </c>
      <c r="BD21" s="5"/>
      <c r="BE21" s="27">
        <v>6.3711</v>
      </c>
      <c r="BF21" s="19">
        <v>13.36</v>
      </c>
      <c r="BG21" s="27"/>
      <c r="BH21" s="27">
        <v>6.3691</v>
      </c>
      <c r="BI21" s="19">
        <v>13.39</v>
      </c>
      <c r="BJ21" s="27"/>
      <c r="BK21" s="27">
        <v>6.368</v>
      </c>
      <c r="BL21" s="19">
        <v>13.34</v>
      </c>
      <c r="BM21" s="27"/>
      <c r="BN21" s="27">
        <v>6.449071428571428</v>
      </c>
      <c r="BO21" s="62">
        <v>13.341428571428569</v>
      </c>
      <c r="BP21" s="32"/>
      <c r="BQ21" s="27"/>
      <c r="BR21" s="19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5.4135</v>
      </c>
      <c r="D22" s="19">
        <v>16</v>
      </c>
      <c r="E22" s="5"/>
      <c r="F22" s="27">
        <v>5.4261</v>
      </c>
      <c r="G22" s="19">
        <v>16.01</v>
      </c>
      <c r="H22" s="5"/>
      <c r="I22" s="27">
        <v>5.426</v>
      </c>
      <c r="J22" s="19">
        <v>15.99</v>
      </c>
      <c r="K22" s="5"/>
      <c r="L22" s="27">
        <v>5.4413</v>
      </c>
      <c r="M22" s="19">
        <v>16</v>
      </c>
      <c r="N22" s="5"/>
      <c r="O22" s="27">
        <v>5.4275</v>
      </c>
      <c r="P22" s="19">
        <v>16.01</v>
      </c>
      <c r="Q22" s="5"/>
      <c r="R22" s="27">
        <v>5.423</v>
      </c>
      <c r="S22" s="19">
        <v>16.01</v>
      </c>
      <c r="T22" s="5"/>
      <c r="U22" s="27">
        <v>5.4971</v>
      </c>
      <c r="V22" s="19">
        <v>15.79</v>
      </c>
      <c r="W22" s="5"/>
      <c r="X22" s="27">
        <v>5.4355</v>
      </c>
      <c r="Y22" s="19">
        <v>15.87</v>
      </c>
      <c r="Z22" s="5"/>
      <c r="AA22" s="27">
        <v>5.3965</v>
      </c>
      <c r="AB22" s="19">
        <v>15.93</v>
      </c>
      <c r="AC22" s="5"/>
      <c r="AD22" s="27">
        <v>5.3931</v>
      </c>
      <c r="AE22" s="19">
        <v>15.92</v>
      </c>
      <c r="AF22" s="5"/>
      <c r="AG22" s="27">
        <v>5.399</v>
      </c>
      <c r="AH22" s="19">
        <v>15.95</v>
      </c>
      <c r="AI22" s="5"/>
      <c r="AJ22" s="27">
        <v>5.4095</v>
      </c>
      <c r="AK22" s="19">
        <v>15.92</v>
      </c>
      <c r="AL22" s="5"/>
      <c r="AM22" s="27">
        <v>5.3694</v>
      </c>
      <c r="AN22" s="19">
        <v>15.95</v>
      </c>
      <c r="AO22" s="5"/>
      <c r="AP22" s="27">
        <v>5.3727</v>
      </c>
      <c r="AQ22" s="19">
        <v>15.87</v>
      </c>
      <c r="AR22" s="5"/>
      <c r="AS22" s="27">
        <v>5.4175</v>
      </c>
      <c r="AT22" s="19">
        <v>15.83</v>
      </c>
      <c r="AU22" s="5"/>
      <c r="AV22" s="27">
        <v>5.4332</v>
      </c>
      <c r="AW22" s="19">
        <v>15.79</v>
      </c>
      <c r="AX22" s="5"/>
      <c r="AY22" s="27">
        <v>5.4274</v>
      </c>
      <c r="AZ22" s="19">
        <v>15.78</v>
      </c>
      <c r="BA22" s="5"/>
      <c r="BB22" s="27">
        <v>5.373</v>
      </c>
      <c r="BC22" s="19">
        <v>15.89</v>
      </c>
      <c r="BD22" s="5"/>
      <c r="BE22" s="27">
        <v>5.3448</v>
      </c>
      <c r="BF22" s="19">
        <v>15.93</v>
      </c>
      <c r="BG22" s="27"/>
      <c r="BH22" s="27">
        <v>5.3604</v>
      </c>
      <c r="BI22" s="19">
        <v>15.91</v>
      </c>
      <c r="BJ22" s="27"/>
      <c r="BK22" s="27">
        <v>5.353</v>
      </c>
      <c r="BL22" s="19">
        <v>15.87</v>
      </c>
      <c r="BM22" s="27"/>
      <c r="BN22" s="27">
        <v>5.406642857142858</v>
      </c>
      <c r="BO22" s="62">
        <v>15.915238095238093</v>
      </c>
      <c r="BP22" s="32"/>
      <c r="BQ22" s="27"/>
      <c r="BR22" s="19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5.2366</v>
      </c>
      <c r="D23" s="19">
        <v>16.54</v>
      </c>
      <c r="E23" s="5"/>
      <c r="F23" s="27">
        <v>5.2551</v>
      </c>
      <c r="G23" s="19">
        <v>16.53</v>
      </c>
      <c r="H23" s="5"/>
      <c r="I23" s="27">
        <v>5.2556</v>
      </c>
      <c r="J23" s="19">
        <v>16.51</v>
      </c>
      <c r="K23" s="5"/>
      <c r="L23" s="27">
        <v>5.2753</v>
      </c>
      <c r="M23" s="19">
        <v>16.5</v>
      </c>
      <c r="N23" s="5"/>
      <c r="O23" s="27">
        <v>5.2807</v>
      </c>
      <c r="P23" s="19">
        <v>16.46</v>
      </c>
      <c r="Q23" s="5"/>
      <c r="R23" s="27">
        <v>5.2866</v>
      </c>
      <c r="S23" s="19">
        <v>16.42</v>
      </c>
      <c r="T23" s="5"/>
      <c r="U23" s="27">
        <v>5.3115</v>
      </c>
      <c r="V23" s="19">
        <v>16.34</v>
      </c>
      <c r="W23" s="5"/>
      <c r="X23" s="27">
        <v>5.2703</v>
      </c>
      <c r="Y23" s="19">
        <v>16.37</v>
      </c>
      <c r="Z23" s="5"/>
      <c r="AA23" s="27">
        <v>5.243</v>
      </c>
      <c r="AB23" s="19">
        <v>16.39</v>
      </c>
      <c r="AC23" s="5"/>
      <c r="AD23" s="27">
        <v>5.2346</v>
      </c>
      <c r="AE23" s="19">
        <v>16.4</v>
      </c>
      <c r="AF23" s="5"/>
      <c r="AG23" s="27">
        <v>5.2551</v>
      </c>
      <c r="AH23" s="19">
        <v>16.39</v>
      </c>
      <c r="AI23" s="5"/>
      <c r="AJ23" s="27">
        <v>5.2546</v>
      </c>
      <c r="AK23" s="19">
        <v>16.39</v>
      </c>
      <c r="AL23" s="5"/>
      <c r="AM23" s="27">
        <v>5.2263</v>
      </c>
      <c r="AN23" s="19">
        <v>16.39</v>
      </c>
      <c r="AO23" s="5"/>
      <c r="AP23" s="27">
        <v>5.2109</v>
      </c>
      <c r="AQ23" s="19">
        <v>16.36</v>
      </c>
      <c r="AR23" s="5"/>
      <c r="AS23" s="27">
        <v>5.2434</v>
      </c>
      <c r="AT23" s="19">
        <v>16.36</v>
      </c>
      <c r="AU23" s="5"/>
      <c r="AV23" s="27">
        <v>5.2401</v>
      </c>
      <c r="AW23" s="19">
        <v>16.37</v>
      </c>
      <c r="AX23" s="5"/>
      <c r="AY23" s="27">
        <v>5.2185</v>
      </c>
      <c r="AZ23" s="19">
        <v>16.41</v>
      </c>
      <c r="BA23" s="5"/>
      <c r="BB23" s="27">
        <v>5.1907</v>
      </c>
      <c r="BC23" s="19">
        <v>16.45</v>
      </c>
      <c r="BD23" s="5"/>
      <c r="BE23" s="27">
        <v>5.1714</v>
      </c>
      <c r="BF23" s="19">
        <v>16.46</v>
      </c>
      <c r="BG23" s="27"/>
      <c r="BH23" s="27">
        <v>5.1771</v>
      </c>
      <c r="BI23" s="19">
        <v>16.47</v>
      </c>
      <c r="BJ23" s="27"/>
      <c r="BK23" s="27">
        <v>5.1582</v>
      </c>
      <c r="BL23" s="19">
        <v>16.47</v>
      </c>
      <c r="BM23" s="27"/>
      <c r="BN23" s="27">
        <v>5.237885714285713</v>
      </c>
      <c r="BO23" s="62">
        <v>16.42761904761905</v>
      </c>
      <c r="BP23" s="32"/>
      <c r="BQ23" s="27"/>
      <c r="BR23" s="19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1/1.55665</f>
        <v>0.6424051649375261</v>
      </c>
      <c r="D24" s="61">
        <v>134.79</v>
      </c>
      <c r="E24" s="5"/>
      <c r="F24" s="27">
        <f>1/1.55873</f>
        <v>0.6415479268378744</v>
      </c>
      <c r="G24" s="19">
        <v>135.44</v>
      </c>
      <c r="H24" s="5"/>
      <c r="I24" s="27">
        <f>1/1.55515</f>
        <v>0.6430247886056008</v>
      </c>
      <c r="J24" s="19">
        <v>134.93</v>
      </c>
      <c r="K24" s="5"/>
      <c r="L24" s="27">
        <f>1/1.55606</f>
        <v>0.6426487410511162</v>
      </c>
      <c r="M24" s="19">
        <v>135.46</v>
      </c>
      <c r="N24" s="5"/>
      <c r="O24" s="27">
        <f>1/1.55153</f>
        <v>0.644525081693554</v>
      </c>
      <c r="P24" s="19">
        <v>134.86</v>
      </c>
      <c r="Q24" s="5"/>
      <c r="R24" s="27">
        <f>1/1.55334</f>
        <v>0.6437740610555319</v>
      </c>
      <c r="S24" s="19">
        <v>134.83</v>
      </c>
      <c r="T24" s="5"/>
      <c r="U24" s="27">
        <f>1/1.55334</f>
        <v>0.6437740610555319</v>
      </c>
      <c r="V24" s="19">
        <v>134.83</v>
      </c>
      <c r="W24" s="5"/>
      <c r="X24" s="27">
        <f>1/1.54744</f>
        <v>0.6462286098330146</v>
      </c>
      <c r="Y24" s="19">
        <v>133.5</v>
      </c>
      <c r="Z24" s="5"/>
      <c r="AA24" s="27">
        <f>1/1.55334</f>
        <v>0.6437740610555319</v>
      </c>
      <c r="AB24" s="19">
        <v>133.51</v>
      </c>
      <c r="AC24" s="5"/>
      <c r="AD24" s="27">
        <f>1/1.55329</f>
        <v>0.6437947839746602</v>
      </c>
      <c r="AE24" s="19">
        <v>133.36</v>
      </c>
      <c r="AF24" s="5"/>
      <c r="AG24" s="27">
        <f>1/1.55655</f>
        <v>0.6424464360283961</v>
      </c>
      <c r="AH24" s="19">
        <v>134.06</v>
      </c>
      <c r="AI24" s="5"/>
      <c r="AJ24" s="27">
        <f>1/1.55324</f>
        <v>0.6438155082279622</v>
      </c>
      <c r="AK24" s="19">
        <v>133.75</v>
      </c>
      <c r="AL24" s="5"/>
      <c r="AM24" s="27">
        <f>1/1.55408</f>
        <v>0.6434675177597036</v>
      </c>
      <c r="AN24" s="19">
        <v>133.12</v>
      </c>
      <c r="AO24" s="5"/>
      <c r="AP24" s="27">
        <f>1/1.56193</f>
        <v>0.6402335572016672</v>
      </c>
      <c r="AQ24" s="19">
        <v>133.17</v>
      </c>
      <c r="AR24" s="5"/>
      <c r="AS24" s="27">
        <f>1/1.56193</f>
        <v>0.6402335572016672</v>
      </c>
      <c r="AT24" s="19">
        <v>133.96</v>
      </c>
      <c r="AU24" s="5"/>
      <c r="AV24" s="27">
        <f>1/1.55957</f>
        <v>0.6412023827080542</v>
      </c>
      <c r="AW24" s="19">
        <v>133.81</v>
      </c>
      <c r="AX24" s="5"/>
      <c r="AY24" s="27">
        <f>1/1.5611</f>
        <v>0.6405739542630197</v>
      </c>
      <c r="AZ24" s="19">
        <v>133.7</v>
      </c>
      <c r="BA24" s="5"/>
      <c r="BB24" s="27">
        <f>1/1.56477</f>
        <v>0.6390715568422196</v>
      </c>
      <c r="BC24" s="19">
        <v>133.62</v>
      </c>
      <c r="BD24" s="5"/>
      <c r="BE24" s="27">
        <f>1/1.56721</f>
        <v>0.6380765819513659</v>
      </c>
      <c r="BF24" s="19">
        <v>133.43</v>
      </c>
      <c r="BG24" s="27"/>
      <c r="BH24" s="27">
        <f>1/1.56936</f>
        <v>0.63720242646684</v>
      </c>
      <c r="BI24" s="19">
        <v>133.8</v>
      </c>
      <c r="BJ24" s="27"/>
      <c r="BK24" s="27">
        <f>1/1.56885</f>
        <v>0.6374095675176084</v>
      </c>
      <c r="BL24" s="19">
        <v>133.24</v>
      </c>
      <c r="BM24" s="31"/>
      <c r="BN24" s="31">
        <v>0.6418681107746878</v>
      </c>
      <c r="BO24" s="54">
        <v>134.0557142857143</v>
      </c>
      <c r="BP24" s="32"/>
      <c r="BQ24" s="27"/>
      <c r="BR24" s="19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86.59</v>
      </c>
      <c r="E25" s="21"/>
      <c r="F25" s="28">
        <v>1</v>
      </c>
      <c r="G25" s="22">
        <v>86.89</v>
      </c>
      <c r="H25" s="21"/>
      <c r="I25" s="28">
        <v>1</v>
      </c>
      <c r="J25" s="22">
        <v>86.76</v>
      </c>
      <c r="K25" s="21"/>
      <c r="L25" s="28">
        <v>1</v>
      </c>
      <c r="M25" s="22">
        <v>87.05</v>
      </c>
      <c r="N25" s="21"/>
      <c r="O25" s="28">
        <v>1</v>
      </c>
      <c r="P25" s="22">
        <v>86.92</v>
      </c>
      <c r="Q25" s="21"/>
      <c r="R25" s="28">
        <v>1</v>
      </c>
      <c r="S25" s="22">
        <v>86.8</v>
      </c>
      <c r="T25" s="21"/>
      <c r="U25" s="28">
        <v>1</v>
      </c>
      <c r="V25" s="22">
        <v>86.8</v>
      </c>
      <c r="W25" s="21"/>
      <c r="X25" s="28">
        <v>1</v>
      </c>
      <c r="Y25" s="22">
        <v>86.27</v>
      </c>
      <c r="Z25" s="21"/>
      <c r="AA25" s="28">
        <v>1</v>
      </c>
      <c r="AB25" s="22">
        <v>85.95</v>
      </c>
      <c r="AC25" s="21"/>
      <c r="AD25" s="28">
        <v>1</v>
      </c>
      <c r="AE25" s="22">
        <v>85.86</v>
      </c>
      <c r="AF25" s="21"/>
      <c r="AG25" s="28">
        <v>1</v>
      </c>
      <c r="AH25" s="22">
        <v>86.12</v>
      </c>
      <c r="AI25" s="21"/>
      <c r="AJ25" s="28">
        <v>1</v>
      </c>
      <c r="AK25" s="22">
        <v>86.11</v>
      </c>
      <c r="AL25" s="21"/>
      <c r="AM25" s="28">
        <v>1</v>
      </c>
      <c r="AN25" s="22">
        <v>85.66</v>
      </c>
      <c r="AO25" s="21"/>
      <c r="AP25" s="28">
        <v>1</v>
      </c>
      <c r="AQ25" s="22">
        <v>85.26</v>
      </c>
      <c r="AR25" s="21"/>
      <c r="AS25" s="28">
        <v>1</v>
      </c>
      <c r="AT25" s="22">
        <v>85.77</v>
      </c>
      <c r="AU25" s="21"/>
      <c r="AV25" s="28">
        <v>1</v>
      </c>
      <c r="AW25" s="22">
        <v>85.8</v>
      </c>
      <c r="AX25" s="21"/>
      <c r="AY25" s="28">
        <v>1</v>
      </c>
      <c r="AZ25" s="22">
        <v>85.65</v>
      </c>
      <c r="BA25" s="21"/>
      <c r="BB25" s="28">
        <v>1</v>
      </c>
      <c r="BC25" s="22">
        <v>85.4</v>
      </c>
      <c r="BD25" s="21"/>
      <c r="BE25" s="28">
        <v>1</v>
      </c>
      <c r="BF25" s="22">
        <v>85.14</v>
      </c>
      <c r="BG25" s="28"/>
      <c r="BH25" s="28">
        <v>1</v>
      </c>
      <c r="BI25" s="22">
        <v>85.26</v>
      </c>
      <c r="BJ25" s="28"/>
      <c r="BK25" s="28">
        <v>1</v>
      </c>
      <c r="BL25" s="22">
        <v>84.93</v>
      </c>
      <c r="BM25" s="28"/>
      <c r="BN25" s="28">
        <v>1</v>
      </c>
      <c r="BO25" s="106">
        <v>86.04714285714287</v>
      </c>
      <c r="BP25" s="32"/>
      <c r="BQ25" s="27"/>
      <c r="BR25" s="19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&amp;L&amp;"Helv,Bold"&amp;12BANKA E SHQIPERISE
Sektori i Informacionit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A52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L30" sqref="BL30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0" width="17.421875" style="0" customWidth="1"/>
    <col min="61" max="61" width="10.57421875" style="0" customWidth="1"/>
    <col min="62" max="62" width="5.421875" style="0" customWidth="1"/>
    <col min="63" max="63" width="17.140625" style="0" customWidth="1"/>
    <col min="64" max="64" width="16.003906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49" t="s">
        <v>247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248</v>
      </c>
      <c r="D4" s="4"/>
      <c r="E4" s="10"/>
      <c r="F4" s="4" t="s">
        <v>249</v>
      </c>
      <c r="G4" s="4"/>
      <c r="H4" s="10"/>
      <c r="I4" s="4" t="s">
        <v>250</v>
      </c>
      <c r="J4" s="4"/>
      <c r="K4" s="10"/>
      <c r="L4" s="4" t="s">
        <v>251</v>
      </c>
      <c r="M4" s="4"/>
      <c r="N4" s="10"/>
      <c r="O4" s="4" t="s">
        <v>252</v>
      </c>
      <c r="P4" s="4"/>
      <c r="Q4" s="10"/>
      <c r="R4" s="4" t="s">
        <v>253</v>
      </c>
      <c r="S4" s="4"/>
      <c r="T4" s="10"/>
      <c r="U4" s="4" t="s">
        <v>254</v>
      </c>
      <c r="V4" s="4"/>
      <c r="W4" s="10"/>
      <c r="X4" s="4" t="s">
        <v>255</v>
      </c>
      <c r="Y4" s="4"/>
      <c r="Z4" s="10"/>
      <c r="AA4" s="4" t="s">
        <v>256</v>
      </c>
      <c r="AB4" s="4"/>
      <c r="AC4" s="10"/>
      <c r="AD4" s="4" t="s">
        <v>257</v>
      </c>
      <c r="AE4" s="4"/>
      <c r="AF4" s="10"/>
      <c r="AG4" s="4" t="s">
        <v>258</v>
      </c>
      <c r="AH4" s="4"/>
      <c r="AI4" s="10"/>
      <c r="AJ4" s="4" t="s">
        <v>259</v>
      </c>
      <c r="AK4" s="4"/>
      <c r="AL4" s="10"/>
      <c r="AM4" s="4" t="s">
        <v>260</v>
      </c>
      <c r="AN4" s="4"/>
      <c r="AO4" s="10"/>
      <c r="AP4" s="4" t="s">
        <v>261</v>
      </c>
      <c r="AQ4" s="4"/>
      <c r="AR4" s="10"/>
      <c r="AS4" s="4" t="s">
        <v>262</v>
      </c>
      <c r="AT4" s="4"/>
      <c r="AU4" s="10"/>
      <c r="AV4" s="4" t="s">
        <v>263</v>
      </c>
      <c r="AW4" s="4"/>
      <c r="AX4" s="26"/>
      <c r="AY4" s="4" t="s">
        <v>264</v>
      </c>
      <c r="AZ4" s="4"/>
      <c r="BA4" s="26"/>
      <c r="BB4" s="4" t="s">
        <v>265</v>
      </c>
      <c r="BC4" s="4"/>
      <c r="BD4" s="26"/>
      <c r="BE4" s="4" t="s">
        <v>266</v>
      </c>
      <c r="BF4" s="4"/>
      <c r="BG4" s="37"/>
      <c r="BH4" s="4" t="s">
        <v>267</v>
      </c>
      <c r="BI4" s="4"/>
      <c r="BJ4" s="37"/>
      <c r="BK4" s="4" t="s">
        <v>3</v>
      </c>
      <c r="BL4" s="4"/>
      <c r="BM4" s="37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43"/>
      <c r="BH5" s="26"/>
      <c r="BI5" s="26"/>
      <c r="BJ5" s="43"/>
      <c r="BK5" s="26"/>
      <c r="BL5" s="26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/>
      <c r="BH6" s="11"/>
      <c r="BI6" s="11"/>
      <c r="BJ6" s="9"/>
      <c r="BK6" s="11"/>
      <c r="BL6" s="11"/>
      <c r="BM6" s="9"/>
      <c r="BN6" s="9"/>
      <c r="BO6" s="9"/>
      <c r="BP6" s="9"/>
      <c r="BQ6" s="9"/>
      <c r="BR6" s="9"/>
      <c r="BS6" s="9"/>
      <c r="BT6" s="9"/>
      <c r="BU6" s="9"/>
    </row>
    <row r="7" spans="1:73" ht="1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39"/>
      <c r="BH7" s="12" t="s">
        <v>5</v>
      </c>
      <c r="BI7" s="12" t="s">
        <v>5</v>
      </c>
      <c r="BJ7" s="39"/>
      <c r="BK7" s="12" t="s">
        <v>5</v>
      </c>
      <c r="BL7" s="12" t="s">
        <v>5</v>
      </c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39"/>
      <c r="BH8" s="12" t="s">
        <v>8</v>
      </c>
      <c r="BI8" s="12" t="s">
        <v>9</v>
      </c>
      <c r="BJ8" s="39"/>
      <c r="BK8" s="12" t="s">
        <v>8</v>
      </c>
      <c r="BL8" s="12" t="s">
        <v>9</v>
      </c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39"/>
      <c r="BH9" s="12" t="s">
        <v>7</v>
      </c>
      <c r="BI9" s="12" t="s">
        <v>11</v>
      </c>
      <c r="BJ9" s="39"/>
      <c r="BK9" s="12" t="s">
        <v>7</v>
      </c>
      <c r="BL9" s="12" t="s">
        <v>11</v>
      </c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39"/>
      <c r="BH10" s="12" t="s">
        <v>10</v>
      </c>
      <c r="BI10" s="12" t="s">
        <v>12</v>
      </c>
      <c r="BJ10" s="39"/>
      <c r="BK10" s="12" t="s">
        <v>10</v>
      </c>
      <c r="BL10" s="12" t="s">
        <v>12</v>
      </c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1"/>
      <c r="BH11" s="5"/>
      <c r="BI11" s="5"/>
      <c r="BJ11" s="21"/>
      <c r="BK11" s="5"/>
      <c r="BL11" s="5"/>
      <c r="BM11" s="9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/>
      <c r="BH12" s="11"/>
      <c r="BI12" s="11"/>
      <c r="BJ12" s="9"/>
      <c r="BK12" s="11"/>
      <c r="BL12" s="11"/>
      <c r="BM12" s="9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115.7</v>
      </c>
      <c r="D13" s="19">
        <v>73.31</v>
      </c>
      <c r="E13" s="5"/>
      <c r="F13" s="27">
        <v>114.72</v>
      </c>
      <c r="G13" s="19">
        <v>73.49</v>
      </c>
      <c r="H13" s="5"/>
      <c r="I13" s="27">
        <v>114.37</v>
      </c>
      <c r="J13" s="19">
        <v>73.74</v>
      </c>
      <c r="K13" s="5"/>
      <c r="L13" s="27">
        <v>114.64</v>
      </c>
      <c r="M13" s="19">
        <v>73.33</v>
      </c>
      <c r="N13" s="5"/>
      <c r="O13" s="27">
        <v>113.21</v>
      </c>
      <c r="P13" s="19">
        <v>73.51</v>
      </c>
      <c r="Q13" s="5"/>
      <c r="R13" s="27">
        <v>112.95</v>
      </c>
      <c r="S13" s="19">
        <v>73.63</v>
      </c>
      <c r="T13" s="5"/>
      <c r="U13" s="27">
        <v>111.1</v>
      </c>
      <c r="V13" s="19">
        <v>74.62</v>
      </c>
      <c r="W13" s="5"/>
      <c r="X13" s="27">
        <v>110.13</v>
      </c>
      <c r="Y13" s="19">
        <v>75.83</v>
      </c>
      <c r="Z13" s="5"/>
      <c r="AA13" s="27">
        <v>109.72</v>
      </c>
      <c r="AB13" s="19">
        <v>76.2</v>
      </c>
      <c r="AC13" s="5"/>
      <c r="AD13" s="27">
        <v>111.42</v>
      </c>
      <c r="AE13" s="19">
        <v>74.59</v>
      </c>
      <c r="AF13" s="5"/>
      <c r="AG13" s="27">
        <v>110.52</v>
      </c>
      <c r="AH13" s="19">
        <v>75.28</v>
      </c>
      <c r="AI13" s="5"/>
      <c r="AJ13" s="27">
        <v>110.14</v>
      </c>
      <c r="AK13" s="19">
        <v>75.6</v>
      </c>
      <c r="AL13" s="5"/>
      <c r="AM13" s="27">
        <v>110.43</v>
      </c>
      <c r="AN13" s="19">
        <v>75.23</v>
      </c>
      <c r="AO13" s="5"/>
      <c r="AP13" s="27">
        <v>110.23</v>
      </c>
      <c r="AQ13" s="19">
        <v>74.8</v>
      </c>
      <c r="AR13" s="5"/>
      <c r="AS13" s="27">
        <v>108.43</v>
      </c>
      <c r="AT13" s="19">
        <v>75.85</v>
      </c>
      <c r="AU13" s="5"/>
      <c r="AV13" s="27">
        <v>108.67</v>
      </c>
      <c r="AW13" s="19">
        <v>75.45</v>
      </c>
      <c r="AX13" s="5"/>
      <c r="AY13" s="27">
        <v>108.15</v>
      </c>
      <c r="AZ13" s="19">
        <v>75.5</v>
      </c>
      <c r="BA13" s="5"/>
      <c r="BB13" s="27">
        <v>108.46</v>
      </c>
      <c r="BC13" s="19">
        <v>75.25</v>
      </c>
      <c r="BD13" s="5"/>
      <c r="BE13" s="27">
        <v>108.18</v>
      </c>
      <c r="BF13" s="19">
        <v>75.53</v>
      </c>
      <c r="BG13" s="31"/>
      <c r="BH13" s="27">
        <v>110.63</v>
      </c>
      <c r="BI13" s="19">
        <v>74.12</v>
      </c>
      <c r="BJ13" s="31"/>
      <c r="BK13" s="27">
        <v>111.09</v>
      </c>
      <c r="BL13" s="19">
        <v>74.74300000000001</v>
      </c>
      <c r="BM13" s="32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1/2.0786</f>
        <v>0.4810930433945926</v>
      </c>
      <c r="D14" s="19">
        <v>176.31</v>
      </c>
      <c r="E14" s="5"/>
      <c r="F14" s="27">
        <f>1/2.0829</f>
        <v>0.4800998607710404</v>
      </c>
      <c r="G14" s="19">
        <v>175.61</v>
      </c>
      <c r="H14" s="5"/>
      <c r="I14" s="27">
        <f>1/2.0819</f>
        <v>0.4803304673615447</v>
      </c>
      <c r="J14" s="19">
        <v>175.59</v>
      </c>
      <c r="K14" s="5"/>
      <c r="L14" s="27">
        <f>1/2.0846</f>
        <v>0.4797083373309028</v>
      </c>
      <c r="M14" s="19">
        <v>175.25</v>
      </c>
      <c r="N14" s="5"/>
      <c r="O14" s="27">
        <f>1/2.1021</f>
        <v>0.4757147614290471</v>
      </c>
      <c r="P14" s="19">
        <v>174.94</v>
      </c>
      <c r="Q14" s="5"/>
      <c r="R14" s="27">
        <f>1/2.1019</f>
        <v>0.47576002664256145</v>
      </c>
      <c r="S14" s="19">
        <v>174.81</v>
      </c>
      <c r="T14" s="5"/>
      <c r="U14" s="27">
        <f>1/2.112</f>
        <v>0.47348484848484845</v>
      </c>
      <c r="V14" s="19">
        <v>175.1</v>
      </c>
      <c r="W14" s="5"/>
      <c r="X14" s="27">
        <f>1/2.0785</f>
        <v>0.4811161895597787</v>
      </c>
      <c r="Y14" s="19">
        <v>173.59</v>
      </c>
      <c r="Z14" s="5"/>
      <c r="AA14" s="27">
        <f>1/2.0681</f>
        <v>0.48353561239785314</v>
      </c>
      <c r="AB14" s="19">
        <v>172.91</v>
      </c>
      <c r="AC14" s="5"/>
      <c r="AD14" s="27">
        <f>1/2.084</f>
        <v>0.4798464491362764</v>
      </c>
      <c r="AE14" s="19">
        <v>173.21</v>
      </c>
      <c r="AF14" s="5"/>
      <c r="AG14" s="27">
        <f>1/2.0458</f>
        <v>0.4888063349301007</v>
      </c>
      <c r="AH14" s="19">
        <v>170.21</v>
      </c>
      <c r="AI14" s="5"/>
      <c r="AJ14" s="27">
        <f>1/2.039</f>
        <v>0.49043648847474247</v>
      </c>
      <c r="AK14" s="19">
        <v>169.78</v>
      </c>
      <c r="AL14" s="5"/>
      <c r="AM14" s="27">
        <f>1/2.0494</f>
        <v>0.48794769200741683</v>
      </c>
      <c r="AN14" s="19">
        <v>170.27</v>
      </c>
      <c r="AO14" s="5"/>
      <c r="AP14" s="27">
        <f>1/2.064</f>
        <v>0.4844961240310077</v>
      </c>
      <c r="AQ14" s="19">
        <v>170.19</v>
      </c>
      <c r="AR14" s="5"/>
      <c r="AS14" s="27">
        <f>1/2.0538</f>
        <v>0.486902327393125</v>
      </c>
      <c r="AT14" s="19">
        <v>168.91</v>
      </c>
      <c r="AU14" s="5"/>
      <c r="AV14" s="27">
        <f>1/2.0636</f>
        <v>0.4845900368288428</v>
      </c>
      <c r="AW14" s="19">
        <v>169.2</v>
      </c>
      <c r="AX14" s="5"/>
      <c r="AY14" s="27">
        <f>1/2.0588</f>
        <v>0.4857198367981348</v>
      </c>
      <c r="AZ14" s="19">
        <v>168.1</v>
      </c>
      <c r="BA14" s="5"/>
      <c r="BB14" s="27">
        <f>1/2.0694</f>
        <v>0.48323185464385815</v>
      </c>
      <c r="BC14" s="19">
        <v>168.89</v>
      </c>
      <c r="BD14" s="5"/>
      <c r="BE14" s="27">
        <f>1/2.0696</f>
        <v>0.48318515655199074</v>
      </c>
      <c r="BF14" s="19">
        <v>169.1</v>
      </c>
      <c r="BG14" s="31"/>
      <c r="BH14" s="27">
        <f>1/2.0691</f>
        <v>0.4833019187086172</v>
      </c>
      <c r="BI14" s="19">
        <v>169.66</v>
      </c>
      <c r="BJ14" s="31"/>
      <c r="BK14" s="27">
        <v>0.48246536834381415</v>
      </c>
      <c r="BL14" s="19">
        <v>172.08149999999995</v>
      </c>
      <c r="BM14" s="32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1.1613</v>
      </c>
      <c r="D15" s="19">
        <v>73.04</v>
      </c>
      <c r="E15" s="5"/>
      <c r="F15" s="27">
        <v>1.1532</v>
      </c>
      <c r="G15" s="19">
        <v>73.11</v>
      </c>
      <c r="H15" s="5"/>
      <c r="I15" s="27">
        <v>1.1545</v>
      </c>
      <c r="J15" s="19">
        <v>73.05</v>
      </c>
      <c r="K15" s="5"/>
      <c r="L15" s="27">
        <v>1.1466</v>
      </c>
      <c r="M15" s="19">
        <v>73.32</v>
      </c>
      <c r="N15" s="5"/>
      <c r="O15" s="27">
        <v>1.1313</v>
      </c>
      <c r="P15" s="19">
        <v>73.56</v>
      </c>
      <c r="Q15" s="5"/>
      <c r="R15" s="27">
        <v>1.1312</v>
      </c>
      <c r="S15" s="19">
        <v>73.52</v>
      </c>
      <c r="T15" s="5"/>
      <c r="U15" s="27">
        <v>1.1229</v>
      </c>
      <c r="V15" s="19">
        <v>73.83</v>
      </c>
      <c r="W15" s="5"/>
      <c r="X15" s="27">
        <v>1.1265</v>
      </c>
      <c r="Y15" s="19">
        <v>74.14</v>
      </c>
      <c r="Z15" s="5"/>
      <c r="AA15" s="27">
        <v>1.126</v>
      </c>
      <c r="AB15" s="19">
        <v>74.25</v>
      </c>
      <c r="AC15" s="5"/>
      <c r="AD15" s="27">
        <v>1.121</v>
      </c>
      <c r="AE15" s="19">
        <v>74.14</v>
      </c>
      <c r="AF15" s="5"/>
      <c r="AG15" s="27">
        <v>1.1237</v>
      </c>
      <c r="AH15" s="19">
        <v>74.04</v>
      </c>
      <c r="AI15" s="5"/>
      <c r="AJ15" s="27">
        <v>1.123</v>
      </c>
      <c r="AK15" s="19">
        <v>74.15</v>
      </c>
      <c r="AL15" s="5"/>
      <c r="AM15" s="27">
        <v>1.1183</v>
      </c>
      <c r="AN15" s="19">
        <v>74.29</v>
      </c>
      <c r="AO15" s="5"/>
      <c r="AP15" s="27">
        <v>1.1084</v>
      </c>
      <c r="AQ15" s="19">
        <v>74.39</v>
      </c>
      <c r="AR15" s="5"/>
      <c r="AS15" s="27">
        <v>1.1064</v>
      </c>
      <c r="AT15" s="19">
        <v>74.33</v>
      </c>
      <c r="AU15" s="5"/>
      <c r="AV15" s="27">
        <v>1.1029</v>
      </c>
      <c r="AW15" s="19">
        <v>74.34</v>
      </c>
      <c r="AX15" s="5"/>
      <c r="AY15" s="27">
        <v>1.1033</v>
      </c>
      <c r="AZ15" s="19">
        <v>74.01</v>
      </c>
      <c r="BA15" s="5"/>
      <c r="BB15" s="27">
        <v>1.1011</v>
      </c>
      <c r="BC15" s="19">
        <v>74.12</v>
      </c>
      <c r="BD15" s="5"/>
      <c r="BE15" s="27">
        <v>1.0997</v>
      </c>
      <c r="BF15" s="19">
        <v>74.3</v>
      </c>
      <c r="BG15" s="31"/>
      <c r="BH15" s="27">
        <v>1.1185</v>
      </c>
      <c r="BI15" s="19">
        <v>73.31</v>
      </c>
      <c r="BJ15" s="31"/>
      <c r="BK15" s="27">
        <v>1.1239899999999996</v>
      </c>
      <c r="BL15" s="19">
        <v>73.86199999999998</v>
      </c>
      <c r="BM15" s="32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1/1.4436</f>
        <v>0.6927126627874758</v>
      </c>
      <c r="D16" s="19">
        <v>122.43</v>
      </c>
      <c r="E16" s="5"/>
      <c r="F16" s="27">
        <f>1/1.4479</f>
        <v>0.6906554320049727</v>
      </c>
      <c r="G16" s="19">
        <v>122.13</v>
      </c>
      <c r="H16" s="5"/>
      <c r="I16" s="27">
        <f>1/1.4463</f>
        <v>0.6914194842010648</v>
      </c>
      <c r="J16" s="19">
        <v>122.01</v>
      </c>
      <c r="K16" s="5"/>
      <c r="L16" s="27">
        <f>1/1.4521</f>
        <v>0.6886578059362303</v>
      </c>
      <c r="M16" s="19">
        <v>122</v>
      </c>
      <c r="N16" s="5"/>
      <c r="O16" s="27">
        <f>1/1.4678</f>
        <v>0.6812917291184085</v>
      </c>
      <c r="P16" s="19">
        <v>122.15</v>
      </c>
      <c r="Q16" s="5"/>
      <c r="R16" s="27">
        <f>1/1.4667</f>
        <v>0.6818026863025841</v>
      </c>
      <c r="S16" s="19">
        <v>121.98</v>
      </c>
      <c r="T16" s="5"/>
      <c r="U16" s="27">
        <f>1/1.4702</f>
        <v>0.6801795674057951</v>
      </c>
      <c r="V16" s="19">
        <v>121.97</v>
      </c>
      <c r="W16" s="5"/>
      <c r="X16" s="27">
        <f>1/1.4582</f>
        <v>0.6857769853243726</v>
      </c>
      <c r="Y16" s="19">
        <v>121.9</v>
      </c>
      <c r="Z16" s="5"/>
      <c r="AA16" s="27">
        <f>1/1.4588</f>
        <v>0.6854949273375377</v>
      </c>
      <c r="AB16" s="19">
        <v>122</v>
      </c>
      <c r="AC16" s="5"/>
      <c r="AD16" s="27">
        <f>1/1.4694</f>
        <v>0.6805498843065196</v>
      </c>
      <c r="AE16" s="19">
        <v>122.04</v>
      </c>
      <c r="AF16" s="5"/>
      <c r="AG16" s="27">
        <f>1/1.4625</f>
        <v>0.6837606837606838</v>
      </c>
      <c r="AH16" s="19">
        <v>121.77</v>
      </c>
      <c r="AI16" s="5"/>
      <c r="AJ16" s="27">
        <f>1/1.4604</f>
        <v>0.6847439057792386</v>
      </c>
      <c r="AK16" s="19">
        <v>121.63</v>
      </c>
      <c r="AL16" s="5"/>
      <c r="AM16" s="27">
        <f>1/1.4636</f>
        <v>0.6832467887400929</v>
      </c>
      <c r="AN16" s="19">
        <v>121.64</v>
      </c>
      <c r="AO16" s="5"/>
      <c r="AP16" s="27">
        <f>1/1.4787</f>
        <v>0.6762696963549064</v>
      </c>
      <c r="AQ16" s="19">
        <v>121.82</v>
      </c>
      <c r="AR16" s="5"/>
      <c r="AS16" s="27">
        <f>1/1.4791</f>
        <v>0.6760868095463457</v>
      </c>
      <c r="AT16" s="19">
        <v>121.72</v>
      </c>
      <c r="AU16" s="5"/>
      <c r="AV16" s="27">
        <f>1/1.4834</f>
        <v>0.6741270055278414</v>
      </c>
      <c r="AW16" s="19">
        <v>121.59</v>
      </c>
      <c r="AX16" s="5"/>
      <c r="AY16" s="27">
        <f>1/1.4799</f>
        <v>0.6757213325224677</v>
      </c>
      <c r="AZ16" s="19">
        <v>121.1</v>
      </c>
      <c r="BA16" s="5"/>
      <c r="BB16" s="27">
        <f>1/1.4862</f>
        <v>0.6728569506122999</v>
      </c>
      <c r="BC16" s="19">
        <v>121.27</v>
      </c>
      <c r="BD16" s="5"/>
      <c r="BE16" s="27">
        <f>1/1.4853</f>
        <v>0.6732646603379788</v>
      </c>
      <c r="BF16" s="19">
        <v>121.32</v>
      </c>
      <c r="BG16" s="31"/>
      <c r="BH16" s="27">
        <f>1/1.4782</f>
        <v>0.6764984440535787</v>
      </c>
      <c r="BI16" s="19">
        <v>121.12</v>
      </c>
      <c r="BJ16" s="31"/>
      <c r="BK16" s="27">
        <v>0.6817558720980197</v>
      </c>
      <c r="BL16" s="19">
        <v>121.77950000000001</v>
      </c>
      <c r="BM16" s="32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791.8</v>
      </c>
      <c r="D17" s="19">
        <v>67159.98</v>
      </c>
      <c r="E17" s="5"/>
      <c r="F17" s="27">
        <v>790.7</v>
      </c>
      <c r="G17" s="19">
        <v>66662.93</v>
      </c>
      <c r="H17" s="5"/>
      <c r="I17" s="27">
        <v>802.45</v>
      </c>
      <c r="J17" s="19">
        <v>67679.64</v>
      </c>
      <c r="K17" s="5"/>
      <c r="L17" s="27">
        <v>817.55</v>
      </c>
      <c r="M17" s="19">
        <v>68730.92</v>
      </c>
      <c r="N17" s="5"/>
      <c r="O17" s="27">
        <v>841.3</v>
      </c>
      <c r="P17" s="19">
        <v>70013.51</v>
      </c>
      <c r="Q17" s="5"/>
      <c r="R17" s="27">
        <v>831.7</v>
      </c>
      <c r="S17" s="19">
        <v>69171.45</v>
      </c>
      <c r="T17" s="5"/>
      <c r="U17" s="27">
        <v>834.55</v>
      </c>
      <c r="V17" s="19">
        <v>69189.93</v>
      </c>
      <c r="W17" s="5"/>
      <c r="X17" s="27">
        <v>817.15</v>
      </c>
      <c r="Y17" s="19">
        <v>68244.28</v>
      </c>
      <c r="Z17" s="5"/>
      <c r="AA17" s="27">
        <v>802.8</v>
      </c>
      <c r="AB17" s="19">
        <v>67121.1</v>
      </c>
      <c r="AC17" s="5"/>
      <c r="AD17" s="27">
        <v>807.8</v>
      </c>
      <c r="AE17" s="19">
        <v>67138.78</v>
      </c>
      <c r="AF17" s="5"/>
      <c r="AG17" s="27">
        <v>804.75</v>
      </c>
      <c r="AH17" s="19">
        <v>66954.19</v>
      </c>
      <c r="AI17" s="5"/>
      <c r="AJ17" s="27">
        <v>790.25</v>
      </c>
      <c r="AK17" s="19">
        <v>65802.64</v>
      </c>
      <c r="AL17" s="5"/>
      <c r="AM17" s="27">
        <v>788.4</v>
      </c>
      <c r="AN17" s="19">
        <v>65500.76</v>
      </c>
      <c r="AO17" s="5"/>
      <c r="AP17" s="27">
        <v>789.6</v>
      </c>
      <c r="AQ17" s="19">
        <v>65108.44</v>
      </c>
      <c r="AR17" s="5"/>
      <c r="AS17" s="27">
        <v>796.25</v>
      </c>
      <c r="AT17" s="19">
        <v>65486.59</v>
      </c>
      <c r="AU17" s="5"/>
      <c r="AV17" s="27">
        <v>802.35</v>
      </c>
      <c r="AW17" s="19">
        <v>65788.19</v>
      </c>
      <c r="AX17" s="5"/>
      <c r="AY17" s="27">
        <v>810.1</v>
      </c>
      <c r="AZ17" s="19">
        <v>66145.17</v>
      </c>
      <c r="BA17" s="5"/>
      <c r="BB17" s="27">
        <v>836.4</v>
      </c>
      <c r="BC17" s="19">
        <v>68260.7</v>
      </c>
      <c r="BD17" s="5"/>
      <c r="BE17" s="27">
        <v>822.7</v>
      </c>
      <c r="BF17" s="19">
        <v>67219.22</v>
      </c>
      <c r="BG17" s="31"/>
      <c r="BH17" s="27">
        <v>793.9</v>
      </c>
      <c r="BI17" s="19">
        <v>65096.82</v>
      </c>
      <c r="BJ17" s="31"/>
      <c r="BK17" s="27">
        <v>808.625</v>
      </c>
      <c r="BL17" s="19">
        <v>67123.762</v>
      </c>
      <c r="BM17" s="32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14.3</v>
      </c>
      <c r="D18" s="19">
        <v>1212.92</v>
      </c>
      <c r="E18" s="5"/>
      <c r="F18" s="27">
        <v>14.17</v>
      </c>
      <c r="G18" s="19">
        <v>1194.65</v>
      </c>
      <c r="H18" s="5"/>
      <c r="I18" s="27">
        <v>14.49</v>
      </c>
      <c r="J18" s="19">
        <v>1222.1</v>
      </c>
      <c r="K18" s="5"/>
      <c r="L18" s="27">
        <v>14.89</v>
      </c>
      <c r="M18" s="19">
        <v>1251.79</v>
      </c>
      <c r="N18" s="5"/>
      <c r="O18" s="27">
        <v>15.94</v>
      </c>
      <c r="P18" s="19">
        <v>1326.54</v>
      </c>
      <c r="Q18" s="5"/>
      <c r="R18" s="27">
        <v>15.2</v>
      </c>
      <c r="S18" s="19">
        <v>1264.17</v>
      </c>
      <c r="T18" s="5"/>
      <c r="U18" s="27">
        <v>15.61</v>
      </c>
      <c r="V18" s="19">
        <v>1294.18</v>
      </c>
      <c r="W18" s="5"/>
      <c r="X18" s="27">
        <v>15.11</v>
      </c>
      <c r="Y18" s="19">
        <v>1261.91</v>
      </c>
      <c r="Z18" s="5"/>
      <c r="AA18" s="27">
        <v>14.61</v>
      </c>
      <c r="AB18" s="19">
        <v>1221.52</v>
      </c>
      <c r="AC18" s="5"/>
      <c r="AD18" s="27">
        <v>14.89</v>
      </c>
      <c r="AE18" s="19">
        <v>1237.55</v>
      </c>
      <c r="AF18" s="5"/>
      <c r="AG18" s="27">
        <v>14.77</v>
      </c>
      <c r="AH18" s="19">
        <v>1228.85</v>
      </c>
      <c r="AI18" s="5"/>
      <c r="AJ18" s="27">
        <v>14.48</v>
      </c>
      <c r="AK18" s="19">
        <v>1205.72</v>
      </c>
      <c r="AL18" s="5"/>
      <c r="AM18" s="27">
        <v>14.54</v>
      </c>
      <c r="AN18" s="19">
        <v>1207.99</v>
      </c>
      <c r="AO18" s="5"/>
      <c r="AP18" s="27">
        <v>14.42</v>
      </c>
      <c r="AQ18" s="19">
        <v>1189.04</v>
      </c>
      <c r="AR18" s="5"/>
      <c r="AS18" s="27">
        <v>14.56</v>
      </c>
      <c r="AT18" s="19">
        <v>1197.47</v>
      </c>
      <c r="AU18" s="5"/>
      <c r="AV18" s="27">
        <v>14.49</v>
      </c>
      <c r="AW18" s="19">
        <v>1188.1</v>
      </c>
      <c r="AX18" s="5"/>
      <c r="AY18" s="27">
        <v>14.54</v>
      </c>
      <c r="AZ18" s="19">
        <v>1187.2</v>
      </c>
      <c r="BA18" s="5"/>
      <c r="BB18" s="27">
        <v>14.99</v>
      </c>
      <c r="BC18" s="19">
        <v>1223.37</v>
      </c>
      <c r="BD18" s="5"/>
      <c r="BE18" s="27">
        <v>14.68</v>
      </c>
      <c r="BF18" s="19">
        <v>1199.44</v>
      </c>
      <c r="BG18" s="31"/>
      <c r="BH18" s="27">
        <v>14.16</v>
      </c>
      <c r="BI18" s="19">
        <v>1161.07</v>
      </c>
      <c r="BJ18" s="31"/>
      <c r="BK18" s="27">
        <v>14.741999999999999</v>
      </c>
      <c r="BL18" s="19">
        <v>1223.779</v>
      </c>
      <c r="BM18" s="32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1/0.9307</f>
        <v>1.0744600838078866</v>
      </c>
      <c r="D19" s="19">
        <v>78.94</v>
      </c>
      <c r="E19" s="5"/>
      <c r="F19" s="27">
        <f>1/0.9193</f>
        <v>1.0877841836179702</v>
      </c>
      <c r="G19" s="19">
        <v>77.51</v>
      </c>
      <c r="H19" s="5"/>
      <c r="I19" s="27">
        <f>1/0.9181</f>
        <v>1.0892059688487092</v>
      </c>
      <c r="J19" s="19">
        <v>77.43</v>
      </c>
      <c r="K19" s="5"/>
      <c r="L19" s="27">
        <f>1/0.9235</f>
        <v>1.0828370330265296</v>
      </c>
      <c r="M19" s="19">
        <v>77.64</v>
      </c>
      <c r="N19" s="5"/>
      <c r="O19" s="27">
        <f>1/0.9368</f>
        <v>1.067463706233988</v>
      </c>
      <c r="P19" s="19">
        <v>77.96</v>
      </c>
      <c r="Q19" s="5"/>
      <c r="R19" s="27">
        <f>1/0.9279</f>
        <v>1.077702338614075</v>
      </c>
      <c r="S19" s="19">
        <v>77.17</v>
      </c>
      <c r="T19" s="5"/>
      <c r="U19" s="27">
        <f>1/0.918</f>
        <v>1.0893246187363834</v>
      </c>
      <c r="V19" s="19">
        <v>76.11</v>
      </c>
      <c r="W19" s="5"/>
      <c r="X19" s="27">
        <f>1/0.8923</f>
        <v>1.1206993163734171</v>
      </c>
      <c r="Y19" s="19">
        <v>74.52</v>
      </c>
      <c r="Z19" s="5"/>
      <c r="AA19" s="27">
        <f>1/0.8886</f>
        <v>1.1253657438667568</v>
      </c>
      <c r="AB19" s="19">
        <v>74.29</v>
      </c>
      <c r="AC19" s="5"/>
      <c r="AD19" s="27">
        <f>1/0.9067</f>
        <v>1.1029006286533585</v>
      </c>
      <c r="AE19" s="19">
        <v>75.36</v>
      </c>
      <c r="AF19" s="5"/>
      <c r="AG19" s="27">
        <f>1/0.8907</f>
        <v>1.1227124733355787</v>
      </c>
      <c r="AH19" s="19">
        <v>74.11</v>
      </c>
      <c r="AI19" s="5"/>
      <c r="AJ19" s="27">
        <f>1/0.8882</f>
        <v>1.1258725512272012</v>
      </c>
      <c r="AK19" s="19">
        <v>73.96</v>
      </c>
      <c r="AL19" s="5"/>
      <c r="AM19" s="27">
        <f>1/0.8898</f>
        <v>1.1238480557428636</v>
      </c>
      <c r="AN19" s="19">
        <v>73.93</v>
      </c>
      <c r="AO19" s="5"/>
      <c r="AP19" s="27">
        <f>1/0.8893</f>
        <v>1.1244799280332847</v>
      </c>
      <c r="AQ19" s="19">
        <v>73.33</v>
      </c>
      <c r="AR19" s="5"/>
      <c r="AS19" s="27">
        <f>1/0.8708</f>
        <v>1.148369315571888</v>
      </c>
      <c r="AT19" s="19">
        <v>71.62</v>
      </c>
      <c r="AU19" s="5"/>
      <c r="AV19" s="27">
        <f>1/0.8724</f>
        <v>1.1462631820265934</v>
      </c>
      <c r="AW19" s="19">
        <v>71.53</v>
      </c>
      <c r="AX19" s="18"/>
      <c r="AY19" s="27">
        <f>1/0.8706</f>
        <v>1.1486331265793706</v>
      </c>
      <c r="AZ19" s="19">
        <v>71.09</v>
      </c>
      <c r="BA19" s="18"/>
      <c r="BB19" s="27">
        <f>1/0.8853</f>
        <v>1.1295606009262398</v>
      </c>
      <c r="BC19" s="19">
        <v>72.25</v>
      </c>
      <c r="BD19" s="18"/>
      <c r="BE19" s="27">
        <f>1/0.8754</f>
        <v>1.142334932602239</v>
      </c>
      <c r="BF19" s="19">
        <v>71.53</v>
      </c>
      <c r="BG19" s="31"/>
      <c r="BH19" s="27">
        <f>1/0.888</f>
        <v>1.1261261261261262</v>
      </c>
      <c r="BI19" s="19">
        <v>72.81</v>
      </c>
      <c r="BJ19" s="31"/>
      <c r="BK19" s="27">
        <v>1.1127971956975231</v>
      </c>
      <c r="BL19" s="19">
        <v>74.6545</v>
      </c>
      <c r="BM19" s="32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0.9449</v>
      </c>
      <c r="D20" s="19">
        <v>89.77</v>
      </c>
      <c r="E20" s="5"/>
      <c r="F20" s="27">
        <v>0.9445</v>
      </c>
      <c r="G20" s="19">
        <v>89.26</v>
      </c>
      <c r="H20" s="5"/>
      <c r="I20" s="27">
        <v>0.9319</v>
      </c>
      <c r="J20" s="19">
        <v>90.5</v>
      </c>
      <c r="K20" s="5"/>
      <c r="L20" s="27">
        <v>0.9267</v>
      </c>
      <c r="M20" s="19">
        <v>90.72</v>
      </c>
      <c r="N20" s="5"/>
      <c r="O20" s="27">
        <v>0.9098</v>
      </c>
      <c r="P20" s="19">
        <v>91.47</v>
      </c>
      <c r="Q20" s="5"/>
      <c r="R20" s="27">
        <v>0.9259</v>
      </c>
      <c r="S20" s="19">
        <v>89.82</v>
      </c>
      <c r="T20" s="5"/>
      <c r="U20" s="27">
        <v>0.9342</v>
      </c>
      <c r="V20" s="19">
        <v>88.75</v>
      </c>
      <c r="W20" s="5"/>
      <c r="X20" s="27">
        <v>0.9528</v>
      </c>
      <c r="Y20" s="19">
        <v>87.65</v>
      </c>
      <c r="Z20" s="5"/>
      <c r="AA20" s="27">
        <v>0.9613</v>
      </c>
      <c r="AB20" s="19">
        <v>86.97</v>
      </c>
      <c r="AC20" s="5"/>
      <c r="AD20" s="27">
        <v>0.9524</v>
      </c>
      <c r="AE20" s="19">
        <v>87.27</v>
      </c>
      <c r="AF20" s="5"/>
      <c r="AG20" s="27">
        <v>0.9688</v>
      </c>
      <c r="AH20" s="19">
        <v>85.88</v>
      </c>
      <c r="AI20" s="5"/>
      <c r="AJ20" s="27">
        <v>0.9834</v>
      </c>
      <c r="AK20" s="19">
        <v>84.67</v>
      </c>
      <c r="AL20" s="5"/>
      <c r="AM20" s="27">
        <v>0.9772</v>
      </c>
      <c r="AN20" s="19">
        <v>85.02</v>
      </c>
      <c r="AO20" s="5"/>
      <c r="AP20" s="27">
        <v>0.9772</v>
      </c>
      <c r="AQ20" s="19">
        <v>84.38</v>
      </c>
      <c r="AR20" s="5"/>
      <c r="AS20" s="27">
        <v>0.9865</v>
      </c>
      <c r="AT20" s="19">
        <v>83.37</v>
      </c>
      <c r="AU20" s="5"/>
      <c r="AV20" s="27">
        <v>0.9833</v>
      </c>
      <c r="AW20" s="19">
        <v>83.39</v>
      </c>
      <c r="AX20" s="5"/>
      <c r="AY20" s="27">
        <v>0.9864</v>
      </c>
      <c r="AZ20" s="19">
        <v>82.78</v>
      </c>
      <c r="BA20" s="5"/>
      <c r="BB20" s="27">
        <v>0.9826</v>
      </c>
      <c r="BC20" s="19">
        <v>83.06</v>
      </c>
      <c r="BD20" s="5"/>
      <c r="BE20" s="27">
        <v>0.9934</v>
      </c>
      <c r="BF20" s="19">
        <v>82.25</v>
      </c>
      <c r="BG20" s="31"/>
      <c r="BH20" s="27">
        <v>0.9947</v>
      </c>
      <c r="BI20" s="19">
        <v>82.43</v>
      </c>
      <c r="BJ20" s="31"/>
      <c r="BK20" s="27">
        <v>0.9608950000000002</v>
      </c>
      <c r="BL20" s="19">
        <v>86.4705</v>
      </c>
      <c r="BM20" s="32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6.3735</v>
      </c>
      <c r="D21" s="19">
        <v>13.31</v>
      </c>
      <c r="E21" s="5"/>
      <c r="F21" s="27">
        <v>6.3907</v>
      </c>
      <c r="G21" s="19">
        <v>13.19</v>
      </c>
      <c r="H21" s="5"/>
      <c r="I21" s="27">
        <v>6.3958</v>
      </c>
      <c r="J21" s="19">
        <v>13.19</v>
      </c>
      <c r="K21" s="5"/>
      <c r="L21" s="27">
        <v>6.3707</v>
      </c>
      <c r="M21" s="19">
        <v>13.2</v>
      </c>
      <c r="N21" s="5"/>
      <c r="O21" s="27">
        <v>6.2916</v>
      </c>
      <c r="P21" s="19">
        <v>13.23</v>
      </c>
      <c r="Q21" s="5"/>
      <c r="R21" s="27">
        <v>6.309</v>
      </c>
      <c r="S21" s="19">
        <v>13.18</v>
      </c>
      <c r="T21" s="5"/>
      <c r="U21" s="27">
        <v>6.2992</v>
      </c>
      <c r="V21" s="19">
        <v>13.16</v>
      </c>
      <c r="W21" s="5"/>
      <c r="X21" s="27">
        <v>6.3792</v>
      </c>
      <c r="Y21" s="19">
        <v>13.09</v>
      </c>
      <c r="Z21" s="5"/>
      <c r="AA21" s="27">
        <v>6.3672</v>
      </c>
      <c r="AB21" s="19">
        <v>13.13</v>
      </c>
      <c r="AC21" s="5"/>
      <c r="AD21" s="27">
        <v>6.2773</v>
      </c>
      <c r="AE21" s="19">
        <v>13.24</v>
      </c>
      <c r="AF21" s="5"/>
      <c r="AG21" s="27">
        <v>6.3278</v>
      </c>
      <c r="AH21" s="19">
        <v>13.15</v>
      </c>
      <c r="AI21" s="5"/>
      <c r="AJ21" s="27">
        <v>6.357</v>
      </c>
      <c r="AK21" s="19">
        <v>13.1</v>
      </c>
      <c r="AL21" s="5"/>
      <c r="AM21" s="27">
        <v>6.3398</v>
      </c>
      <c r="AN21" s="19">
        <v>13.1</v>
      </c>
      <c r="AO21" s="5"/>
      <c r="AP21" s="27">
        <v>6.2775</v>
      </c>
      <c r="AQ21" s="19">
        <v>13.14</v>
      </c>
      <c r="AR21" s="5"/>
      <c r="AS21" s="27">
        <v>6.3048</v>
      </c>
      <c r="AT21" s="19">
        <v>13.04</v>
      </c>
      <c r="AU21" s="5"/>
      <c r="AV21" s="27">
        <v>6.2903</v>
      </c>
      <c r="AW21" s="19">
        <v>13.04</v>
      </c>
      <c r="AX21" s="5"/>
      <c r="AY21" s="27">
        <v>6.3</v>
      </c>
      <c r="AZ21" s="19">
        <v>12.96</v>
      </c>
      <c r="BA21" s="5"/>
      <c r="BB21" s="27">
        <v>6.2413</v>
      </c>
      <c r="BC21" s="19">
        <v>13.08</v>
      </c>
      <c r="BD21" s="5"/>
      <c r="BE21" s="27">
        <v>6.2632</v>
      </c>
      <c r="BF21" s="19">
        <v>13.05</v>
      </c>
      <c r="BG21" s="31"/>
      <c r="BH21" s="27">
        <v>6.3361</v>
      </c>
      <c r="BI21" s="19">
        <v>12.94</v>
      </c>
      <c r="BJ21" s="31"/>
      <c r="BK21" s="27">
        <v>6.3245999999999984</v>
      </c>
      <c r="BL21" s="19">
        <v>13.126000000000001</v>
      </c>
      <c r="BM21" s="32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5.3986</v>
      </c>
      <c r="D22" s="19">
        <v>15.71</v>
      </c>
      <c r="E22" s="5"/>
      <c r="F22" s="27">
        <v>5.4187</v>
      </c>
      <c r="G22" s="19">
        <v>15.56</v>
      </c>
      <c r="H22" s="5"/>
      <c r="I22" s="27">
        <v>5.399</v>
      </c>
      <c r="J22" s="19">
        <v>15.62</v>
      </c>
      <c r="K22" s="5"/>
      <c r="L22" s="27">
        <v>5.3456</v>
      </c>
      <c r="M22" s="19">
        <v>15.73</v>
      </c>
      <c r="N22" s="5"/>
      <c r="O22" s="27">
        <v>5.2868</v>
      </c>
      <c r="P22" s="19">
        <v>15.74</v>
      </c>
      <c r="Q22" s="5"/>
      <c r="R22" s="27">
        <v>5.2899</v>
      </c>
      <c r="S22" s="19">
        <v>15.72</v>
      </c>
      <c r="T22" s="5"/>
      <c r="U22" s="27">
        <v>5.3</v>
      </c>
      <c r="V22" s="19">
        <v>15.64</v>
      </c>
      <c r="W22" s="5"/>
      <c r="X22" s="27">
        <v>5.3645</v>
      </c>
      <c r="Y22" s="19">
        <v>15.57</v>
      </c>
      <c r="Z22" s="5"/>
      <c r="AA22" s="27">
        <v>5.4161</v>
      </c>
      <c r="AB22" s="19">
        <v>15.44</v>
      </c>
      <c r="AC22" s="5"/>
      <c r="AD22" s="27">
        <v>5.3574</v>
      </c>
      <c r="AE22" s="19">
        <v>15.51</v>
      </c>
      <c r="AF22" s="5"/>
      <c r="AG22" s="27">
        <v>5.4549</v>
      </c>
      <c r="AH22" s="19">
        <v>15.25</v>
      </c>
      <c r="AI22" s="5"/>
      <c r="AJ22" s="27">
        <v>5.4912</v>
      </c>
      <c r="AK22" s="19">
        <v>15.16</v>
      </c>
      <c r="AL22" s="5"/>
      <c r="AM22" s="27">
        <v>5.5177</v>
      </c>
      <c r="AN22" s="19">
        <v>15.06</v>
      </c>
      <c r="AO22" s="5"/>
      <c r="AP22" s="27">
        <v>5.4072</v>
      </c>
      <c r="AQ22" s="19">
        <v>15.25</v>
      </c>
      <c r="AR22" s="5"/>
      <c r="AS22" s="27">
        <v>5.432</v>
      </c>
      <c r="AT22" s="19">
        <v>15.14</v>
      </c>
      <c r="AU22" s="5"/>
      <c r="AV22" s="27">
        <v>5.4106</v>
      </c>
      <c r="AW22" s="19">
        <v>15.15</v>
      </c>
      <c r="AX22" s="5"/>
      <c r="AY22" s="27">
        <v>5.4368</v>
      </c>
      <c r="AZ22" s="19">
        <v>15.02</v>
      </c>
      <c r="BA22" s="5"/>
      <c r="BB22" s="27">
        <v>5.3869</v>
      </c>
      <c r="BC22" s="19">
        <v>15.15</v>
      </c>
      <c r="BD22" s="5"/>
      <c r="BE22" s="27">
        <v>5.4186</v>
      </c>
      <c r="BF22" s="19">
        <v>15.08</v>
      </c>
      <c r="BG22" s="31"/>
      <c r="BH22" s="27">
        <v>5.4867</v>
      </c>
      <c r="BI22" s="19">
        <v>14.94</v>
      </c>
      <c r="BJ22" s="31"/>
      <c r="BK22" s="27">
        <v>5.40096</v>
      </c>
      <c r="BL22" s="19">
        <v>15.371999999999996</v>
      </c>
      <c r="BM22" s="32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5.1626</v>
      </c>
      <c r="D23" s="19">
        <v>16.43</v>
      </c>
      <c r="E23" s="5"/>
      <c r="F23" s="27">
        <v>5.1473</v>
      </c>
      <c r="G23" s="19">
        <v>16.38</v>
      </c>
      <c r="H23" s="5"/>
      <c r="I23" s="27">
        <v>5.1533</v>
      </c>
      <c r="J23" s="19">
        <v>16.37</v>
      </c>
      <c r="K23" s="5"/>
      <c r="L23" s="27">
        <v>5.1327</v>
      </c>
      <c r="M23" s="19">
        <v>16.38</v>
      </c>
      <c r="N23" s="5"/>
      <c r="O23" s="27">
        <v>5.0772</v>
      </c>
      <c r="P23" s="19">
        <v>16.39</v>
      </c>
      <c r="Q23" s="5"/>
      <c r="R23" s="27">
        <v>5.081</v>
      </c>
      <c r="S23" s="19">
        <v>16.37</v>
      </c>
      <c r="T23" s="5"/>
      <c r="U23" s="27">
        <v>5.0677</v>
      </c>
      <c r="V23" s="19">
        <v>16.36</v>
      </c>
      <c r="W23" s="5"/>
      <c r="X23" s="27">
        <v>5.1092</v>
      </c>
      <c r="Y23" s="19">
        <v>16.35</v>
      </c>
      <c r="Z23" s="5"/>
      <c r="AA23" s="27">
        <v>5.108</v>
      </c>
      <c r="AB23" s="19">
        <v>16.37</v>
      </c>
      <c r="AC23" s="5"/>
      <c r="AD23" s="27">
        <v>5.071</v>
      </c>
      <c r="AE23" s="19">
        <v>16.39</v>
      </c>
      <c r="AF23" s="5"/>
      <c r="AG23" s="27">
        <v>5.0948</v>
      </c>
      <c r="AH23" s="19">
        <v>16.33</v>
      </c>
      <c r="AI23" s="5"/>
      <c r="AJ23" s="27">
        <v>5.102</v>
      </c>
      <c r="AK23" s="19">
        <v>16.32</v>
      </c>
      <c r="AL23" s="5"/>
      <c r="AM23" s="27">
        <v>5.0913</v>
      </c>
      <c r="AN23" s="19">
        <v>16.32</v>
      </c>
      <c r="AO23" s="5"/>
      <c r="AP23" s="27">
        <v>5.0382</v>
      </c>
      <c r="AQ23" s="19">
        <v>16.37</v>
      </c>
      <c r="AR23" s="5"/>
      <c r="AS23" s="27">
        <v>5.0385</v>
      </c>
      <c r="AT23" s="19">
        <v>16.32</v>
      </c>
      <c r="AU23" s="5"/>
      <c r="AV23" s="27">
        <v>5.0248</v>
      </c>
      <c r="AW23" s="19">
        <v>16.32</v>
      </c>
      <c r="AX23" s="5"/>
      <c r="AY23" s="27">
        <v>5.0364</v>
      </c>
      <c r="AZ23" s="19">
        <v>16.21</v>
      </c>
      <c r="BA23" s="5"/>
      <c r="BB23" s="27">
        <v>5.0153</v>
      </c>
      <c r="BC23" s="19">
        <v>16.27</v>
      </c>
      <c r="BD23" s="5"/>
      <c r="BE23" s="27">
        <v>5.0193</v>
      </c>
      <c r="BF23" s="19">
        <v>16.28</v>
      </c>
      <c r="BG23" s="31"/>
      <c r="BH23" s="27">
        <v>5.0441</v>
      </c>
      <c r="BI23" s="19">
        <v>16.26</v>
      </c>
      <c r="BJ23" s="31"/>
      <c r="BK23" s="27">
        <v>5.080735</v>
      </c>
      <c r="BL23" s="19">
        <v>16.339499999999997</v>
      </c>
      <c r="BM23" s="32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1/1.57188</f>
        <v>0.6361808789475024</v>
      </c>
      <c r="D24" s="61">
        <v>133.33</v>
      </c>
      <c r="E24" s="5"/>
      <c r="F24" s="27">
        <f>1/1.57019</f>
        <v>0.6368656022519568</v>
      </c>
      <c r="G24" s="61">
        <v>132.38</v>
      </c>
      <c r="H24" s="5"/>
      <c r="I24" s="27">
        <f>1/1.57484</f>
        <v>0.6349851413476925</v>
      </c>
      <c r="J24" s="61">
        <v>132.82</v>
      </c>
      <c r="K24" s="5"/>
      <c r="L24" s="27">
        <f>1/1.57437</f>
        <v>0.6351747048025559</v>
      </c>
      <c r="M24" s="61">
        <v>132.36</v>
      </c>
      <c r="N24" s="5"/>
      <c r="O24" s="27">
        <f>1/1.57721</f>
        <v>0.6340309787536219</v>
      </c>
      <c r="P24" s="61">
        <v>131.26</v>
      </c>
      <c r="Q24" s="5"/>
      <c r="R24" s="27">
        <f>1/1.58616</f>
        <v>0.6304534221011752</v>
      </c>
      <c r="S24" s="61">
        <v>131.92</v>
      </c>
      <c r="T24" s="5"/>
      <c r="U24" s="27">
        <f>1/1.58587</f>
        <v>0.6305687099194764</v>
      </c>
      <c r="V24" s="61">
        <v>131.48</v>
      </c>
      <c r="W24" s="5"/>
      <c r="X24" s="27">
        <f>1/1.58914</f>
        <v>0.6292711781214997</v>
      </c>
      <c r="Y24" s="61">
        <v>132.72</v>
      </c>
      <c r="Z24" s="5"/>
      <c r="AA24" s="27">
        <f>1/1.58406</f>
        <v>0.6312892188427206</v>
      </c>
      <c r="AB24" s="61">
        <v>132.44</v>
      </c>
      <c r="AC24" s="5"/>
      <c r="AD24" s="27">
        <f>1/1.58428</f>
        <v>0.6312015552806323</v>
      </c>
      <c r="AE24" s="61">
        <v>131.67</v>
      </c>
      <c r="AF24" s="5"/>
      <c r="AG24" s="27">
        <f>1/1.58648</f>
        <v>0.6303262568705562</v>
      </c>
      <c r="AH24" s="61">
        <v>131.99</v>
      </c>
      <c r="AI24" s="5"/>
      <c r="AJ24" s="27">
        <f>1/1.58247</f>
        <v>0.6319235119781101</v>
      </c>
      <c r="AK24" s="61">
        <v>131.77</v>
      </c>
      <c r="AL24" s="5"/>
      <c r="AM24" s="27">
        <f>1/1.58111</f>
        <v>0.6324670642776278</v>
      </c>
      <c r="AN24" s="61">
        <v>131.36</v>
      </c>
      <c r="AO24" s="5"/>
      <c r="AP24" s="27">
        <f>1/1.58463</f>
        <v>0.6310621406889937</v>
      </c>
      <c r="AQ24" s="61">
        <v>130.66</v>
      </c>
      <c r="AR24" s="5"/>
      <c r="AS24" s="27">
        <f>1/1.5908</f>
        <v>0.6286145335680161</v>
      </c>
      <c r="AT24" s="61">
        <v>130.83</v>
      </c>
      <c r="AU24" s="5"/>
      <c r="AV24" s="27">
        <f>1/1.5936</f>
        <v>0.6275100401606426</v>
      </c>
      <c r="AW24" s="61">
        <v>130.67</v>
      </c>
      <c r="AX24" s="5"/>
      <c r="AY24" s="27">
        <f>1/1.5936</f>
        <v>0.6275100401606426</v>
      </c>
      <c r="AZ24" s="61">
        <v>130.12</v>
      </c>
      <c r="BA24" s="5"/>
      <c r="BB24" s="27">
        <f>1/1.5936</f>
        <v>0.6275100401606426</v>
      </c>
      <c r="BC24" s="61">
        <v>130.06</v>
      </c>
      <c r="BD24" s="5"/>
      <c r="BE24" s="27">
        <f>1/1.59695</f>
        <v>0.6261936817057515</v>
      </c>
      <c r="BF24" s="61">
        <v>130.48</v>
      </c>
      <c r="BG24" s="31"/>
      <c r="BH24" s="27">
        <f>1/1.58975</f>
        <v>0.6290297216543481</v>
      </c>
      <c r="BI24" s="61">
        <v>130.35</v>
      </c>
      <c r="BJ24" s="31"/>
      <c r="BK24" s="27">
        <v>0.631108421079708</v>
      </c>
      <c r="BL24" s="19">
        <v>131.53349999999998</v>
      </c>
      <c r="BM24" s="32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84.82</v>
      </c>
      <c r="E25" s="21"/>
      <c r="F25" s="28">
        <v>1</v>
      </c>
      <c r="G25" s="22">
        <v>84.31</v>
      </c>
      <c r="H25" s="21"/>
      <c r="I25" s="28">
        <v>1</v>
      </c>
      <c r="J25" s="22">
        <v>84.34</v>
      </c>
      <c r="K25" s="21"/>
      <c r="L25" s="28">
        <v>1</v>
      </c>
      <c r="M25" s="22">
        <v>84.07</v>
      </c>
      <c r="N25" s="21"/>
      <c r="O25" s="28">
        <v>1</v>
      </c>
      <c r="P25" s="22">
        <v>83.22</v>
      </c>
      <c r="Q25" s="21"/>
      <c r="R25" s="28">
        <v>1</v>
      </c>
      <c r="S25" s="22">
        <v>83.17</v>
      </c>
      <c r="T25" s="21"/>
      <c r="U25" s="28">
        <v>1</v>
      </c>
      <c r="V25" s="22">
        <v>82.91</v>
      </c>
      <c r="W25" s="21"/>
      <c r="X25" s="28">
        <v>1</v>
      </c>
      <c r="Y25" s="22">
        <v>83.52</v>
      </c>
      <c r="Z25" s="21"/>
      <c r="AA25" s="28">
        <v>1</v>
      </c>
      <c r="AB25" s="22">
        <v>83.61</v>
      </c>
      <c r="AC25" s="21"/>
      <c r="AD25" s="28">
        <v>1</v>
      </c>
      <c r="AE25" s="22">
        <v>83.11</v>
      </c>
      <c r="AF25" s="21"/>
      <c r="AG25" s="28">
        <v>1</v>
      </c>
      <c r="AH25" s="22">
        <v>83.2</v>
      </c>
      <c r="AI25" s="21"/>
      <c r="AJ25" s="28">
        <v>1</v>
      </c>
      <c r="AK25" s="22">
        <v>83.27</v>
      </c>
      <c r="AL25" s="21"/>
      <c r="AM25" s="28">
        <v>1</v>
      </c>
      <c r="AN25" s="22">
        <v>83.08</v>
      </c>
      <c r="AO25" s="21"/>
      <c r="AP25" s="28">
        <v>1</v>
      </c>
      <c r="AQ25" s="22">
        <v>82.46</v>
      </c>
      <c r="AR25" s="21"/>
      <c r="AS25" s="28">
        <v>1</v>
      </c>
      <c r="AT25" s="22">
        <v>82.24</v>
      </c>
      <c r="AU25" s="21"/>
      <c r="AV25" s="28">
        <v>1</v>
      </c>
      <c r="AW25" s="22">
        <v>81.99</v>
      </c>
      <c r="AX25" s="21"/>
      <c r="AY25" s="28">
        <v>1</v>
      </c>
      <c r="AZ25" s="22">
        <v>81.65</v>
      </c>
      <c r="BA25" s="21"/>
      <c r="BB25" s="28">
        <v>1</v>
      </c>
      <c r="BC25" s="22">
        <v>81.61</v>
      </c>
      <c r="BD25" s="21"/>
      <c r="BE25" s="28">
        <v>1</v>
      </c>
      <c r="BF25" s="22">
        <v>81.71</v>
      </c>
      <c r="BG25" s="28"/>
      <c r="BH25" s="28">
        <v>1</v>
      </c>
      <c r="BI25" s="22">
        <v>82</v>
      </c>
      <c r="BJ25" s="28"/>
      <c r="BK25" s="28">
        <v>1</v>
      </c>
      <c r="BL25" s="22">
        <v>83.01450000000001</v>
      </c>
      <c r="BM25" s="3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27"/>
      <c r="D26" s="61"/>
      <c r="E26" s="9"/>
      <c r="F26" s="27"/>
      <c r="G26" s="61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31"/>
      <c r="BF26" s="32"/>
      <c r="BG26" s="31"/>
      <c r="BH26" s="31"/>
      <c r="BI26" s="32"/>
      <c r="BJ26" s="31"/>
      <c r="BK26" s="31"/>
      <c r="BL26" s="19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&amp;LBanka e Shqiperise
Sektori i Statistikave Monetare dhe Financiare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X56"/>
  <sheetViews>
    <sheetView tabSelected="1"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H29" sqref="BH29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4.8515625" style="0" customWidth="1"/>
    <col min="51" max="52" width="13.28125" style="0" customWidth="1"/>
    <col min="53" max="53" width="4.28125" style="0" customWidth="1"/>
    <col min="54" max="55" width="13.28125" style="0" customWidth="1"/>
    <col min="56" max="56" width="5.421875" style="0" customWidth="1"/>
    <col min="57" max="58" width="13.28125" style="0" customWidth="1"/>
    <col min="59" max="59" width="5.8515625" style="0" customWidth="1"/>
    <col min="60" max="60" width="18.28125" style="0" customWidth="1"/>
    <col min="61" max="61" width="17.421875" style="0" customWidth="1"/>
    <col min="62" max="62" width="6.57421875" style="0" customWidth="1"/>
    <col min="63" max="64" width="13.28125" style="0" customWidth="1"/>
    <col min="65" max="65" width="6.00390625" style="0" customWidth="1"/>
    <col min="66" max="66" width="16.00390625" style="0" customWidth="1"/>
    <col min="67" max="67" width="19.421875" style="0" customWidth="1"/>
  </cols>
  <sheetData>
    <row r="1" spans="1:50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7"/>
      <c r="AW1" s="8"/>
      <c r="AX1" s="8"/>
    </row>
    <row r="2" spans="1:50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7"/>
      <c r="AW2" s="8"/>
      <c r="AX2" s="8"/>
    </row>
    <row r="3" spans="1:50" ht="15.75" customHeight="1">
      <c r="A3" s="5"/>
      <c r="B3" s="3" t="s">
        <v>268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9"/>
      <c r="AW3" s="8"/>
      <c r="AX3" s="8"/>
    </row>
    <row r="4" spans="1:70" ht="15.75" customHeight="1">
      <c r="A4" s="6" t="s">
        <v>2</v>
      </c>
      <c r="B4" s="5"/>
      <c r="C4" s="4" t="s">
        <v>273</v>
      </c>
      <c r="D4" s="4"/>
      <c r="E4" s="10"/>
      <c r="F4" s="4" t="s">
        <v>269</v>
      </c>
      <c r="G4" s="4"/>
      <c r="H4" s="10"/>
      <c r="I4" s="4" t="s">
        <v>270</v>
      </c>
      <c r="J4" s="4"/>
      <c r="K4" s="10"/>
      <c r="L4" s="4" t="s">
        <v>271</v>
      </c>
      <c r="M4" s="4"/>
      <c r="N4" s="10"/>
      <c r="O4" s="4" t="s">
        <v>272</v>
      </c>
      <c r="P4" s="4"/>
      <c r="Q4" s="10"/>
      <c r="R4" s="4" t="s">
        <v>274</v>
      </c>
      <c r="S4" s="4"/>
      <c r="T4" s="10"/>
      <c r="U4" s="4" t="s">
        <v>275</v>
      </c>
      <c r="V4" s="4"/>
      <c r="W4" s="10"/>
      <c r="X4" s="4" t="s">
        <v>276</v>
      </c>
      <c r="Y4" s="4"/>
      <c r="Z4" s="10"/>
      <c r="AA4" s="4" t="s">
        <v>277</v>
      </c>
      <c r="AB4" s="4"/>
      <c r="AC4" s="10"/>
      <c r="AD4" s="4" t="s">
        <v>278</v>
      </c>
      <c r="AE4" s="4"/>
      <c r="AF4" s="10"/>
      <c r="AG4" s="4" t="s">
        <v>279</v>
      </c>
      <c r="AH4" s="4"/>
      <c r="AI4" s="10"/>
      <c r="AJ4" s="4" t="s">
        <v>280</v>
      </c>
      <c r="AK4" s="4"/>
      <c r="AL4" s="10"/>
      <c r="AM4" s="4" t="s">
        <v>281</v>
      </c>
      <c r="AN4" s="4"/>
      <c r="AO4" s="10"/>
      <c r="AP4" s="4" t="s">
        <v>282</v>
      </c>
      <c r="AQ4" s="4"/>
      <c r="AR4" s="10"/>
      <c r="AS4" s="4" t="s">
        <v>283</v>
      </c>
      <c r="AT4" s="4"/>
      <c r="AU4" s="10"/>
      <c r="AV4" s="4" t="s">
        <v>284</v>
      </c>
      <c r="AW4" s="4"/>
      <c r="AX4" s="26"/>
      <c r="AY4" s="4" t="s">
        <v>285</v>
      </c>
      <c r="AZ4" s="4"/>
      <c r="BA4" s="26"/>
      <c r="BB4" s="4" t="s">
        <v>286</v>
      </c>
      <c r="BC4" s="4"/>
      <c r="BD4" s="26"/>
      <c r="BE4" s="4" t="s">
        <v>287</v>
      </c>
      <c r="BF4" s="4"/>
      <c r="BG4" s="26"/>
      <c r="BH4" s="4" t="s">
        <v>3</v>
      </c>
      <c r="BI4" s="4"/>
      <c r="BJ4" s="26"/>
      <c r="BK4" s="4"/>
      <c r="BL4" s="4"/>
      <c r="BM4" s="37"/>
      <c r="BN4" s="4"/>
      <c r="BO4" s="4"/>
      <c r="BP4" s="37"/>
      <c r="BQ4" s="37"/>
      <c r="BR4" s="37"/>
    </row>
    <row r="5" spans="1:70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43"/>
      <c r="BN5" s="26"/>
      <c r="BO5" s="26"/>
      <c r="BP5" s="38"/>
      <c r="BQ5" s="38"/>
      <c r="BR5" s="38"/>
    </row>
    <row r="6" spans="1:70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9"/>
      <c r="BN6" s="11"/>
      <c r="BO6" s="11"/>
      <c r="BP6" s="9"/>
      <c r="BQ6" s="9"/>
      <c r="BR6" s="9"/>
    </row>
    <row r="7" spans="1:70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5</v>
      </c>
      <c r="AW7" s="12" t="s">
        <v>5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/>
      <c r="BL7" s="12"/>
      <c r="BM7" s="39"/>
      <c r="BN7" s="12"/>
      <c r="BO7" s="12"/>
      <c r="BP7" s="39"/>
      <c r="BQ7" s="39"/>
      <c r="BR7" s="39"/>
    </row>
    <row r="8" spans="1:70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8</v>
      </c>
      <c r="AW8" s="12" t="s">
        <v>9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/>
      <c r="BL8" s="12"/>
      <c r="BM8" s="39"/>
      <c r="BN8" s="12"/>
      <c r="BO8" s="12"/>
      <c r="BP8" s="39"/>
      <c r="BQ8" s="39"/>
      <c r="BR8" s="39"/>
    </row>
    <row r="9" spans="1:70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7</v>
      </c>
      <c r="AW9" s="12" t="s">
        <v>11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/>
      <c r="BL9" s="12"/>
      <c r="BM9" s="39"/>
      <c r="BN9" s="12"/>
      <c r="BO9" s="12"/>
      <c r="BP9" s="39"/>
      <c r="BQ9" s="39"/>
      <c r="BR9" s="39"/>
    </row>
    <row r="10" spans="1:70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12" t="s">
        <v>10</v>
      </c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/>
      <c r="BL10" s="12"/>
      <c r="BM10" s="39"/>
      <c r="BN10" s="12"/>
      <c r="BO10" s="12"/>
      <c r="BP10" s="39"/>
      <c r="BQ10" s="39"/>
      <c r="BR10" s="39"/>
    </row>
    <row r="11" spans="1:76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21"/>
      <c r="BN11" s="5"/>
      <c r="BO11" s="5"/>
      <c r="BP11" s="9"/>
      <c r="BQ11" s="9"/>
      <c r="BR11" s="9"/>
      <c r="BS11" s="40"/>
      <c r="BT11" s="40"/>
      <c r="BU11" s="40"/>
      <c r="BV11" s="40"/>
      <c r="BW11" s="40"/>
      <c r="BX11" s="40"/>
    </row>
    <row r="12" spans="1:76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9"/>
      <c r="BN12" s="11"/>
      <c r="BO12" s="11"/>
      <c r="BP12" s="9"/>
      <c r="BQ12" s="9"/>
      <c r="BR12" s="9"/>
      <c r="BS12" s="40"/>
      <c r="BT12" s="40"/>
      <c r="BU12" s="40"/>
      <c r="BV12" s="40"/>
      <c r="BW12" s="40"/>
      <c r="BX12" s="40"/>
    </row>
    <row r="13" spans="1:70" ht="15.75" customHeight="1">
      <c r="A13" s="16">
        <v>1</v>
      </c>
      <c r="B13" s="17" t="s">
        <v>14</v>
      </c>
      <c r="C13" s="27">
        <v>110.43</v>
      </c>
      <c r="D13" s="19">
        <v>74.69</v>
      </c>
      <c r="E13" s="5"/>
      <c r="F13" s="27">
        <v>109.84</v>
      </c>
      <c r="G13" s="19">
        <v>75.17</v>
      </c>
      <c r="H13" s="5"/>
      <c r="I13" s="27">
        <v>110.25</v>
      </c>
      <c r="J13" s="19">
        <v>74.89</v>
      </c>
      <c r="K13" s="5"/>
      <c r="L13" s="27">
        <v>110.78</v>
      </c>
      <c r="M13" s="19">
        <v>74.98</v>
      </c>
      <c r="N13" s="5"/>
      <c r="O13" s="27">
        <v>111.46</v>
      </c>
      <c r="P13" s="19">
        <v>74.33</v>
      </c>
      <c r="Q13" s="5"/>
      <c r="R13" s="27">
        <v>111.71</v>
      </c>
      <c r="S13" s="19">
        <v>73.96</v>
      </c>
      <c r="T13" s="5"/>
      <c r="U13" s="27">
        <v>112.04</v>
      </c>
      <c r="V13" s="19">
        <v>73.56</v>
      </c>
      <c r="W13" s="5"/>
      <c r="X13" s="27">
        <v>111.11</v>
      </c>
      <c r="Y13" s="19">
        <v>74.22</v>
      </c>
      <c r="Z13" s="5"/>
      <c r="AA13" s="27">
        <v>111.75</v>
      </c>
      <c r="AB13" s="19">
        <v>73.73</v>
      </c>
      <c r="AC13" s="5"/>
      <c r="AD13" s="27">
        <v>112.59</v>
      </c>
      <c r="AE13" s="19">
        <v>73.62</v>
      </c>
      <c r="AF13" s="5"/>
      <c r="AG13" s="27">
        <v>113.26</v>
      </c>
      <c r="AH13" s="19">
        <v>74.02</v>
      </c>
      <c r="AI13" s="5"/>
      <c r="AJ13" s="27">
        <v>113.41</v>
      </c>
      <c r="AK13" s="19">
        <v>73.62</v>
      </c>
      <c r="AL13" s="5"/>
      <c r="AM13" s="27">
        <v>112.87</v>
      </c>
      <c r="AN13" s="19">
        <v>74.05</v>
      </c>
      <c r="AO13" s="5"/>
      <c r="AP13" s="27">
        <v>113.26</v>
      </c>
      <c r="AQ13" s="19">
        <v>74</v>
      </c>
      <c r="AR13" s="5"/>
      <c r="AS13" s="27">
        <v>114.15</v>
      </c>
      <c r="AT13" s="19">
        <v>73.2</v>
      </c>
      <c r="AU13" s="5"/>
      <c r="AV13" s="27">
        <v>114.18</v>
      </c>
      <c r="AW13" s="19">
        <v>73.15</v>
      </c>
      <c r="AX13" s="5"/>
      <c r="AY13" s="27">
        <v>114.31</v>
      </c>
      <c r="AZ13" s="19">
        <v>72.97</v>
      </c>
      <c r="BA13" s="5"/>
      <c r="BB13" s="27">
        <v>113.12</v>
      </c>
      <c r="BC13" s="19">
        <v>73.5</v>
      </c>
      <c r="BD13" s="5"/>
      <c r="BE13" s="27">
        <v>111.99</v>
      </c>
      <c r="BF13" s="19">
        <v>74.01</v>
      </c>
      <c r="BG13" s="5"/>
      <c r="BH13" s="27">
        <v>112.23736842105262</v>
      </c>
      <c r="BI13" s="19">
        <v>73.98263157894738</v>
      </c>
      <c r="BJ13" s="5"/>
      <c r="BK13" s="27"/>
      <c r="BL13" s="19"/>
      <c r="BM13" s="32"/>
      <c r="BN13" s="27"/>
      <c r="BO13" s="19"/>
      <c r="BP13" s="32"/>
      <c r="BQ13" s="31"/>
      <c r="BR13" s="32"/>
    </row>
    <row r="14" spans="1:70" ht="15.75" customHeight="1">
      <c r="A14" s="16">
        <v>2</v>
      </c>
      <c r="B14" s="17" t="s">
        <v>15</v>
      </c>
      <c r="C14" s="27">
        <f>1/2.0615</f>
        <v>0.4850836769342711</v>
      </c>
      <c r="D14" s="19">
        <v>170.02</v>
      </c>
      <c r="E14" s="5"/>
      <c r="F14" s="27">
        <f>1/2.0595</f>
        <v>0.4855547462976451</v>
      </c>
      <c r="G14" s="19">
        <v>170.06</v>
      </c>
      <c r="H14" s="5"/>
      <c r="I14" s="27">
        <f>1/2.0394</f>
        <v>0.49034029616553887</v>
      </c>
      <c r="J14" s="19">
        <v>168.38</v>
      </c>
      <c r="K14" s="5"/>
      <c r="L14" s="27">
        <f>1/2.0295</f>
        <v>0.4927322000492732</v>
      </c>
      <c r="M14" s="19">
        <v>168.58</v>
      </c>
      <c r="N14" s="5"/>
      <c r="O14" s="27">
        <f>1/2.0337</f>
        <v>0.49171460884102863</v>
      </c>
      <c r="P14" s="19">
        <v>168.5</v>
      </c>
      <c r="Q14" s="5"/>
      <c r="R14" s="27">
        <f>1/2.0413</f>
        <v>0.48988389751628864</v>
      </c>
      <c r="S14" s="19">
        <v>168.65</v>
      </c>
      <c r="T14" s="5"/>
      <c r="U14" s="27">
        <f>1/2.0485</f>
        <v>0.4881620698071759</v>
      </c>
      <c r="V14" s="19">
        <v>168.83</v>
      </c>
      <c r="W14" s="5"/>
      <c r="X14" s="27">
        <f>1/2.0433</f>
        <v>0.4894043948514658</v>
      </c>
      <c r="Y14" s="19">
        <v>168.51</v>
      </c>
      <c r="Z14" s="5"/>
      <c r="AA14" s="27">
        <f>1/2.0418</f>
        <v>0.4897639337839162</v>
      </c>
      <c r="AB14" s="19">
        <v>168.23</v>
      </c>
      <c r="AC14" s="5"/>
      <c r="AD14" s="27">
        <f>1/2.0303</f>
        <v>0.4925380485642516</v>
      </c>
      <c r="AE14" s="19">
        <v>168.28</v>
      </c>
      <c r="AF14" s="5"/>
      <c r="AG14" s="27">
        <f>1/2.0123</f>
        <v>0.49694379565671115</v>
      </c>
      <c r="AH14" s="19">
        <v>168.7</v>
      </c>
      <c r="AI14" s="5"/>
      <c r="AJ14" s="27">
        <f>1/2.0122</f>
        <v>0.4969684921975947</v>
      </c>
      <c r="AK14" s="19">
        <v>168</v>
      </c>
      <c r="AL14" s="5"/>
      <c r="AM14" s="27">
        <f>1/2.0069</f>
        <v>0.4982809307887787</v>
      </c>
      <c r="AN14" s="19">
        <v>167.73</v>
      </c>
      <c r="AO14" s="5"/>
      <c r="AP14" s="27">
        <f>1/1.9838</f>
        <v>0.5040830728904123</v>
      </c>
      <c r="AQ14" s="19">
        <v>166.26</v>
      </c>
      <c r="AR14" s="5"/>
      <c r="AS14" s="27">
        <f>1/1.9803</f>
        <v>0.5049739938393173</v>
      </c>
      <c r="AT14" s="19">
        <v>165.47</v>
      </c>
      <c r="AU14" s="5"/>
      <c r="AV14" s="27">
        <f>1/1.9815</f>
        <v>0.5046681806712087</v>
      </c>
      <c r="AW14" s="19">
        <v>165.49</v>
      </c>
      <c r="AX14" s="5"/>
      <c r="AY14" s="27">
        <f>1/1.9901</f>
        <v>0.502487312195367</v>
      </c>
      <c r="AZ14" s="19">
        <v>165.99</v>
      </c>
      <c r="BA14" s="5"/>
      <c r="BB14" s="27">
        <f>1/1.9998</f>
        <v>0.5000500050005</v>
      </c>
      <c r="BC14" s="19">
        <v>166.26</v>
      </c>
      <c r="BD14" s="5"/>
      <c r="BE14" s="27">
        <f>1/2.0029</f>
        <v>0.4992760497278946</v>
      </c>
      <c r="BF14" s="19">
        <v>166.02</v>
      </c>
      <c r="BG14" s="5"/>
      <c r="BH14" s="27">
        <v>0.49488998451466526</v>
      </c>
      <c r="BI14" s="19">
        <v>167.7873684210526</v>
      </c>
      <c r="BJ14" s="5"/>
      <c r="BK14" s="27"/>
      <c r="BL14" s="19"/>
      <c r="BM14" s="32"/>
      <c r="BN14" s="27"/>
      <c r="BO14" s="19"/>
      <c r="BP14" s="32"/>
      <c r="BQ14" s="31"/>
      <c r="BR14" s="32"/>
    </row>
    <row r="15" spans="1:70" ht="15.75" customHeight="1">
      <c r="A15" s="16">
        <v>3</v>
      </c>
      <c r="B15" s="17" t="s">
        <v>16</v>
      </c>
      <c r="C15" s="27">
        <v>1.1282</v>
      </c>
      <c r="D15" s="19">
        <v>73.1</v>
      </c>
      <c r="E15" s="5"/>
      <c r="F15" s="27">
        <v>1.126</v>
      </c>
      <c r="G15" s="19">
        <v>73.33</v>
      </c>
      <c r="H15" s="5"/>
      <c r="I15" s="27">
        <v>1.1191</v>
      </c>
      <c r="J15" s="19">
        <v>73.78</v>
      </c>
      <c r="K15" s="5"/>
      <c r="L15" s="27">
        <v>1.1305</v>
      </c>
      <c r="M15" s="19">
        <v>73.48</v>
      </c>
      <c r="N15" s="5"/>
      <c r="O15" s="27">
        <v>1.1291</v>
      </c>
      <c r="P15" s="19">
        <v>73.38</v>
      </c>
      <c r="Q15" s="5"/>
      <c r="R15" s="27">
        <v>1.1277</v>
      </c>
      <c r="S15" s="19">
        <v>73.26</v>
      </c>
      <c r="T15" s="5"/>
      <c r="U15" s="27">
        <v>1.1323</v>
      </c>
      <c r="V15" s="19">
        <v>72.79</v>
      </c>
      <c r="W15" s="5"/>
      <c r="X15" s="27">
        <v>1.1309</v>
      </c>
      <c r="Y15" s="19">
        <v>72.92</v>
      </c>
      <c r="Z15" s="5"/>
      <c r="AA15" s="27">
        <v>1.1357</v>
      </c>
      <c r="AB15" s="19">
        <v>72.55</v>
      </c>
      <c r="AC15" s="5"/>
      <c r="AD15" s="27">
        <v>1.1463</v>
      </c>
      <c r="AE15" s="19">
        <v>72.31</v>
      </c>
      <c r="AF15" s="5"/>
      <c r="AG15" s="27">
        <v>1.1558</v>
      </c>
      <c r="AH15" s="19">
        <v>72.53</v>
      </c>
      <c r="AI15" s="5"/>
      <c r="AJ15" s="27">
        <v>1.1517</v>
      </c>
      <c r="AK15" s="19">
        <v>72.49</v>
      </c>
      <c r="AL15" s="5"/>
      <c r="AM15" s="27">
        <v>1.153</v>
      </c>
      <c r="AN15" s="19">
        <v>72.48</v>
      </c>
      <c r="AO15" s="5"/>
      <c r="AP15" s="27">
        <v>1.1553</v>
      </c>
      <c r="AQ15" s="19">
        <v>72.54</v>
      </c>
      <c r="AR15" s="5"/>
      <c r="AS15" s="27">
        <v>1.1561</v>
      </c>
      <c r="AT15" s="19">
        <v>72.28</v>
      </c>
      <c r="AU15" s="5"/>
      <c r="AV15" s="27">
        <v>1.1538</v>
      </c>
      <c r="AW15" s="19">
        <v>72.39</v>
      </c>
      <c r="AX15" s="5"/>
      <c r="AY15" s="27">
        <v>1.1502</v>
      </c>
      <c r="AZ15" s="19">
        <v>72.52</v>
      </c>
      <c r="BA15" s="5"/>
      <c r="BB15" s="27">
        <v>1.1307</v>
      </c>
      <c r="BC15" s="19">
        <v>73.53</v>
      </c>
      <c r="BD15" s="5"/>
      <c r="BE15" s="27">
        <v>1.1254</v>
      </c>
      <c r="BF15" s="19">
        <v>73.65</v>
      </c>
      <c r="BG15" s="5"/>
      <c r="BH15" s="27">
        <v>1.1388315789473686</v>
      </c>
      <c r="BI15" s="19">
        <v>72.91105263157894</v>
      </c>
      <c r="BJ15" s="5"/>
      <c r="BK15" s="27"/>
      <c r="BL15" s="19"/>
      <c r="BM15" s="32"/>
      <c r="BN15" s="27"/>
      <c r="BO15" s="19"/>
      <c r="BP15" s="32"/>
      <c r="BQ15" s="31"/>
      <c r="BR15" s="32"/>
    </row>
    <row r="16" spans="1:70" ht="15.75" customHeight="1">
      <c r="A16" s="16">
        <v>4</v>
      </c>
      <c r="B16" s="17" t="s">
        <v>17</v>
      </c>
      <c r="C16" s="27">
        <f>1/1.4649</f>
        <v>0.682640453273261</v>
      </c>
      <c r="D16" s="19">
        <v>120.9</v>
      </c>
      <c r="E16" s="5"/>
      <c r="F16" s="27">
        <f>1/1.4657</f>
        <v>0.6822678583611926</v>
      </c>
      <c r="G16" s="19">
        <v>121.06</v>
      </c>
      <c r="H16" s="5"/>
      <c r="I16" s="27">
        <f>1/1.4723</f>
        <v>0.6792094002580996</v>
      </c>
      <c r="J16" s="19">
        <v>121.56</v>
      </c>
      <c r="K16" s="5"/>
      <c r="L16" s="27">
        <f>1/1.4573</f>
        <v>0.6862005077883757</v>
      </c>
      <c r="M16" s="19">
        <v>121.27</v>
      </c>
      <c r="N16" s="5"/>
      <c r="O16" s="27">
        <f>1/1.4639</f>
        <v>0.6831067695880866</v>
      </c>
      <c r="P16" s="19">
        <v>121.2</v>
      </c>
      <c r="Q16" s="5"/>
      <c r="R16" s="27">
        <f>1/1.4672</f>
        <v>0.6815703380588877</v>
      </c>
      <c r="S16" s="19">
        <v>121.14</v>
      </c>
      <c r="T16" s="5"/>
      <c r="U16" s="27">
        <f>1/1.469</f>
        <v>0.6807351940095303</v>
      </c>
      <c r="V16" s="19">
        <v>121.11</v>
      </c>
      <c r="W16" s="5"/>
      <c r="X16" s="27">
        <f>1/1.4695</f>
        <v>0.6805035726437564</v>
      </c>
      <c r="Y16" s="19">
        <v>121.11</v>
      </c>
      <c r="Z16" s="5"/>
      <c r="AA16" s="27">
        <f>1/1.4691</f>
        <v>0.6806888571234089</v>
      </c>
      <c r="AB16" s="19">
        <v>121.03</v>
      </c>
      <c r="AC16" s="5"/>
      <c r="AD16" s="27">
        <f>1/1.4545</f>
        <v>0.6875214850464078</v>
      </c>
      <c r="AE16" s="19">
        <v>120.73</v>
      </c>
      <c r="AF16" s="5"/>
      <c r="AG16" s="27">
        <f>1/1.4341</f>
        <v>0.6973014434139879</v>
      </c>
      <c r="AH16" s="19">
        <v>120.27</v>
      </c>
      <c r="AI16" s="5"/>
      <c r="AJ16" s="27">
        <f>1/1.439</f>
        <v>0.6949270326615705</v>
      </c>
      <c r="AK16" s="19">
        <v>120.18</v>
      </c>
      <c r="AL16" s="5"/>
      <c r="AM16" s="27">
        <f>1/1.4392</f>
        <v>0.6948304613674263</v>
      </c>
      <c r="AN16" s="19">
        <v>120.31</v>
      </c>
      <c r="AO16" s="5"/>
      <c r="AP16" s="27">
        <f>1/1.4367</f>
        <v>0.6960395350455906</v>
      </c>
      <c r="AQ16" s="19">
        <v>120.4</v>
      </c>
      <c r="AR16" s="5"/>
      <c r="AS16" s="27">
        <f>1/1.4389</f>
        <v>0.6949753283758426</v>
      </c>
      <c r="AT16" s="19">
        <v>120.23</v>
      </c>
      <c r="AU16" s="5"/>
      <c r="AV16" s="27">
        <f>1/1.4437</f>
        <v>0.6926646810279143</v>
      </c>
      <c r="AW16" s="19">
        <v>120.41</v>
      </c>
      <c r="AX16" s="5"/>
      <c r="AY16" s="27">
        <f>1/1.4494</f>
        <v>0.6899406651028012</v>
      </c>
      <c r="AZ16" s="19">
        <v>120.76</v>
      </c>
      <c r="BA16" s="5"/>
      <c r="BB16" s="27">
        <f>1/1.4693</f>
        <v>0.6805962022731913</v>
      </c>
      <c r="BC16" s="19">
        <v>121.86</v>
      </c>
      <c r="BD16" s="5"/>
      <c r="BE16" s="27">
        <f>1/1.4709</f>
        <v>0.6798558705554422</v>
      </c>
      <c r="BF16" s="19">
        <v>121.78</v>
      </c>
      <c r="BG16" s="5"/>
      <c r="BH16" s="27">
        <v>0.6866092450513039</v>
      </c>
      <c r="BI16" s="19">
        <v>120.911052631579</v>
      </c>
      <c r="BJ16" s="5"/>
      <c r="BK16" s="27"/>
      <c r="BL16" s="19"/>
      <c r="BM16" s="32"/>
      <c r="BN16" s="27"/>
      <c r="BO16" s="19"/>
      <c r="BP16" s="32"/>
      <c r="BQ16" s="31"/>
      <c r="BR16" s="32"/>
    </row>
    <row r="17" spans="1:70" ht="15.75" customHeight="1">
      <c r="A17" s="16">
        <v>5</v>
      </c>
      <c r="B17" s="17" t="s">
        <v>18</v>
      </c>
      <c r="C17" s="27">
        <v>783.6</v>
      </c>
      <c r="D17" s="19">
        <v>64627.9</v>
      </c>
      <c r="E17" s="5"/>
      <c r="F17" s="27">
        <v>790</v>
      </c>
      <c r="G17" s="19">
        <v>65231.78</v>
      </c>
      <c r="H17" s="5"/>
      <c r="I17" s="27">
        <v>803.1</v>
      </c>
      <c r="J17" s="19">
        <v>66307.95</v>
      </c>
      <c r="K17" s="5"/>
      <c r="L17" s="27">
        <v>790</v>
      </c>
      <c r="M17" s="19">
        <v>65622.83</v>
      </c>
      <c r="N17" s="5"/>
      <c r="O17" s="27">
        <v>799.15</v>
      </c>
      <c r="P17" s="19">
        <v>66211.58</v>
      </c>
      <c r="Q17" s="5"/>
      <c r="R17" s="27">
        <v>799.85</v>
      </c>
      <c r="S17" s="19">
        <v>66083.61</v>
      </c>
      <c r="T17" s="5"/>
      <c r="U17" s="27">
        <v>806.55</v>
      </c>
      <c r="V17" s="19">
        <v>66472.32</v>
      </c>
      <c r="W17" s="5"/>
      <c r="X17" s="27">
        <v>806.2</v>
      </c>
      <c r="Y17" s="19">
        <v>66485.8</v>
      </c>
      <c r="Z17" s="5"/>
      <c r="AA17" s="27">
        <v>808.7</v>
      </c>
      <c r="AB17" s="19">
        <v>66630.31</v>
      </c>
      <c r="AC17" s="5"/>
      <c r="AD17" s="27">
        <v>796</v>
      </c>
      <c r="AE17" s="19">
        <v>65976.96</v>
      </c>
      <c r="AF17" s="5"/>
      <c r="AG17" s="27">
        <v>786.3</v>
      </c>
      <c r="AH17" s="19">
        <v>65917.49</v>
      </c>
      <c r="AI17" s="5"/>
      <c r="AJ17" s="27">
        <v>796.1</v>
      </c>
      <c r="AK17" s="19">
        <v>66465.39</v>
      </c>
      <c r="AL17" s="5"/>
      <c r="AM17" s="27">
        <v>801.3</v>
      </c>
      <c r="AN17" s="19">
        <v>66968.65</v>
      </c>
      <c r="AO17" s="5"/>
      <c r="AP17" s="27">
        <v>802.7</v>
      </c>
      <c r="AQ17" s="19">
        <v>67273.79</v>
      </c>
      <c r="AR17" s="5"/>
      <c r="AS17" s="27">
        <v>810.5</v>
      </c>
      <c r="AT17" s="19">
        <v>67725.38</v>
      </c>
      <c r="AU17" s="5"/>
      <c r="AV17" s="27">
        <v>813.5</v>
      </c>
      <c r="AW17" s="19">
        <v>67943.01</v>
      </c>
      <c r="AX17" s="5"/>
      <c r="AY17" s="27">
        <v>823.8</v>
      </c>
      <c r="AZ17" s="19">
        <v>68713.16</v>
      </c>
      <c r="BA17" s="5"/>
      <c r="BB17" s="27">
        <v>828.3</v>
      </c>
      <c r="BC17" s="19">
        <v>68865.38</v>
      </c>
      <c r="BD17" s="5"/>
      <c r="BE17" s="27">
        <v>836.95</v>
      </c>
      <c r="BF17" s="19">
        <v>69372.69</v>
      </c>
      <c r="BG17" s="5"/>
      <c r="BH17" s="27">
        <v>804.3473684210526</v>
      </c>
      <c r="BI17" s="19">
        <v>66783.99894736843</v>
      </c>
      <c r="BJ17" s="5"/>
      <c r="BK17" s="27"/>
      <c r="BL17" s="19"/>
      <c r="BM17" s="32"/>
      <c r="BN17" s="27"/>
      <c r="BO17" s="19"/>
      <c r="BP17" s="32"/>
      <c r="BQ17" s="31"/>
      <c r="BR17" s="32"/>
    </row>
    <row r="18" spans="1:70" ht="15.75" customHeight="1">
      <c r="A18" s="16">
        <v>6</v>
      </c>
      <c r="B18" s="20" t="s">
        <v>19</v>
      </c>
      <c r="C18" s="27">
        <v>13.89</v>
      </c>
      <c r="D18" s="19">
        <v>1145.59</v>
      </c>
      <c r="E18" s="5"/>
      <c r="F18" s="27">
        <v>14.08</v>
      </c>
      <c r="G18" s="19">
        <v>1162.61</v>
      </c>
      <c r="H18" s="5"/>
      <c r="I18" s="27">
        <v>14.3</v>
      </c>
      <c r="J18" s="19">
        <v>1180.68</v>
      </c>
      <c r="K18" s="5"/>
      <c r="L18" s="27">
        <v>14.16</v>
      </c>
      <c r="M18" s="19">
        <v>1176.23</v>
      </c>
      <c r="N18" s="5"/>
      <c r="O18" s="27">
        <v>14.44</v>
      </c>
      <c r="P18" s="19">
        <v>1196.39</v>
      </c>
      <c r="Q18" s="5"/>
      <c r="R18" s="27">
        <v>14.39</v>
      </c>
      <c r="S18" s="19">
        <v>1188.9</v>
      </c>
      <c r="T18" s="5"/>
      <c r="U18" s="27">
        <v>14.63</v>
      </c>
      <c r="V18" s="19">
        <v>1205.74</v>
      </c>
      <c r="W18" s="5"/>
      <c r="X18" s="27">
        <v>14.56</v>
      </c>
      <c r="Y18" s="19">
        <v>1200.74</v>
      </c>
      <c r="Z18" s="5"/>
      <c r="AA18" s="27">
        <v>14.59</v>
      </c>
      <c r="AB18" s="19">
        <v>1202.1</v>
      </c>
      <c r="AC18" s="5"/>
      <c r="AD18" s="27">
        <v>14.04</v>
      </c>
      <c r="AE18" s="19">
        <v>1163.71</v>
      </c>
      <c r="AF18" s="5"/>
      <c r="AG18" s="27">
        <v>13.62</v>
      </c>
      <c r="AH18" s="19">
        <v>1141.8</v>
      </c>
      <c r="AI18" s="5"/>
      <c r="AJ18" s="27">
        <v>13.94</v>
      </c>
      <c r="AK18" s="19">
        <v>1163.83</v>
      </c>
      <c r="AL18" s="5"/>
      <c r="AM18" s="27">
        <v>13.95</v>
      </c>
      <c r="AN18" s="19">
        <v>1165.87</v>
      </c>
      <c r="AO18" s="5"/>
      <c r="AP18" s="27">
        <v>14.29</v>
      </c>
      <c r="AQ18" s="19">
        <v>1197.64</v>
      </c>
      <c r="AR18" s="5"/>
      <c r="AS18" s="27">
        <v>14.38</v>
      </c>
      <c r="AT18" s="19">
        <v>1201.59</v>
      </c>
      <c r="AU18" s="5"/>
      <c r="AV18" s="27">
        <v>14.52</v>
      </c>
      <c r="AW18" s="19">
        <v>1212.7</v>
      </c>
      <c r="AX18" s="5"/>
      <c r="AY18" s="27">
        <v>14.65</v>
      </c>
      <c r="AZ18" s="19">
        <v>1221.96</v>
      </c>
      <c r="BA18" s="5"/>
      <c r="BB18" s="27">
        <v>14.68</v>
      </c>
      <c r="BC18" s="19">
        <v>1220.5</v>
      </c>
      <c r="BD18" s="5"/>
      <c r="BE18" s="27">
        <v>14.77</v>
      </c>
      <c r="BF18" s="19">
        <v>1224.25</v>
      </c>
      <c r="BG18" s="5"/>
      <c r="BH18" s="27">
        <v>14.309473684210523</v>
      </c>
      <c r="BI18" s="19">
        <v>1188.0436842105264</v>
      </c>
      <c r="BJ18" s="5"/>
      <c r="BK18" s="27"/>
      <c r="BL18" s="19"/>
      <c r="BM18" s="32"/>
      <c r="BN18" s="27"/>
      <c r="BO18" s="19"/>
      <c r="BP18" s="32"/>
      <c r="BQ18" s="31"/>
      <c r="BR18" s="32"/>
    </row>
    <row r="19" spans="1:70" ht="15.75" customHeight="1">
      <c r="A19" s="16">
        <v>7</v>
      </c>
      <c r="B19" s="17" t="s">
        <v>20</v>
      </c>
      <c r="C19" s="27">
        <f>1/0.8825</f>
        <v>1.13314447592068</v>
      </c>
      <c r="D19" s="19">
        <v>72.78</v>
      </c>
      <c r="E19" s="5"/>
      <c r="F19" s="27">
        <f>1/0.8737</f>
        <v>1.1445576284765937</v>
      </c>
      <c r="G19" s="19">
        <v>72.14</v>
      </c>
      <c r="H19" s="5"/>
      <c r="I19" s="27">
        <f>1/0.8678</f>
        <v>1.1523392486748099</v>
      </c>
      <c r="J19" s="19">
        <v>71.65</v>
      </c>
      <c r="K19" s="5"/>
      <c r="L19" s="27">
        <f>1/0.8713</f>
        <v>1.1477103179157582</v>
      </c>
      <c r="M19" s="19">
        <v>72.38</v>
      </c>
      <c r="N19" s="5"/>
      <c r="O19" s="27">
        <f>1/0.875</f>
        <v>1.1428571428571428</v>
      </c>
      <c r="P19" s="19">
        <v>72.5</v>
      </c>
      <c r="Q19" s="5"/>
      <c r="R19" s="27">
        <f>1/0.8803</f>
        <v>1.1359763716914688</v>
      </c>
      <c r="S19" s="19">
        <v>72.73</v>
      </c>
      <c r="T19" s="5"/>
      <c r="U19" s="27">
        <f>1/0.8851</f>
        <v>1.1298158400180771</v>
      </c>
      <c r="V19" s="19">
        <v>72.95</v>
      </c>
      <c r="W19" s="5"/>
      <c r="X19" s="27">
        <f>1/0.8815</f>
        <v>1.1344299489506524</v>
      </c>
      <c r="Y19" s="19">
        <v>72.7</v>
      </c>
      <c r="Z19" s="5"/>
      <c r="AA19" s="27">
        <f>1/0.8796</f>
        <v>1.1368804001819008</v>
      </c>
      <c r="AB19" s="19">
        <v>72.47</v>
      </c>
      <c r="AC19" s="5"/>
      <c r="AD19" s="27">
        <f>1/0.8718</f>
        <v>1.1470520761642578</v>
      </c>
      <c r="AE19" s="19">
        <v>72.26</v>
      </c>
      <c r="AF19" s="5"/>
      <c r="AG19" s="27">
        <f>1/0.8562</f>
        <v>1.16795141322121</v>
      </c>
      <c r="AH19" s="19">
        <v>71.78</v>
      </c>
      <c r="AI19" s="5"/>
      <c r="AJ19" s="27">
        <f>1/0.8598</f>
        <v>1.1630611770179111</v>
      </c>
      <c r="AK19" s="19">
        <v>71.78</v>
      </c>
      <c r="AL19" s="5"/>
      <c r="AM19" s="27">
        <f>1/0.861</f>
        <v>1.1614401858304297</v>
      </c>
      <c r="AN19" s="19">
        <v>71.96</v>
      </c>
      <c r="AO19" s="5"/>
      <c r="AP19" s="27">
        <f>1/0.8652</f>
        <v>1.155802126675913</v>
      </c>
      <c r="AQ19" s="19">
        <v>72.51</v>
      </c>
      <c r="AR19" s="5"/>
      <c r="AS19" s="27">
        <f>1/0.8711</f>
        <v>1.1479738261967627</v>
      </c>
      <c r="AT19" s="19">
        <v>72.79</v>
      </c>
      <c r="AU19" s="5"/>
      <c r="AV19" s="27">
        <f>1/0.8721</f>
        <v>1.1466574934067195</v>
      </c>
      <c r="AW19" s="19">
        <v>72.84</v>
      </c>
      <c r="AX19" s="18"/>
      <c r="AY19" s="27">
        <f>1/0.8722</f>
        <v>1.1465260261407935</v>
      </c>
      <c r="AZ19" s="19">
        <v>72.75</v>
      </c>
      <c r="BA19" s="18"/>
      <c r="BB19" s="27">
        <f>1/0.8758</f>
        <v>1.1418131993605847</v>
      </c>
      <c r="BC19" s="19">
        <v>72.81</v>
      </c>
      <c r="BD19" s="18"/>
      <c r="BE19" s="27">
        <f>1/0.8783</f>
        <v>1.1385631333257429</v>
      </c>
      <c r="BF19" s="19">
        <v>72.8</v>
      </c>
      <c r="BG19" s="18"/>
      <c r="BH19" s="27">
        <v>1.146029054317232</v>
      </c>
      <c r="BI19" s="19">
        <v>72.45157894736842</v>
      </c>
      <c r="BJ19" s="18"/>
      <c r="BK19" s="27"/>
      <c r="BL19" s="19"/>
      <c r="BM19" s="32"/>
      <c r="BN19" s="27"/>
      <c r="BO19" s="19"/>
      <c r="BP19" s="32"/>
      <c r="BQ19" s="31"/>
      <c r="BR19" s="32"/>
    </row>
    <row r="20" spans="1:70" ht="15.75" customHeight="1">
      <c r="A20" s="16">
        <v>8</v>
      </c>
      <c r="B20" s="17" t="s">
        <v>21</v>
      </c>
      <c r="C20" s="27">
        <v>1.0022</v>
      </c>
      <c r="D20" s="19">
        <v>82.29</v>
      </c>
      <c r="E20" s="5"/>
      <c r="F20" s="27">
        <v>1.003</v>
      </c>
      <c r="G20" s="19">
        <v>82.32</v>
      </c>
      <c r="H20" s="5"/>
      <c r="I20" s="27">
        <v>1.0192</v>
      </c>
      <c r="J20" s="19">
        <v>81.01</v>
      </c>
      <c r="K20" s="5"/>
      <c r="L20" s="27">
        <v>1.0146</v>
      </c>
      <c r="M20" s="19">
        <v>81.87</v>
      </c>
      <c r="N20" s="5"/>
      <c r="O20" s="27">
        <v>1.0137</v>
      </c>
      <c r="P20" s="19">
        <v>81.73</v>
      </c>
      <c r="Q20" s="5"/>
      <c r="R20" s="27">
        <v>1.0036</v>
      </c>
      <c r="S20" s="19">
        <v>82.32</v>
      </c>
      <c r="T20" s="5"/>
      <c r="U20" s="27">
        <v>1.0081</v>
      </c>
      <c r="V20" s="19">
        <v>81.75</v>
      </c>
      <c r="W20" s="5"/>
      <c r="X20" s="27">
        <v>1.0101</v>
      </c>
      <c r="Y20" s="19">
        <v>81.64</v>
      </c>
      <c r="Z20" s="5"/>
      <c r="AA20" s="27">
        <v>1.0111</v>
      </c>
      <c r="AB20" s="19">
        <v>81.49</v>
      </c>
      <c r="AC20" s="5"/>
      <c r="AD20" s="27">
        <v>1.0184</v>
      </c>
      <c r="AE20" s="19">
        <v>81.39</v>
      </c>
      <c r="AF20" s="5"/>
      <c r="AG20" s="27">
        <v>1.0206</v>
      </c>
      <c r="AH20" s="19">
        <v>82.14</v>
      </c>
      <c r="AI20" s="5"/>
      <c r="AJ20" s="27">
        <v>1.01</v>
      </c>
      <c r="AK20" s="19">
        <v>82.66</v>
      </c>
      <c r="AL20" s="5"/>
      <c r="AM20" s="27">
        <v>1.0082</v>
      </c>
      <c r="AN20" s="19">
        <v>82.9</v>
      </c>
      <c r="AO20" s="5"/>
      <c r="AP20" s="27">
        <v>0.9957</v>
      </c>
      <c r="AQ20" s="19">
        <v>84.17</v>
      </c>
      <c r="AR20" s="5"/>
      <c r="AS20" s="27">
        <v>0.9908</v>
      </c>
      <c r="AT20" s="19">
        <v>84.34</v>
      </c>
      <c r="AU20" s="5"/>
      <c r="AV20" s="27">
        <v>0.9857</v>
      </c>
      <c r="AW20" s="19">
        <v>84.73</v>
      </c>
      <c r="AX20" s="5"/>
      <c r="AY20" s="27">
        <v>0.9832</v>
      </c>
      <c r="AZ20" s="19">
        <v>84.84</v>
      </c>
      <c r="BA20" s="5"/>
      <c r="BB20" s="27">
        <v>0.979</v>
      </c>
      <c r="BC20" s="19">
        <v>84.92</v>
      </c>
      <c r="BD20" s="5"/>
      <c r="BE20" s="27">
        <v>0.9815</v>
      </c>
      <c r="BF20" s="19">
        <v>84.45</v>
      </c>
      <c r="BG20" s="5"/>
      <c r="BH20" s="27">
        <v>1.0030894736842106</v>
      </c>
      <c r="BI20" s="19">
        <v>82.78736842105263</v>
      </c>
      <c r="BJ20" s="5"/>
      <c r="BK20" s="27"/>
      <c r="BL20" s="19"/>
      <c r="BM20" s="32"/>
      <c r="BN20" s="27"/>
      <c r="BO20" s="19"/>
      <c r="BP20" s="32"/>
      <c r="BQ20" s="31"/>
      <c r="BR20" s="32"/>
    </row>
    <row r="21" spans="1:70" ht="15.75" customHeight="1">
      <c r="A21" s="16">
        <v>9</v>
      </c>
      <c r="B21" s="17" t="s">
        <v>22</v>
      </c>
      <c r="C21" s="27">
        <v>6.3832</v>
      </c>
      <c r="D21" s="19">
        <v>12.92</v>
      </c>
      <c r="E21" s="5"/>
      <c r="F21" s="27">
        <v>6.4304</v>
      </c>
      <c r="G21" s="19">
        <v>12.84</v>
      </c>
      <c r="H21" s="5"/>
      <c r="I21" s="27">
        <v>6.3802</v>
      </c>
      <c r="J21" s="19">
        <v>12.94</v>
      </c>
      <c r="K21" s="5"/>
      <c r="L21" s="27">
        <v>6.448</v>
      </c>
      <c r="M21" s="19">
        <v>12.88</v>
      </c>
      <c r="N21" s="5"/>
      <c r="O21" s="27">
        <v>6.4216</v>
      </c>
      <c r="P21" s="19">
        <v>12.9</v>
      </c>
      <c r="Q21" s="5"/>
      <c r="R21" s="27">
        <v>6.4231</v>
      </c>
      <c r="S21" s="19">
        <v>12.86</v>
      </c>
      <c r="T21" s="5"/>
      <c r="U21" s="27">
        <v>6.3942</v>
      </c>
      <c r="V21" s="19">
        <v>12.89</v>
      </c>
      <c r="W21" s="5"/>
      <c r="X21" s="27">
        <v>6.4226</v>
      </c>
      <c r="Y21" s="19">
        <v>12.84</v>
      </c>
      <c r="Z21" s="5"/>
      <c r="AA21" s="27">
        <v>6.4235</v>
      </c>
      <c r="AB21" s="19">
        <v>12.83</v>
      </c>
      <c r="AC21" s="5"/>
      <c r="AD21" s="27">
        <v>6.4861</v>
      </c>
      <c r="AE21" s="19">
        <v>12.78</v>
      </c>
      <c r="AF21" s="5"/>
      <c r="AG21" s="27">
        <v>6.5729</v>
      </c>
      <c r="AH21" s="19">
        <v>12.75</v>
      </c>
      <c r="AI21" s="5"/>
      <c r="AJ21" s="27">
        <v>6.5525</v>
      </c>
      <c r="AK21" s="19">
        <v>12.74</v>
      </c>
      <c r="AL21" s="5"/>
      <c r="AM21" s="27">
        <v>6.5806</v>
      </c>
      <c r="AN21" s="19">
        <v>12.7</v>
      </c>
      <c r="AO21" s="5"/>
      <c r="AP21" s="27">
        <v>6.5644</v>
      </c>
      <c r="AQ21" s="19">
        <v>12.77</v>
      </c>
      <c r="AR21" s="5"/>
      <c r="AS21" s="27">
        <v>6.5757</v>
      </c>
      <c r="AT21" s="19">
        <v>12.71</v>
      </c>
      <c r="AU21" s="5"/>
      <c r="AV21" s="27">
        <v>6.5696</v>
      </c>
      <c r="AW21" s="19">
        <v>12.71</v>
      </c>
      <c r="AX21" s="5"/>
      <c r="AY21" s="27">
        <v>6.5184</v>
      </c>
      <c r="AZ21" s="19">
        <v>12.8</v>
      </c>
      <c r="BA21" s="5"/>
      <c r="BB21" s="27">
        <v>6.4336</v>
      </c>
      <c r="BC21" s="19">
        <v>12.92</v>
      </c>
      <c r="BD21" s="5"/>
      <c r="BE21" s="27">
        <v>6.3976</v>
      </c>
      <c r="BF21" s="19">
        <v>12.96</v>
      </c>
      <c r="BG21" s="5"/>
      <c r="BH21" s="27">
        <v>6.472536842105263</v>
      </c>
      <c r="BI21" s="19">
        <v>12.828421052631581</v>
      </c>
      <c r="BJ21" s="5"/>
      <c r="BK21" s="27"/>
      <c r="BL21" s="19"/>
      <c r="BM21" s="32"/>
      <c r="BN21" s="27"/>
      <c r="BO21" s="19"/>
      <c r="BP21" s="32"/>
      <c r="BQ21" s="31"/>
      <c r="BR21" s="32"/>
    </row>
    <row r="22" spans="1:70" ht="15.75" customHeight="1">
      <c r="A22" s="16">
        <v>10</v>
      </c>
      <c r="B22" s="17" t="s">
        <v>23</v>
      </c>
      <c r="C22" s="27">
        <v>5.5334</v>
      </c>
      <c r="D22" s="19">
        <v>14.91</v>
      </c>
      <c r="E22" s="5"/>
      <c r="F22" s="27">
        <v>5.537</v>
      </c>
      <c r="G22" s="19">
        <v>14.91</v>
      </c>
      <c r="H22" s="5"/>
      <c r="I22" s="27">
        <v>5.4821</v>
      </c>
      <c r="J22" s="19">
        <v>15.06</v>
      </c>
      <c r="K22" s="5"/>
      <c r="L22" s="27">
        <v>5.5141</v>
      </c>
      <c r="M22" s="19">
        <v>15.06</v>
      </c>
      <c r="N22" s="5"/>
      <c r="O22" s="27">
        <v>5.4786</v>
      </c>
      <c r="P22" s="19">
        <v>15.12</v>
      </c>
      <c r="Q22" s="5"/>
      <c r="R22" s="27">
        <v>5.4468</v>
      </c>
      <c r="S22" s="19">
        <v>15.17</v>
      </c>
      <c r="T22" s="5"/>
      <c r="U22" s="27">
        <v>5.4551</v>
      </c>
      <c r="V22" s="19">
        <v>15.11</v>
      </c>
      <c r="W22" s="5"/>
      <c r="X22" s="27">
        <v>5.4357</v>
      </c>
      <c r="Y22" s="19">
        <v>15.17</v>
      </c>
      <c r="Z22" s="5"/>
      <c r="AA22" s="27">
        <v>5.4036</v>
      </c>
      <c r="AB22" s="19">
        <v>15.25</v>
      </c>
      <c r="AC22" s="5"/>
      <c r="AD22" s="27">
        <v>5.4648</v>
      </c>
      <c r="AE22" s="19">
        <v>15.17</v>
      </c>
      <c r="AF22" s="5"/>
      <c r="AG22" s="27">
        <v>5.5592</v>
      </c>
      <c r="AH22" s="19">
        <v>15.08</v>
      </c>
      <c r="AI22" s="5"/>
      <c r="AJ22" s="27">
        <v>5.5624</v>
      </c>
      <c r="AK22" s="19">
        <v>15.01</v>
      </c>
      <c r="AL22" s="5"/>
      <c r="AM22" s="27">
        <v>5.595</v>
      </c>
      <c r="AN22" s="19">
        <v>14.94</v>
      </c>
      <c r="AO22" s="5"/>
      <c r="AP22" s="27">
        <v>5.585</v>
      </c>
      <c r="AQ22" s="19">
        <v>15.01</v>
      </c>
      <c r="AR22" s="5"/>
      <c r="AS22" s="27">
        <v>5.5667</v>
      </c>
      <c r="AT22" s="19">
        <v>15.01</v>
      </c>
      <c r="AU22" s="5"/>
      <c r="AV22" s="27">
        <v>5.5389</v>
      </c>
      <c r="AW22" s="19">
        <v>15.08</v>
      </c>
      <c r="AX22" s="5"/>
      <c r="AY22" s="27">
        <v>5.5275</v>
      </c>
      <c r="AZ22" s="19">
        <v>15.09</v>
      </c>
      <c r="BA22" s="5"/>
      <c r="BB22" s="27">
        <v>5.4288</v>
      </c>
      <c r="BC22" s="19">
        <v>15.31</v>
      </c>
      <c r="BD22" s="5"/>
      <c r="BE22" s="27">
        <v>5.414</v>
      </c>
      <c r="BF22" s="19">
        <v>15.31</v>
      </c>
      <c r="BG22" s="5"/>
      <c r="BH22" s="27">
        <v>5.501510526315789</v>
      </c>
      <c r="BI22" s="19">
        <v>15.09315789473684</v>
      </c>
      <c r="BJ22" s="5"/>
      <c r="BK22" s="27"/>
      <c r="BL22" s="19"/>
      <c r="BM22" s="32"/>
      <c r="BN22" s="27"/>
      <c r="BO22" s="19"/>
      <c r="BP22" s="32"/>
      <c r="BQ22" s="31"/>
      <c r="BR22" s="32"/>
    </row>
    <row r="23" spans="1:70" ht="15.75" customHeight="1">
      <c r="A23" s="16">
        <v>11</v>
      </c>
      <c r="B23" s="17" t="s">
        <v>24</v>
      </c>
      <c r="C23" s="27">
        <v>5.0883</v>
      </c>
      <c r="D23" s="19">
        <v>16.21</v>
      </c>
      <c r="E23" s="5"/>
      <c r="F23" s="27">
        <v>5.0855</v>
      </c>
      <c r="G23" s="19">
        <v>16.24</v>
      </c>
      <c r="H23" s="5"/>
      <c r="I23" s="27">
        <v>5.064</v>
      </c>
      <c r="J23" s="19">
        <v>16.3</v>
      </c>
      <c r="K23" s="5"/>
      <c r="L23" s="27">
        <v>5.1173</v>
      </c>
      <c r="M23" s="19">
        <v>16.23</v>
      </c>
      <c r="N23" s="5"/>
      <c r="O23" s="27">
        <v>5.0946</v>
      </c>
      <c r="P23" s="19">
        <v>16.26</v>
      </c>
      <c r="Q23" s="5"/>
      <c r="R23" s="27">
        <v>5.0837</v>
      </c>
      <c r="S23" s="19">
        <v>16.25</v>
      </c>
      <c r="T23" s="5"/>
      <c r="U23" s="27">
        <v>5.0767</v>
      </c>
      <c r="V23" s="19">
        <v>16.23</v>
      </c>
      <c r="W23" s="5"/>
      <c r="X23" s="27">
        <v>5.0758</v>
      </c>
      <c r="Y23" s="19">
        <v>16.25</v>
      </c>
      <c r="Z23" s="5"/>
      <c r="AA23" s="27">
        <v>5.0776</v>
      </c>
      <c r="AB23" s="19">
        <v>16.23</v>
      </c>
      <c r="AC23" s="5"/>
      <c r="AD23" s="27">
        <v>5.1286</v>
      </c>
      <c r="AE23" s="19">
        <v>16.16</v>
      </c>
      <c r="AF23" s="5"/>
      <c r="AG23" s="27">
        <v>5.2012</v>
      </c>
      <c r="AH23" s="19">
        <v>16.12</v>
      </c>
      <c r="AI23" s="5"/>
      <c r="AJ23" s="27">
        <v>5.184</v>
      </c>
      <c r="AK23" s="19">
        <v>16.11</v>
      </c>
      <c r="AL23" s="5"/>
      <c r="AM23" s="27">
        <v>5.1827</v>
      </c>
      <c r="AN23" s="19">
        <v>16.13</v>
      </c>
      <c r="AO23" s="5"/>
      <c r="AP23" s="27">
        <v>5.1927</v>
      </c>
      <c r="AQ23" s="19">
        <v>16.14</v>
      </c>
      <c r="AR23" s="5"/>
      <c r="AS23" s="27">
        <v>5.184</v>
      </c>
      <c r="AT23" s="19">
        <v>16.12</v>
      </c>
      <c r="AU23" s="5"/>
      <c r="AV23" s="27">
        <v>5.1687</v>
      </c>
      <c r="AW23" s="19">
        <v>16.16</v>
      </c>
      <c r="AX23" s="5"/>
      <c r="AY23" s="27">
        <v>5.1436</v>
      </c>
      <c r="AZ23" s="19">
        <v>16.22</v>
      </c>
      <c r="BA23" s="5"/>
      <c r="BB23" s="27">
        <v>5.0746</v>
      </c>
      <c r="BC23" s="19">
        <v>16.38</v>
      </c>
      <c r="BD23" s="5"/>
      <c r="BE23" s="27">
        <v>5.0685</v>
      </c>
      <c r="BF23" s="19">
        <v>16.35</v>
      </c>
      <c r="BG23" s="5"/>
      <c r="BH23" s="27">
        <v>5.120636842105264</v>
      </c>
      <c r="BI23" s="19">
        <v>16.21526315789474</v>
      </c>
      <c r="BJ23" s="5"/>
      <c r="BK23" s="27"/>
      <c r="BL23" s="19"/>
      <c r="BM23" s="32"/>
      <c r="BN23" s="27"/>
      <c r="BO23" s="19"/>
      <c r="BP23" s="32"/>
      <c r="BQ23" s="31"/>
      <c r="BR23" s="32"/>
    </row>
    <row r="24" spans="1:70" ht="15.75" customHeight="1">
      <c r="A24" s="16">
        <v>12</v>
      </c>
      <c r="B24" s="17" t="s">
        <v>25</v>
      </c>
      <c r="C24" s="27">
        <f>1/1.59018</f>
        <v>0.6288596259542946</v>
      </c>
      <c r="D24" s="61">
        <v>131.15</v>
      </c>
      <c r="E24" s="5"/>
      <c r="F24" s="27">
        <f>1/1.5856</f>
        <v>0.6306760847628659</v>
      </c>
      <c r="G24" s="61">
        <v>130.93</v>
      </c>
      <c r="H24" s="5"/>
      <c r="I24" s="27">
        <f>1/1.59024</f>
        <v>0.6288358989838011</v>
      </c>
      <c r="J24" s="61">
        <v>131.3</v>
      </c>
      <c r="K24" s="5"/>
      <c r="L24" s="27">
        <f>1/1.58654</f>
        <v>0.6303024191006845</v>
      </c>
      <c r="M24" s="61">
        <v>131.79</v>
      </c>
      <c r="N24" s="5"/>
      <c r="O24" s="27">
        <f>1/1.57729</f>
        <v>0.6339988207621934</v>
      </c>
      <c r="P24" s="61">
        <v>130.68</v>
      </c>
      <c r="Q24" s="5"/>
      <c r="R24" s="27">
        <f>1/1.58104</f>
        <v>0.632495066538481</v>
      </c>
      <c r="S24" s="61">
        <v>130.63</v>
      </c>
      <c r="T24" s="5"/>
      <c r="U24" s="27">
        <f>1/1.58305</f>
        <v>0.631691986987145</v>
      </c>
      <c r="V24" s="61">
        <v>130.47</v>
      </c>
      <c r="W24" s="5"/>
      <c r="X24" s="27">
        <f>1/1.58299</f>
        <v>0.6317159299806063</v>
      </c>
      <c r="Y24" s="61">
        <v>130.55</v>
      </c>
      <c r="Z24" s="5"/>
      <c r="AA24" s="27">
        <f>1/1.5842</f>
        <v>0.6312334301224592</v>
      </c>
      <c r="AB24" s="61">
        <v>130.53</v>
      </c>
      <c r="AC24" s="5"/>
      <c r="AD24" s="27">
        <f>1/1.58348</f>
        <v>0.6315204486321268</v>
      </c>
      <c r="AE24" s="61">
        <v>131.25</v>
      </c>
      <c r="AF24" s="5"/>
      <c r="AG24" s="27">
        <f>1/1.57239</f>
        <v>0.6359745355795954</v>
      </c>
      <c r="AH24" s="61">
        <v>131.82</v>
      </c>
      <c r="AI24" s="5"/>
      <c r="AJ24" s="27">
        <f>1/1.56586</f>
        <v>0.6386266971504476</v>
      </c>
      <c r="AK24" s="61">
        <v>130.73</v>
      </c>
      <c r="AL24" s="5"/>
      <c r="AM24" s="27">
        <f>1/1.56636</f>
        <v>0.6384228402155315</v>
      </c>
      <c r="AN24" s="61">
        <v>130.91</v>
      </c>
      <c r="AO24" s="5"/>
      <c r="AP24" s="27">
        <f>1/1.56099</f>
        <v>0.6406190942927245</v>
      </c>
      <c r="AQ24" s="61">
        <v>130.83</v>
      </c>
      <c r="AR24" s="5"/>
      <c r="AS24" s="27">
        <f>1/1.56282</f>
        <v>0.6398689548380492</v>
      </c>
      <c r="AT24" s="61">
        <v>130.59</v>
      </c>
      <c r="AU24" s="5"/>
      <c r="AV24" s="27">
        <f>1/1.56282</f>
        <v>0.6398689548380492</v>
      </c>
      <c r="AW24" s="61">
        <v>130.53</v>
      </c>
      <c r="AX24" s="5"/>
      <c r="AY24" s="27">
        <f>1/1.56686</f>
        <v>0.6382191133860077</v>
      </c>
      <c r="AZ24" s="61">
        <v>130.69</v>
      </c>
      <c r="BA24" s="5"/>
      <c r="BB24" s="27">
        <f>1/1.56727</f>
        <v>0.6380521543830993</v>
      </c>
      <c r="BC24" s="61">
        <v>130.3</v>
      </c>
      <c r="BD24" s="5"/>
      <c r="BE24" s="27">
        <f>1/1.57848</f>
        <v>0.6335208555065632</v>
      </c>
      <c r="BF24" s="61">
        <v>130.84</v>
      </c>
      <c r="BG24" s="5"/>
      <c r="BH24" s="27">
        <v>0.6344475216849856</v>
      </c>
      <c r="BI24" s="19">
        <v>130.86947368421056</v>
      </c>
      <c r="BJ24" s="5"/>
      <c r="BK24" s="27"/>
      <c r="BL24" s="19"/>
      <c r="BM24" s="32"/>
      <c r="BN24" s="27"/>
      <c r="BO24" s="19"/>
      <c r="BP24" s="32"/>
      <c r="BQ24" s="31"/>
      <c r="BR24" s="32"/>
    </row>
    <row r="25" spans="1:70" ht="15.75" customHeight="1" thickBot="1">
      <c r="A25" s="35">
        <v>13</v>
      </c>
      <c r="B25" s="36" t="s">
        <v>26</v>
      </c>
      <c r="C25" s="28">
        <v>1</v>
      </c>
      <c r="D25" s="22">
        <v>82.48</v>
      </c>
      <c r="E25" s="21"/>
      <c r="F25" s="28">
        <v>1</v>
      </c>
      <c r="G25" s="22">
        <v>82.57</v>
      </c>
      <c r="H25" s="21"/>
      <c r="I25" s="28">
        <v>1</v>
      </c>
      <c r="J25" s="22">
        <v>82.57</v>
      </c>
      <c r="K25" s="21"/>
      <c r="L25" s="28">
        <v>1</v>
      </c>
      <c r="M25" s="22">
        <v>83.07</v>
      </c>
      <c r="N25" s="21"/>
      <c r="O25" s="28">
        <v>1</v>
      </c>
      <c r="P25" s="22">
        <v>82.85</v>
      </c>
      <c r="Q25" s="21"/>
      <c r="R25" s="28">
        <v>1</v>
      </c>
      <c r="S25" s="22">
        <v>82.62</v>
      </c>
      <c r="T25" s="21"/>
      <c r="U25" s="28">
        <v>1</v>
      </c>
      <c r="V25" s="22">
        <v>82.42</v>
      </c>
      <c r="W25" s="21"/>
      <c r="X25" s="28">
        <v>1</v>
      </c>
      <c r="Y25" s="22">
        <v>82.47</v>
      </c>
      <c r="Z25" s="21"/>
      <c r="AA25" s="28">
        <v>1</v>
      </c>
      <c r="AB25" s="22">
        <v>82.39</v>
      </c>
      <c r="AC25" s="21"/>
      <c r="AD25" s="28">
        <v>1</v>
      </c>
      <c r="AE25" s="22">
        <v>82.89</v>
      </c>
      <c r="AF25" s="21"/>
      <c r="AG25" s="28">
        <v>1</v>
      </c>
      <c r="AH25" s="22">
        <v>83.83</v>
      </c>
      <c r="AI25" s="21"/>
      <c r="AJ25" s="28">
        <v>1</v>
      </c>
      <c r="AK25" s="22">
        <v>83.49</v>
      </c>
      <c r="AL25" s="21"/>
      <c r="AM25" s="28">
        <v>1</v>
      </c>
      <c r="AN25" s="22">
        <v>83.58</v>
      </c>
      <c r="AO25" s="21"/>
      <c r="AP25" s="28">
        <v>1</v>
      </c>
      <c r="AQ25" s="22">
        <v>83.81</v>
      </c>
      <c r="AR25" s="21"/>
      <c r="AS25" s="28">
        <v>1</v>
      </c>
      <c r="AT25" s="22">
        <v>83.56</v>
      </c>
      <c r="AU25" s="21"/>
      <c r="AV25" s="28">
        <v>1</v>
      </c>
      <c r="AW25" s="22">
        <v>83.52</v>
      </c>
      <c r="AX25" s="21"/>
      <c r="AY25" s="28">
        <v>1</v>
      </c>
      <c r="AZ25" s="22">
        <v>83.41</v>
      </c>
      <c r="BA25" s="21"/>
      <c r="BB25" s="28">
        <v>1</v>
      </c>
      <c r="BC25" s="22">
        <v>83.14</v>
      </c>
      <c r="BD25" s="21"/>
      <c r="BE25" s="28">
        <v>1</v>
      </c>
      <c r="BF25" s="22">
        <v>82.89</v>
      </c>
      <c r="BG25" s="21"/>
      <c r="BH25" s="28">
        <v>1</v>
      </c>
      <c r="BI25" s="22">
        <v>83.02947368421053</v>
      </c>
      <c r="BJ25" s="21"/>
      <c r="BK25" s="28"/>
      <c r="BL25" s="22"/>
      <c r="BM25" s="22"/>
      <c r="BN25" s="28"/>
      <c r="BO25" s="22"/>
      <c r="BP25" s="32"/>
      <c r="BQ25" s="31"/>
      <c r="BR25" s="32"/>
    </row>
    <row r="26" spans="1:70" ht="15.75" customHeight="1">
      <c r="A26" s="29"/>
      <c r="B26" s="30"/>
      <c r="C26" s="27"/>
      <c r="D26" s="61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9"/>
      <c r="AZ26" s="31"/>
      <c r="BA26" s="9"/>
      <c r="BB26" s="9"/>
      <c r="BC26" s="31"/>
      <c r="BD26" s="9"/>
      <c r="BE26" s="9"/>
      <c r="BF26" s="31"/>
      <c r="BG26" s="9"/>
      <c r="BH26" s="9"/>
      <c r="BI26" s="31"/>
      <c r="BJ26" s="9"/>
      <c r="BK26" s="31"/>
      <c r="BL26" s="32"/>
      <c r="BM26" s="32"/>
      <c r="BN26" s="31"/>
      <c r="BO26" s="32"/>
      <c r="BP26" s="32"/>
      <c r="BQ26" s="31"/>
      <c r="BR26" s="32"/>
    </row>
    <row r="27" spans="1:70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BP27" s="40"/>
      <c r="BQ27" s="40"/>
      <c r="BR27" s="40"/>
    </row>
    <row r="28" spans="1:50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</row>
    <row r="29" spans="1:50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</row>
    <row r="30" spans="1:50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</row>
    <row r="31" spans="1:50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</row>
    <row r="32" spans="1:50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</row>
    <row r="33" spans="1:50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</row>
    <row r="34" spans="1:50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24"/>
    </row>
    <row r="35" spans="1:50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24"/>
    </row>
    <row r="36" spans="1:50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3"/>
    </row>
    <row r="37" spans="1:50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2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2" ht="15.75" customHeight="1">
      <c r="A43" s="8"/>
      <c r="B43" s="8"/>
      <c r="C43" s="52"/>
      <c r="D43" s="8"/>
      <c r="E43" s="8"/>
      <c r="F43" s="52"/>
      <c r="G43" s="8"/>
      <c r="H43" s="8"/>
      <c r="I43" s="52"/>
      <c r="J43" s="8"/>
      <c r="K43" s="8"/>
      <c r="L43" s="52"/>
      <c r="M43" s="8"/>
      <c r="N43" s="8"/>
      <c r="O43" s="52"/>
      <c r="P43" s="8"/>
      <c r="Q43" s="8"/>
      <c r="R43" s="52"/>
      <c r="S43" s="8"/>
      <c r="T43" s="8"/>
      <c r="U43" s="52"/>
      <c r="V43" s="8"/>
      <c r="W43" s="8"/>
      <c r="X43" s="52"/>
      <c r="Y43" s="8"/>
      <c r="Z43" s="8"/>
      <c r="AA43" s="52"/>
      <c r="AB43" s="8"/>
      <c r="AC43" s="8"/>
      <c r="AD43" s="5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52"/>
      <c r="AQ43" s="8"/>
      <c r="AR43" s="8"/>
      <c r="AS43" s="52"/>
      <c r="AT43" s="8"/>
      <c r="AU43" s="8"/>
      <c r="AV43" s="52"/>
      <c r="AW43" s="8"/>
      <c r="AX43" s="8"/>
      <c r="AY43" s="52"/>
      <c r="AZ43" s="8"/>
    </row>
    <row r="44" spans="1:52" ht="15.75" customHeight="1">
      <c r="A44" s="8"/>
      <c r="B44" s="8"/>
      <c r="C44" s="52"/>
      <c r="D44" s="8"/>
      <c r="E44" s="8"/>
      <c r="F44" s="52"/>
      <c r="G44" s="8"/>
      <c r="H44" s="8"/>
      <c r="I44" s="52"/>
      <c r="J44" s="8"/>
      <c r="K44" s="8"/>
      <c r="L44" s="52"/>
      <c r="M44" s="8"/>
      <c r="N44" s="8"/>
      <c r="O44" s="52"/>
      <c r="P44" s="8"/>
      <c r="Q44" s="8"/>
      <c r="R44" s="52"/>
      <c r="S44" s="8"/>
      <c r="T44" s="8"/>
      <c r="U44" s="52"/>
      <c r="V44" s="8"/>
      <c r="W44" s="8"/>
      <c r="X44" s="52"/>
      <c r="Y44" s="8"/>
      <c r="Z44" s="8"/>
      <c r="AA44" s="52"/>
      <c r="AB44" s="8"/>
      <c r="AC44" s="8"/>
      <c r="AD44" s="52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52"/>
      <c r="AQ44" s="8"/>
      <c r="AR44" s="8"/>
      <c r="AS44" s="52"/>
      <c r="AT44" s="8"/>
      <c r="AU44" s="8"/>
      <c r="AV44" s="52"/>
      <c r="AW44" s="8"/>
      <c r="AX44" s="8"/>
      <c r="AY44" s="52"/>
      <c r="AZ44" s="8"/>
    </row>
    <row r="45" spans="1:52" ht="15.75" customHeight="1">
      <c r="A45" s="8"/>
      <c r="B45" s="8"/>
      <c r="C45" s="52"/>
      <c r="D45" s="8"/>
      <c r="E45" s="8"/>
      <c r="F45" s="52"/>
      <c r="G45" s="8"/>
      <c r="H45" s="8"/>
      <c r="I45" s="52"/>
      <c r="J45" s="8"/>
      <c r="K45" s="8"/>
      <c r="L45" s="52"/>
      <c r="M45" s="8"/>
      <c r="N45" s="8"/>
      <c r="O45" s="52"/>
      <c r="P45" s="8"/>
      <c r="Q45" s="8"/>
      <c r="R45" s="52"/>
      <c r="S45" s="8"/>
      <c r="T45" s="8"/>
      <c r="U45" s="52"/>
      <c r="V45" s="8"/>
      <c r="W45" s="8"/>
      <c r="X45" s="52"/>
      <c r="Y45" s="8"/>
      <c r="Z45" s="8"/>
      <c r="AA45" s="52"/>
      <c r="AB45" s="8"/>
      <c r="AC45" s="8"/>
      <c r="AD45" s="52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52"/>
      <c r="AQ45" s="8"/>
      <c r="AR45" s="8"/>
      <c r="AS45" s="52"/>
      <c r="AT45" s="8"/>
      <c r="AU45" s="8"/>
      <c r="AV45" s="52"/>
      <c r="AW45" s="8"/>
      <c r="AX45" s="8"/>
      <c r="AY45" s="52"/>
      <c r="AZ45" s="8"/>
    </row>
    <row r="46" spans="1:52" ht="15.75" customHeight="1">
      <c r="A46" s="8"/>
      <c r="B46" s="8"/>
      <c r="C46" s="52"/>
      <c r="D46" s="8"/>
      <c r="E46" s="8"/>
      <c r="F46" s="52"/>
      <c r="G46" s="8"/>
      <c r="H46" s="8"/>
      <c r="I46" s="52"/>
      <c r="J46" s="8"/>
      <c r="K46" s="8"/>
      <c r="L46" s="52"/>
      <c r="M46" s="8"/>
      <c r="N46" s="8"/>
      <c r="O46" s="52"/>
      <c r="P46" s="8"/>
      <c r="Q46" s="8"/>
      <c r="R46" s="52"/>
      <c r="S46" s="8"/>
      <c r="T46" s="8"/>
      <c r="U46" s="52"/>
      <c r="V46" s="8"/>
      <c r="W46" s="8"/>
      <c r="X46" s="52"/>
      <c r="Y46" s="8"/>
      <c r="Z46" s="8"/>
      <c r="AA46" s="52"/>
      <c r="AB46" s="8"/>
      <c r="AC46" s="8"/>
      <c r="AD46" s="52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52"/>
      <c r="AQ46" s="8"/>
      <c r="AR46" s="8"/>
      <c r="AS46" s="52"/>
      <c r="AT46" s="8"/>
      <c r="AU46" s="8"/>
      <c r="AV46" s="52"/>
      <c r="AW46" s="8"/>
      <c r="AX46" s="8"/>
      <c r="AY46" s="52"/>
      <c r="AZ46" s="8"/>
    </row>
    <row r="47" spans="1:52" ht="15.75" customHeight="1">
      <c r="A47" s="8"/>
      <c r="B47" s="8"/>
      <c r="C47" s="52"/>
      <c r="D47" s="8"/>
      <c r="E47" s="8"/>
      <c r="F47" s="52"/>
      <c r="G47" s="8"/>
      <c r="H47" s="8"/>
      <c r="I47" s="52"/>
      <c r="J47" s="8"/>
      <c r="K47" s="8"/>
      <c r="L47" s="52"/>
      <c r="M47" s="8"/>
      <c r="N47" s="8"/>
      <c r="O47" s="52"/>
      <c r="P47" s="8"/>
      <c r="Q47" s="8"/>
      <c r="R47" s="52"/>
      <c r="S47" s="8"/>
      <c r="T47" s="8"/>
      <c r="U47" s="52"/>
      <c r="V47" s="8"/>
      <c r="W47" s="8"/>
      <c r="X47" s="52"/>
      <c r="Y47" s="8"/>
      <c r="Z47" s="8"/>
      <c r="AA47" s="52"/>
      <c r="AB47" s="8"/>
      <c r="AC47" s="8"/>
      <c r="AD47" s="52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52"/>
      <c r="AQ47" s="8"/>
      <c r="AR47" s="8"/>
      <c r="AS47" s="52"/>
      <c r="AT47" s="8"/>
      <c r="AU47" s="8"/>
      <c r="AV47" s="52"/>
      <c r="AW47" s="8"/>
      <c r="AX47" s="8"/>
      <c r="AY47" s="52"/>
      <c r="AZ47" s="8"/>
    </row>
    <row r="48" spans="1:52" ht="15.75" customHeight="1">
      <c r="A48" s="8"/>
      <c r="B48" s="8"/>
      <c r="C48" s="52"/>
      <c r="D48" s="8"/>
      <c r="E48" s="8"/>
      <c r="F48" s="52"/>
      <c r="G48" s="8"/>
      <c r="H48" s="8"/>
      <c r="I48" s="52"/>
      <c r="J48" s="8"/>
      <c r="K48" s="8"/>
      <c r="L48" s="52"/>
      <c r="M48" s="8"/>
      <c r="N48" s="8"/>
      <c r="O48" s="52"/>
      <c r="P48" s="8"/>
      <c r="Q48" s="8"/>
      <c r="R48" s="52"/>
      <c r="S48" s="8"/>
      <c r="T48" s="8"/>
      <c r="U48" s="52"/>
      <c r="V48" s="8"/>
      <c r="W48" s="8"/>
      <c r="X48" s="52"/>
      <c r="Y48" s="8"/>
      <c r="Z48" s="8"/>
      <c r="AA48" s="52"/>
      <c r="AB48" s="8"/>
      <c r="AC48" s="8"/>
      <c r="AD48" s="52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2"/>
      <c r="AQ48" s="8"/>
      <c r="AR48" s="8"/>
      <c r="AS48" s="52"/>
      <c r="AT48" s="8"/>
      <c r="AU48" s="8"/>
      <c r="AV48" s="52"/>
      <c r="AW48" s="8"/>
      <c r="AX48" s="8"/>
      <c r="AY48" s="52"/>
      <c r="AZ48" s="8"/>
    </row>
    <row r="49" spans="1:52" ht="15.75" customHeight="1">
      <c r="A49" s="8"/>
      <c r="B49" s="8"/>
      <c r="C49" s="52"/>
      <c r="D49" s="8"/>
      <c r="E49" s="8"/>
      <c r="F49" s="52"/>
      <c r="G49" s="8"/>
      <c r="H49" s="8"/>
      <c r="I49" s="52"/>
      <c r="J49" s="8"/>
      <c r="K49" s="8"/>
      <c r="L49" s="52"/>
      <c r="M49" s="8"/>
      <c r="N49" s="8"/>
      <c r="O49" s="52"/>
      <c r="P49" s="8"/>
      <c r="Q49" s="8"/>
      <c r="R49" s="52"/>
      <c r="S49" s="8"/>
      <c r="T49" s="8"/>
      <c r="U49" s="52"/>
      <c r="V49" s="8"/>
      <c r="W49" s="8"/>
      <c r="X49" s="52"/>
      <c r="Y49" s="8"/>
      <c r="Z49" s="8"/>
      <c r="AA49" s="52"/>
      <c r="AB49" s="8"/>
      <c r="AC49" s="8"/>
      <c r="AD49" s="52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52"/>
      <c r="AQ49" s="8"/>
      <c r="AR49" s="8"/>
      <c r="AS49" s="52"/>
      <c r="AT49" s="8"/>
      <c r="AU49" s="8"/>
      <c r="AV49" s="52"/>
      <c r="AW49" s="8"/>
      <c r="AX49" s="8"/>
      <c r="AY49" s="52"/>
      <c r="AZ49" s="8"/>
    </row>
    <row r="50" spans="1:52" ht="15.75" customHeight="1">
      <c r="A50" s="8"/>
      <c r="B50" s="8"/>
      <c r="C50" s="52"/>
      <c r="D50" s="8"/>
      <c r="E50" s="8"/>
      <c r="F50" s="52"/>
      <c r="G50" s="8"/>
      <c r="H50" s="8"/>
      <c r="I50" s="52"/>
      <c r="J50" s="8"/>
      <c r="K50" s="8"/>
      <c r="L50" s="52"/>
      <c r="M50" s="8"/>
      <c r="N50" s="8"/>
      <c r="O50" s="52"/>
      <c r="P50" s="8"/>
      <c r="Q50" s="8"/>
      <c r="R50" s="52"/>
      <c r="S50" s="8"/>
      <c r="T50" s="8"/>
      <c r="U50" s="52"/>
      <c r="V50" s="8"/>
      <c r="W50" s="8"/>
      <c r="X50" s="52"/>
      <c r="Y50" s="8"/>
      <c r="Z50" s="8"/>
      <c r="AA50" s="52"/>
      <c r="AB50" s="8"/>
      <c r="AC50" s="8"/>
      <c r="AD50" s="52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52"/>
      <c r="AQ50" s="8"/>
      <c r="AR50" s="8"/>
      <c r="AS50" s="52"/>
      <c r="AT50" s="8"/>
      <c r="AU50" s="8"/>
      <c r="AV50" s="52"/>
      <c r="AW50" s="8"/>
      <c r="AX50" s="8"/>
      <c r="AY50" s="52"/>
      <c r="AZ50" s="8"/>
    </row>
    <row r="51" spans="1:52" ht="15.75" customHeight="1">
      <c r="A51" s="8"/>
      <c r="B51" s="8"/>
      <c r="C51" s="52"/>
      <c r="D51" s="8"/>
      <c r="E51" s="8"/>
      <c r="F51" s="52"/>
      <c r="G51" s="8"/>
      <c r="H51" s="8"/>
      <c r="I51" s="52"/>
      <c r="J51" s="8"/>
      <c r="K51" s="8"/>
      <c r="L51" s="52"/>
      <c r="M51" s="8"/>
      <c r="N51" s="8"/>
      <c r="O51" s="52"/>
      <c r="P51" s="8"/>
      <c r="Q51" s="8"/>
      <c r="R51" s="52"/>
      <c r="S51" s="8"/>
      <c r="T51" s="8"/>
      <c r="U51" s="52"/>
      <c r="V51" s="8"/>
      <c r="W51" s="8"/>
      <c r="X51" s="52"/>
      <c r="Y51" s="8"/>
      <c r="Z51" s="8"/>
      <c r="AA51" s="52"/>
      <c r="AB51" s="8"/>
      <c r="AC51" s="8"/>
      <c r="AD51" s="52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52"/>
      <c r="AQ51" s="8"/>
      <c r="AR51" s="8"/>
      <c r="AS51" s="52"/>
      <c r="AT51" s="8"/>
      <c r="AU51" s="8"/>
      <c r="AV51" s="52"/>
      <c r="AW51" s="8"/>
      <c r="AX51" s="8"/>
      <c r="AY51" s="52"/>
      <c r="AZ51" s="8"/>
    </row>
    <row r="52" spans="1:52" ht="15.75" customHeight="1">
      <c r="A52" s="8"/>
      <c r="B52" s="8"/>
      <c r="C52" s="52"/>
      <c r="D52" s="8"/>
      <c r="E52" s="8"/>
      <c r="F52" s="52"/>
      <c r="G52" s="8"/>
      <c r="H52" s="8"/>
      <c r="I52" s="52"/>
      <c r="J52" s="8"/>
      <c r="K52" s="8"/>
      <c r="L52" s="52"/>
      <c r="M52" s="8"/>
      <c r="N52" s="8"/>
      <c r="O52" s="52"/>
      <c r="P52" s="8"/>
      <c r="Q52" s="8"/>
      <c r="R52" s="52"/>
      <c r="S52" s="8"/>
      <c r="T52" s="8"/>
      <c r="U52" s="52"/>
      <c r="V52" s="8"/>
      <c r="W52" s="8"/>
      <c r="X52" s="52"/>
      <c r="Y52" s="8"/>
      <c r="Z52" s="8"/>
      <c r="AA52" s="52"/>
      <c r="AB52" s="8"/>
      <c r="AC52" s="8"/>
      <c r="AD52" s="52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52"/>
      <c r="AQ52" s="8"/>
      <c r="AR52" s="8"/>
      <c r="AS52" s="52"/>
      <c r="AT52" s="8"/>
      <c r="AU52" s="8"/>
      <c r="AV52" s="52"/>
      <c r="AW52" s="8"/>
      <c r="AX52" s="8"/>
      <c r="AY52" s="52"/>
      <c r="AZ52" s="8"/>
    </row>
    <row r="53" spans="3:52" ht="15.75" customHeight="1">
      <c r="C53" s="52"/>
      <c r="D53" s="8"/>
      <c r="F53" s="52"/>
      <c r="G53" s="8"/>
      <c r="I53" s="52"/>
      <c r="J53" s="8"/>
      <c r="L53" s="52"/>
      <c r="M53" s="8"/>
      <c r="O53" s="52"/>
      <c r="P53" s="8"/>
      <c r="R53" s="52"/>
      <c r="S53" s="8"/>
      <c r="U53" s="52"/>
      <c r="V53" s="8"/>
      <c r="X53" s="52"/>
      <c r="Y53" s="8"/>
      <c r="AA53" s="52"/>
      <c r="AB53" s="8"/>
      <c r="AD53" s="52"/>
      <c r="AE53" s="8"/>
      <c r="AP53" s="52"/>
      <c r="AQ53" s="8"/>
      <c r="AS53" s="52"/>
      <c r="AT53" s="8"/>
      <c r="AV53" s="52"/>
      <c r="AW53" s="52"/>
      <c r="AY53" s="52"/>
      <c r="AZ53" s="8"/>
    </row>
    <row r="54" spans="3:52" ht="15.75" customHeight="1">
      <c r="C54" s="52"/>
      <c r="D54" s="8"/>
      <c r="F54" s="52"/>
      <c r="G54" s="8"/>
      <c r="I54" s="52"/>
      <c r="J54" s="8"/>
      <c r="L54" s="52"/>
      <c r="M54" s="8"/>
      <c r="O54" s="52"/>
      <c r="P54" s="8"/>
      <c r="R54" s="52"/>
      <c r="S54" s="8"/>
      <c r="U54" s="52"/>
      <c r="V54" s="8"/>
      <c r="X54" s="52"/>
      <c r="Y54" s="8"/>
      <c r="AA54" s="52"/>
      <c r="AB54" s="8"/>
      <c r="AD54" s="52"/>
      <c r="AE54" s="8"/>
      <c r="AP54" s="52"/>
      <c r="AQ54" s="8"/>
      <c r="AS54" s="52"/>
      <c r="AT54" s="8"/>
      <c r="AV54" s="52"/>
      <c r="AW54" s="8"/>
      <c r="AY54" s="52"/>
      <c r="AZ54" s="8"/>
    </row>
    <row r="55" spans="3:52" ht="15.75" customHeight="1">
      <c r="C55" s="52"/>
      <c r="D55" s="8"/>
      <c r="F55" s="52"/>
      <c r="G55" s="8"/>
      <c r="I55" s="52"/>
      <c r="J55" s="8"/>
      <c r="L55" s="52"/>
      <c r="M55" s="8"/>
      <c r="O55" s="52"/>
      <c r="P55" s="8"/>
      <c r="R55" s="52"/>
      <c r="S55" s="8"/>
      <c r="U55" s="52"/>
      <c r="V55" s="8"/>
      <c r="X55" s="52"/>
      <c r="Y55" s="8"/>
      <c r="AA55" s="52"/>
      <c r="AB55" s="8"/>
      <c r="AD55" s="52"/>
      <c r="AE55" s="8"/>
      <c r="AP55" s="52"/>
      <c r="AQ55" s="8"/>
      <c r="AS55" s="52"/>
      <c r="AT55" s="8"/>
      <c r="AV55" s="52"/>
      <c r="AW55" s="8"/>
      <c r="AY55" s="52"/>
      <c r="AZ55" s="8"/>
    </row>
    <row r="56" ht="15.75" customHeight="1">
      <c r="C56" s="52"/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&amp;L&amp;"Helv,Bold"&amp;11BANKA E SHQIPERISE
Departamenti i STATISTIKES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27" sqref="BK27"/>
    </sheetView>
  </sheetViews>
  <sheetFormatPr defaultColWidth="13.28125" defaultRowHeight="15.75" customHeight="1"/>
  <cols>
    <col min="1" max="1" width="6.28125" style="0" customWidth="1"/>
    <col min="2" max="2" width="30.8515625" style="0" bestFit="1" customWidth="1"/>
    <col min="3" max="3" width="21.421875" style="0" bestFit="1" customWidth="1"/>
    <col min="4" max="4" width="10.57421875" style="0" bestFit="1" customWidth="1"/>
    <col min="5" max="5" width="5.7109375" style="0" customWidth="1"/>
    <col min="6" max="6" width="15.7109375" style="0" customWidth="1"/>
    <col min="7" max="7" width="10.57421875" style="0" bestFit="1" customWidth="1"/>
    <col min="8" max="8" width="6.421875" style="0" customWidth="1"/>
    <col min="9" max="9" width="16.421875" style="0" customWidth="1"/>
    <col min="10" max="10" width="10.57421875" style="0" bestFit="1" customWidth="1"/>
    <col min="11" max="11" width="6.28125" style="0" customWidth="1"/>
    <col min="12" max="12" width="16.140625" style="0" customWidth="1"/>
    <col min="13" max="13" width="13.8515625" style="0" customWidth="1"/>
    <col min="14" max="14" width="5.421875" style="0" customWidth="1"/>
    <col min="15" max="15" width="16.28125" style="0" customWidth="1"/>
    <col min="16" max="16" width="14.00390625" style="0" customWidth="1"/>
    <col min="17" max="17" width="5.7109375" style="0" customWidth="1"/>
    <col min="18" max="18" width="16.421875" style="0" customWidth="1"/>
    <col min="19" max="19" width="15.00390625" style="0" customWidth="1"/>
    <col min="20" max="20" width="5.57421875" style="0" customWidth="1"/>
    <col min="21" max="21" width="17.00390625" style="0" customWidth="1"/>
    <col min="22" max="22" width="15.8515625" style="0" customWidth="1"/>
    <col min="23" max="23" width="5.7109375" style="0" customWidth="1"/>
    <col min="24" max="24" width="14.140625" style="0" customWidth="1"/>
    <col min="25" max="25" width="13.8515625" style="0" customWidth="1"/>
    <col min="26" max="26" width="5.28125" style="0" customWidth="1"/>
    <col min="27" max="27" width="16.140625" style="0" customWidth="1"/>
    <col min="28" max="28" width="15.7109375" style="0" customWidth="1"/>
    <col min="29" max="29" width="5.7109375" style="0" customWidth="1"/>
    <col min="30" max="30" width="21.421875" style="0" bestFit="1" customWidth="1"/>
    <col min="31" max="31" width="10.57421875" style="0" bestFit="1" customWidth="1"/>
    <col min="32" max="32" width="5.7109375" style="0" customWidth="1"/>
    <col min="33" max="33" width="16.140625" style="0" customWidth="1"/>
    <col min="34" max="34" width="10.57421875" style="0" bestFit="1" customWidth="1"/>
    <col min="35" max="35" width="5.7109375" style="0" customWidth="1"/>
    <col min="36" max="36" width="14.00390625" style="0" customWidth="1"/>
    <col min="37" max="37" width="12.421875" style="0" customWidth="1"/>
    <col min="38" max="38" width="5.7109375" style="0" customWidth="1"/>
    <col min="39" max="39" width="21.421875" style="0" bestFit="1" customWidth="1"/>
    <col min="40" max="40" width="10.57421875" style="0" bestFit="1" customWidth="1"/>
    <col min="41" max="41" width="5.7109375" style="0" customWidth="1"/>
    <col min="42" max="42" width="21.421875" style="0" bestFit="1" customWidth="1"/>
    <col min="43" max="43" width="10.57421875" style="0" bestFit="1" customWidth="1"/>
    <col min="44" max="44" width="5.7109375" style="0" customWidth="1"/>
    <col min="45" max="46" width="21.421875" style="0" bestFit="1" customWidth="1"/>
    <col min="47" max="47" width="5.7109375" style="0" customWidth="1"/>
    <col min="48" max="48" width="21.421875" style="0" bestFit="1" customWidth="1"/>
    <col min="49" max="49" width="10.57421875" style="0" bestFit="1" customWidth="1"/>
    <col min="50" max="50" width="5.7109375" style="0" customWidth="1"/>
    <col min="51" max="51" width="21.421875" style="0" bestFit="1" customWidth="1"/>
    <col min="52" max="52" width="10.57421875" style="0" bestFit="1" customWidth="1"/>
    <col min="53" max="53" width="5.7109375" style="0" customWidth="1"/>
    <col min="54" max="55" width="21.421875" style="0" bestFit="1" customWidth="1"/>
    <col min="56" max="56" width="5.7109375" style="0" customWidth="1"/>
    <col min="57" max="57" width="21.421875" style="0" bestFit="1" customWidth="1"/>
    <col min="58" max="58" width="10.57421875" style="0" bestFit="1" customWidth="1"/>
    <col min="59" max="59" width="3.421875" style="0" customWidth="1"/>
    <col min="60" max="60" width="21.421875" style="0" bestFit="1" customWidth="1"/>
    <col min="61" max="61" width="10.57421875" style="0" bestFit="1" customWidth="1"/>
    <col min="62" max="62" width="6.7109375" style="0" customWidth="1"/>
    <col min="63" max="63" width="13.28125" style="0" customWidth="1"/>
    <col min="64" max="64" width="10.57421875" style="0" bestFit="1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50</v>
      </c>
      <c r="D4" s="4"/>
      <c r="E4" s="10"/>
      <c r="F4" s="4" t="s">
        <v>51</v>
      </c>
      <c r="G4" s="4"/>
      <c r="H4" s="10"/>
      <c r="I4" s="4" t="s">
        <v>52</v>
      </c>
      <c r="J4" s="4"/>
      <c r="K4" s="4"/>
      <c r="L4" s="4" t="s">
        <v>53</v>
      </c>
      <c r="M4" s="4"/>
      <c r="N4" s="10"/>
      <c r="O4" s="4" t="s">
        <v>54</v>
      </c>
      <c r="P4" s="4"/>
      <c r="Q4" s="10"/>
      <c r="R4" s="4" t="s">
        <v>55</v>
      </c>
      <c r="S4" s="4"/>
      <c r="T4" s="4"/>
      <c r="U4" s="4" t="s">
        <v>56</v>
      </c>
      <c r="V4" s="4"/>
      <c r="W4" s="4"/>
      <c r="X4" s="4" t="s">
        <v>57</v>
      </c>
      <c r="Y4" s="4"/>
      <c r="Z4" s="10"/>
      <c r="AA4" s="4" t="s">
        <v>58</v>
      </c>
      <c r="AB4" s="4"/>
      <c r="AC4" s="10"/>
      <c r="AD4" s="4" t="s">
        <v>59</v>
      </c>
      <c r="AE4" s="4"/>
      <c r="AF4" s="10"/>
      <c r="AG4" s="4" t="s">
        <v>60</v>
      </c>
      <c r="AH4" s="4"/>
      <c r="AI4" s="10"/>
      <c r="AJ4" s="4" t="s">
        <v>61</v>
      </c>
      <c r="AK4" s="4"/>
      <c r="AL4" s="10"/>
      <c r="AM4" s="4" t="s">
        <v>62</v>
      </c>
      <c r="AN4" s="4"/>
      <c r="AO4" s="10"/>
      <c r="AP4" s="4" t="s">
        <v>63</v>
      </c>
      <c r="AQ4" s="4"/>
      <c r="AR4" s="10"/>
      <c r="AS4" s="4" t="s">
        <v>27</v>
      </c>
      <c r="AT4" s="4"/>
      <c r="AU4" s="10"/>
      <c r="AV4" s="4" t="s">
        <v>64</v>
      </c>
      <c r="AW4" s="4"/>
      <c r="AX4" s="10"/>
      <c r="AY4" s="4" t="s">
        <v>65</v>
      </c>
      <c r="AZ4" s="4"/>
      <c r="BA4" s="10"/>
      <c r="BB4" s="4" t="s">
        <v>66</v>
      </c>
      <c r="BC4" s="4"/>
      <c r="BD4" s="10"/>
      <c r="BE4" s="4" t="s">
        <v>67</v>
      </c>
      <c r="BF4" s="4"/>
      <c r="BG4" s="10"/>
      <c r="BH4" s="4" t="s">
        <v>68</v>
      </c>
      <c r="BI4" s="4"/>
      <c r="BJ4" s="26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65" t="s">
        <v>5</v>
      </c>
      <c r="BL7" s="65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65" t="s">
        <v>8</v>
      </c>
      <c r="BL8" s="65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65" t="s">
        <v>7</v>
      </c>
      <c r="BL9" s="65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5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65" t="s">
        <v>10</v>
      </c>
      <c r="BL10" s="65" t="s">
        <v>12</v>
      </c>
      <c r="BM10" s="12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6"/>
      <c r="BL11" s="66"/>
      <c r="BM11" s="5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64"/>
      <c r="BL12" s="64"/>
      <c r="BM12" s="11"/>
    </row>
    <row r="13" spans="1:65" ht="15.75" customHeight="1">
      <c r="A13" s="16">
        <v>1</v>
      </c>
      <c r="B13" s="17" t="s">
        <v>14</v>
      </c>
      <c r="C13" s="27">
        <v>120.56</v>
      </c>
      <c r="D13" s="19">
        <v>79.49672</v>
      </c>
      <c r="E13" s="5"/>
      <c r="F13" s="27">
        <v>120.96</v>
      </c>
      <c r="G13" s="19">
        <v>79.16</v>
      </c>
      <c r="H13" s="5"/>
      <c r="I13" s="27">
        <v>120.82</v>
      </c>
      <c r="J13" s="19">
        <v>79.74</v>
      </c>
      <c r="K13" s="5"/>
      <c r="L13" s="27">
        <v>120.31</v>
      </c>
      <c r="M13" s="19">
        <v>80.27</v>
      </c>
      <c r="N13" s="5"/>
      <c r="O13" s="27">
        <v>120.65</v>
      </c>
      <c r="P13" s="19">
        <v>79.73</v>
      </c>
      <c r="Q13" s="5"/>
      <c r="R13" s="27">
        <v>121.24</v>
      </c>
      <c r="S13" s="19">
        <v>79.32</v>
      </c>
      <c r="T13" s="5"/>
      <c r="U13" s="27">
        <v>121.5</v>
      </c>
      <c r="V13" s="19">
        <v>79.1774</v>
      </c>
      <c r="W13" s="5"/>
      <c r="X13" s="27">
        <v>121.9</v>
      </c>
      <c r="Y13" s="19">
        <v>79.09</v>
      </c>
      <c r="Z13" s="5"/>
      <c r="AA13" s="27">
        <v>121.33</v>
      </c>
      <c r="AB13" s="19">
        <v>79.37</v>
      </c>
      <c r="AC13" s="5"/>
      <c r="AD13" s="27">
        <v>120.97</v>
      </c>
      <c r="AE13" s="19">
        <v>79.1</v>
      </c>
      <c r="AF13" s="5"/>
      <c r="AG13" s="27">
        <v>120.15</v>
      </c>
      <c r="AH13" s="19">
        <v>79.46</v>
      </c>
      <c r="AI13" s="5"/>
      <c r="AJ13" s="27">
        <v>119.41</v>
      </c>
      <c r="AK13" s="19">
        <v>79.94</v>
      </c>
      <c r="AL13" s="5"/>
      <c r="AM13" s="27">
        <v>119.46</v>
      </c>
      <c r="AN13" s="19">
        <v>79.84</v>
      </c>
      <c r="AO13" s="5"/>
      <c r="AP13" s="27">
        <v>120.05</v>
      </c>
      <c r="AQ13" s="19">
        <v>79.42</v>
      </c>
      <c r="AR13" s="5"/>
      <c r="AS13" s="27">
        <v>120.63</v>
      </c>
      <c r="AT13" s="19">
        <v>79.04</v>
      </c>
      <c r="AU13" s="5"/>
      <c r="AV13" s="27">
        <v>121.29</v>
      </c>
      <c r="AW13" s="19">
        <v>78.84</v>
      </c>
      <c r="AX13" s="5"/>
      <c r="AY13" s="27">
        <v>121.41</v>
      </c>
      <c r="AZ13" s="19">
        <v>78.71</v>
      </c>
      <c r="BA13" s="5"/>
      <c r="BB13" s="27">
        <v>120.71</v>
      </c>
      <c r="BC13" s="19">
        <v>79.06</v>
      </c>
      <c r="BD13" s="5"/>
      <c r="BE13" s="27">
        <v>119.32</v>
      </c>
      <c r="BF13" s="19">
        <v>79.93</v>
      </c>
      <c r="BG13" s="5"/>
      <c r="BH13" s="27">
        <v>118.57</v>
      </c>
      <c r="BI13" s="19">
        <v>80.58</v>
      </c>
      <c r="BJ13" s="5"/>
      <c r="BK13" s="92">
        <v>120.56200000000001</v>
      </c>
      <c r="BL13" s="93">
        <v>79.463706</v>
      </c>
      <c r="BM13" s="5"/>
    </row>
    <row r="14" spans="1:65" ht="15.75" customHeight="1">
      <c r="A14" s="16">
        <v>2</v>
      </c>
      <c r="B14" s="17" t="s">
        <v>15</v>
      </c>
      <c r="C14" s="27">
        <f>1/1.9642</f>
        <v>0.5091131249363609</v>
      </c>
      <c r="D14" s="19">
        <v>188.25138</v>
      </c>
      <c r="E14" s="5"/>
      <c r="F14" s="27">
        <f>1/1.9668</f>
        <v>0.508440105755542</v>
      </c>
      <c r="G14" s="19">
        <v>188.32</v>
      </c>
      <c r="H14" s="5"/>
      <c r="I14" s="27">
        <f>1/1.9573</f>
        <v>0.5109078833086395</v>
      </c>
      <c r="J14" s="19">
        <v>188.58</v>
      </c>
      <c r="K14" s="5"/>
      <c r="L14" s="27">
        <f>1/1.966</f>
        <v>0.508646998982706</v>
      </c>
      <c r="M14" s="19">
        <v>189.87</v>
      </c>
      <c r="N14" s="5"/>
      <c r="O14" s="27">
        <f>1/1.9705</f>
        <v>0.5074854097944684</v>
      </c>
      <c r="P14" s="19">
        <v>189.55</v>
      </c>
      <c r="Q14" s="5"/>
      <c r="R14" s="27">
        <f>1/1.9679</f>
        <v>0.5081559022308044</v>
      </c>
      <c r="S14" s="19">
        <v>189.26</v>
      </c>
      <c r="T14" s="5"/>
      <c r="U14" s="27">
        <f>1/1.9493</f>
        <v>0.5130046683424819</v>
      </c>
      <c r="V14" s="19">
        <v>187.5238</v>
      </c>
      <c r="W14" s="5"/>
      <c r="X14" s="27">
        <f>1/1.9453</f>
        <v>0.5140595280933532</v>
      </c>
      <c r="Y14" s="19">
        <v>187.55</v>
      </c>
      <c r="Z14" s="5"/>
      <c r="AA14" s="27">
        <f>1/1.942</f>
        <v>0.5149330587023687</v>
      </c>
      <c r="AB14" s="19">
        <v>187.02</v>
      </c>
      <c r="AC14" s="5"/>
      <c r="AD14" s="27">
        <f>1/1.9521</f>
        <v>0.5122688386865427</v>
      </c>
      <c r="AE14" s="19">
        <v>186.79</v>
      </c>
      <c r="AF14" s="5"/>
      <c r="AG14" s="27">
        <f>1/1.9568</f>
        <v>0.5110384300899428</v>
      </c>
      <c r="AH14" s="19">
        <v>186.81</v>
      </c>
      <c r="AI14" s="5"/>
      <c r="AJ14" s="27">
        <f>1/1.9482</f>
        <v>0.513294322964788</v>
      </c>
      <c r="AK14" s="19">
        <v>185.96</v>
      </c>
      <c r="AL14" s="5"/>
      <c r="AM14" s="27">
        <f>1/1.9447</f>
        <v>0.5142181313313107</v>
      </c>
      <c r="AN14" s="19">
        <v>185.48</v>
      </c>
      <c r="AO14" s="5"/>
      <c r="AP14" s="27">
        <f>1/1.9494</f>
        <v>0.5129783523135324</v>
      </c>
      <c r="AQ14" s="19">
        <v>185.86</v>
      </c>
      <c r="AR14" s="5"/>
      <c r="AS14" s="27">
        <f>1/1.9494</f>
        <v>0.5129783523135324</v>
      </c>
      <c r="AT14" s="19">
        <v>185.86</v>
      </c>
      <c r="AU14" s="5"/>
      <c r="AV14" s="27">
        <f>1/1.9495</f>
        <v>0.5129520389843549</v>
      </c>
      <c r="AW14" s="19">
        <v>186.43</v>
      </c>
      <c r="AX14" s="5"/>
      <c r="AY14" s="27">
        <f>1/1.957</f>
        <v>0.5109862033725089</v>
      </c>
      <c r="AZ14" s="19">
        <v>187.01</v>
      </c>
      <c r="BA14" s="5"/>
      <c r="BB14" s="27">
        <f>1/1.963</f>
        <v>0.5094243504839531</v>
      </c>
      <c r="BC14" s="19">
        <v>187.33</v>
      </c>
      <c r="BD14" s="5"/>
      <c r="BE14" s="27">
        <f>1/1.9643</f>
        <v>0.5090872066384972</v>
      </c>
      <c r="BF14" s="19">
        <v>187.35</v>
      </c>
      <c r="BG14" s="5"/>
      <c r="BH14" s="27">
        <f>1/1.9553</f>
        <v>0.5114304710274638</v>
      </c>
      <c r="BI14" s="19">
        <v>186.83</v>
      </c>
      <c r="BJ14" s="5"/>
      <c r="BK14" s="92">
        <v>0.5112701689176576</v>
      </c>
      <c r="BL14" s="93">
        <v>187.381759</v>
      </c>
      <c r="BM14" s="5"/>
    </row>
    <row r="15" spans="1:65" ht="15.75" customHeight="1">
      <c r="A15" s="16">
        <v>3</v>
      </c>
      <c r="B15" s="17" t="s">
        <v>16</v>
      </c>
      <c r="C15" s="27">
        <v>1.2451</v>
      </c>
      <c r="D15" s="19">
        <v>76.9747</v>
      </c>
      <c r="E15" s="5"/>
      <c r="F15" s="27">
        <v>1.2423</v>
      </c>
      <c r="G15" s="19">
        <v>77.07</v>
      </c>
      <c r="H15" s="5"/>
      <c r="I15" s="27">
        <v>1.2508</v>
      </c>
      <c r="J15" s="19">
        <v>77.03</v>
      </c>
      <c r="K15" s="5"/>
      <c r="L15" s="27">
        <v>1.2458</v>
      </c>
      <c r="M15" s="19">
        <v>77.52</v>
      </c>
      <c r="N15" s="5"/>
      <c r="O15" s="27">
        <v>1.2397</v>
      </c>
      <c r="P15" s="19">
        <v>77.59</v>
      </c>
      <c r="Q15" s="5"/>
      <c r="R15" s="27">
        <v>1.2489</v>
      </c>
      <c r="S15" s="19">
        <v>77</v>
      </c>
      <c r="T15" s="5"/>
      <c r="U15" s="27">
        <v>1.2506</v>
      </c>
      <c r="V15" s="19">
        <v>76.923</v>
      </c>
      <c r="W15" s="5"/>
      <c r="X15" s="27">
        <v>1.253</v>
      </c>
      <c r="Y15" s="19">
        <v>76.94</v>
      </c>
      <c r="Z15" s="5"/>
      <c r="AA15" s="27">
        <v>1.2486</v>
      </c>
      <c r="AB15" s="19">
        <v>77.13</v>
      </c>
      <c r="AC15" s="5"/>
      <c r="AD15" s="27">
        <v>1.2422</v>
      </c>
      <c r="AE15" s="19">
        <v>77.03</v>
      </c>
      <c r="AF15" s="5"/>
      <c r="AG15" s="27">
        <v>1.2384</v>
      </c>
      <c r="AH15" s="19">
        <v>77.09</v>
      </c>
      <c r="AI15" s="5"/>
      <c r="AJ15" s="27">
        <v>1.2361</v>
      </c>
      <c r="AK15" s="19">
        <v>77.22</v>
      </c>
      <c r="AL15" s="5"/>
      <c r="AM15" s="27">
        <v>1.2338</v>
      </c>
      <c r="AN15" s="19">
        <v>77.3</v>
      </c>
      <c r="AO15" s="5"/>
      <c r="AP15" s="27">
        <v>1.236</v>
      </c>
      <c r="AQ15" s="19">
        <v>77.14</v>
      </c>
      <c r="AR15" s="5"/>
      <c r="AS15" s="27">
        <v>1.2373</v>
      </c>
      <c r="AT15" s="19">
        <v>77.06</v>
      </c>
      <c r="AU15" s="5"/>
      <c r="AV15" s="27">
        <v>1.2431</v>
      </c>
      <c r="AW15" s="19">
        <v>76.93</v>
      </c>
      <c r="AX15" s="5"/>
      <c r="AY15" s="27">
        <v>1.2391</v>
      </c>
      <c r="AZ15" s="19">
        <v>77.12</v>
      </c>
      <c r="BA15" s="5"/>
      <c r="BB15" s="27">
        <v>1.2311</v>
      </c>
      <c r="BC15" s="19">
        <v>77.52</v>
      </c>
      <c r="BD15" s="5"/>
      <c r="BE15" s="27">
        <v>1.2241</v>
      </c>
      <c r="BF15" s="19">
        <v>77.92</v>
      </c>
      <c r="BG15" s="5"/>
      <c r="BH15" s="27">
        <v>1.2224</v>
      </c>
      <c r="BI15" s="19">
        <v>78.16</v>
      </c>
      <c r="BJ15" s="5"/>
      <c r="BK15" s="92">
        <v>1.24042</v>
      </c>
      <c r="BL15" s="93">
        <v>77.23338500000001</v>
      </c>
      <c r="BM15" s="5"/>
    </row>
    <row r="16" spans="1:65" ht="15.75" customHeight="1">
      <c r="A16" s="16">
        <v>4</v>
      </c>
      <c r="B16" s="17" t="s">
        <v>17</v>
      </c>
      <c r="C16" s="27">
        <f>1/1.3005</f>
        <v>0.7689350249903883</v>
      </c>
      <c r="D16" s="19">
        <v>124.603</v>
      </c>
      <c r="E16" s="5"/>
      <c r="F16" s="27">
        <f>1/1.3018</f>
        <v>0.7681671531725303</v>
      </c>
      <c r="G16" s="19">
        <v>124.58</v>
      </c>
      <c r="H16" s="5"/>
      <c r="I16" s="27">
        <f>1/1.2932</f>
        <v>0.7732755954222086</v>
      </c>
      <c r="J16" s="19">
        <v>124.69</v>
      </c>
      <c r="K16" s="5"/>
      <c r="L16" s="27">
        <f>1/1.2936</f>
        <v>0.7730364873222015</v>
      </c>
      <c r="M16" s="19">
        <v>124.86</v>
      </c>
      <c r="N16" s="5"/>
      <c r="O16" s="27">
        <f>1/1.299</f>
        <v>0.7698229407236336</v>
      </c>
      <c r="P16" s="19">
        <v>124.94</v>
      </c>
      <c r="Q16" s="5"/>
      <c r="R16" s="27">
        <f>1/1.2984</f>
        <v>0.7701786814540974</v>
      </c>
      <c r="S16" s="19">
        <v>124.87</v>
      </c>
      <c r="T16" s="5"/>
      <c r="U16" s="27">
        <f>1/1.2999</f>
        <v>0.7692899453804138</v>
      </c>
      <c r="V16" s="19">
        <v>125.0668</v>
      </c>
      <c r="W16" s="5"/>
      <c r="X16" s="27">
        <f>1/1.2959</f>
        <v>0.7716644802839725</v>
      </c>
      <c r="Y16" s="19">
        <v>124.99</v>
      </c>
      <c r="Z16" s="5"/>
      <c r="AA16" s="27">
        <f>1/1.3005</f>
        <v>0.7689350249903883</v>
      </c>
      <c r="AB16" s="19">
        <v>125.22</v>
      </c>
      <c r="AC16" s="5"/>
      <c r="AD16" s="27">
        <f>1/1.3097</f>
        <v>0.7635336336565626</v>
      </c>
      <c r="AE16" s="19">
        <v>125.23</v>
      </c>
      <c r="AF16" s="5"/>
      <c r="AG16" s="27">
        <f>1/1.3134</f>
        <v>0.7613826709304097</v>
      </c>
      <c r="AH16" s="19">
        <v>125.3</v>
      </c>
      <c r="AI16" s="5"/>
      <c r="AJ16" s="27">
        <f>1/1.3125</f>
        <v>0.7619047619047619</v>
      </c>
      <c r="AK16" s="19">
        <v>125.21</v>
      </c>
      <c r="AL16" s="5"/>
      <c r="AM16" s="27">
        <f>1/1.3131</f>
        <v>0.7615566217348261</v>
      </c>
      <c r="AN16" s="19">
        <v>125.25</v>
      </c>
      <c r="AO16" s="5"/>
      <c r="AP16" s="27">
        <f>1/1.3154</f>
        <v>0.7602250266078759</v>
      </c>
      <c r="AQ16" s="19">
        <v>125.35</v>
      </c>
      <c r="AR16" s="5"/>
      <c r="AS16" s="27">
        <f>1/1.3146</f>
        <v>0.7606876616461281</v>
      </c>
      <c r="AT16" s="19">
        <v>125.32</v>
      </c>
      <c r="AU16" s="5"/>
      <c r="AV16" s="27">
        <f>1/1.3088</f>
        <v>0.7640586797066015</v>
      </c>
      <c r="AW16" s="19">
        <v>125.23</v>
      </c>
      <c r="AX16" s="5"/>
      <c r="AY16" s="27">
        <f>1/1.3116</f>
        <v>0.7624275693809087</v>
      </c>
      <c r="AZ16" s="19">
        <v>125.32</v>
      </c>
      <c r="BA16" s="5"/>
      <c r="BB16" s="27">
        <f>1/1.3162</f>
        <v>0.759762953958365</v>
      </c>
      <c r="BC16" s="19">
        <v>125.6</v>
      </c>
      <c r="BD16" s="5"/>
      <c r="BE16" s="27">
        <f>1/1.3212</f>
        <v>0.7568876778686043</v>
      </c>
      <c r="BF16" s="19">
        <v>125.94</v>
      </c>
      <c r="BG16" s="5"/>
      <c r="BH16" s="27">
        <f>1/1.3189</f>
        <v>0.7582075972401243</v>
      </c>
      <c r="BI16" s="19">
        <v>126</v>
      </c>
      <c r="BJ16" s="5"/>
      <c r="BK16" s="92">
        <v>0.7651970094187501</v>
      </c>
      <c r="BL16" s="93">
        <v>125.17848999999998</v>
      </c>
      <c r="BM16" s="5"/>
    </row>
    <row r="17" spans="1:65" ht="15.75" customHeight="1">
      <c r="A17" s="16">
        <v>5</v>
      </c>
      <c r="B17" s="17" t="s">
        <v>18</v>
      </c>
      <c r="C17" s="27">
        <v>652</v>
      </c>
      <c r="D17" s="19">
        <v>62488.495</v>
      </c>
      <c r="E17" s="5"/>
      <c r="F17" s="27">
        <v>655.2</v>
      </c>
      <c r="G17" s="19">
        <v>62734.17</v>
      </c>
      <c r="H17" s="5"/>
      <c r="I17" s="27">
        <v>647.6</v>
      </c>
      <c r="J17" s="19">
        <v>62394.64</v>
      </c>
      <c r="K17" s="5"/>
      <c r="L17" s="27">
        <v>653.4</v>
      </c>
      <c r="M17" s="19">
        <v>63102.51</v>
      </c>
      <c r="N17" s="5"/>
      <c r="O17" s="27">
        <v>655</v>
      </c>
      <c r="P17" s="19">
        <v>63006.5</v>
      </c>
      <c r="Q17" s="5"/>
      <c r="R17" s="27">
        <v>649.5</v>
      </c>
      <c r="S17" s="19">
        <v>62463.23</v>
      </c>
      <c r="T17" s="5"/>
      <c r="U17" s="27">
        <v>658.3</v>
      </c>
      <c r="V17" s="19">
        <v>63328.8714</v>
      </c>
      <c r="W17" s="5"/>
      <c r="X17" s="27">
        <v>663.3</v>
      </c>
      <c r="Y17" s="19">
        <v>63949.58</v>
      </c>
      <c r="Z17" s="5"/>
      <c r="AA17" s="27">
        <v>664.6</v>
      </c>
      <c r="AB17" s="19">
        <v>64002.23</v>
      </c>
      <c r="AC17" s="5"/>
      <c r="AD17" s="27">
        <v>668.6</v>
      </c>
      <c r="AE17" s="19">
        <v>63977.08</v>
      </c>
      <c r="AF17" s="5"/>
      <c r="AG17" s="27">
        <v>670.1</v>
      </c>
      <c r="AH17" s="19">
        <v>63971.52</v>
      </c>
      <c r="AI17" s="5"/>
      <c r="AJ17" s="27">
        <v>664.9</v>
      </c>
      <c r="AK17" s="19">
        <v>63466.37</v>
      </c>
      <c r="AL17" s="5"/>
      <c r="AM17" s="27">
        <v>670</v>
      </c>
      <c r="AN17" s="19">
        <v>63902.51</v>
      </c>
      <c r="AO17" s="5"/>
      <c r="AP17" s="27">
        <v>668.5</v>
      </c>
      <c r="AQ17" s="19">
        <v>63735.21</v>
      </c>
      <c r="AR17" s="5"/>
      <c r="AS17" s="27">
        <v>658.4</v>
      </c>
      <c r="AT17" s="19">
        <v>62773.09</v>
      </c>
      <c r="AU17" s="5"/>
      <c r="AV17" s="27">
        <v>675.9</v>
      </c>
      <c r="AW17" s="19">
        <v>64636.74</v>
      </c>
      <c r="AX17" s="5"/>
      <c r="AY17" s="27">
        <v>677.2</v>
      </c>
      <c r="AZ17" s="19">
        <v>64711.96</v>
      </c>
      <c r="BA17" s="5"/>
      <c r="BB17" s="27">
        <v>685</v>
      </c>
      <c r="BC17" s="19">
        <v>65368.69</v>
      </c>
      <c r="BD17" s="5"/>
      <c r="BE17" s="27">
        <v>683.8</v>
      </c>
      <c r="BF17" s="19">
        <v>65218.28</v>
      </c>
      <c r="BG17" s="5"/>
      <c r="BH17" s="27">
        <v>676.8</v>
      </c>
      <c r="BI17" s="19">
        <v>64666.97</v>
      </c>
      <c r="BJ17" s="5"/>
      <c r="BK17" s="92">
        <v>664.905</v>
      </c>
      <c r="BL17" s="93">
        <v>63694.93232</v>
      </c>
      <c r="BM17" s="5"/>
    </row>
    <row r="18" spans="1:65" ht="15.75" customHeight="1">
      <c r="A18" s="16">
        <v>6</v>
      </c>
      <c r="B18" s="20" t="s">
        <v>19</v>
      </c>
      <c r="C18" s="27">
        <v>13.51</v>
      </c>
      <c r="D18" s="19">
        <v>1294.815</v>
      </c>
      <c r="E18" s="5"/>
      <c r="F18" s="27">
        <v>13.64</v>
      </c>
      <c r="G18" s="19">
        <v>1306</v>
      </c>
      <c r="H18" s="5"/>
      <c r="I18" s="27">
        <v>13.32</v>
      </c>
      <c r="J18" s="19">
        <v>1283.35</v>
      </c>
      <c r="K18" s="5"/>
      <c r="L18" s="27">
        <v>13.62</v>
      </c>
      <c r="M18" s="19">
        <v>1315.36</v>
      </c>
      <c r="N18" s="5"/>
      <c r="O18" s="27">
        <v>13.67</v>
      </c>
      <c r="P18" s="19">
        <v>1314.96</v>
      </c>
      <c r="Q18" s="5"/>
      <c r="R18" s="27">
        <v>13.52</v>
      </c>
      <c r="S18" s="19">
        <v>1300.24</v>
      </c>
      <c r="T18" s="5"/>
      <c r="U18" s="27">
        <v>13.84</v>
      </c>
      <c r="V18" s="19">
        <v>1331.41665</v>
      </c>
      <c r="W18" s="5"/>
      <c r="X18" s="27">
        <v>13.75</v>
      </c>
      <c r="Y18" s="19">
        <v>1325.65</v>
      </c>
      <c r="Z18" s="5"/>
      <c r="AA18" s="27">
        <v>13.76</v>
      </c>
      <c r="AB18" s="19">
        <v>1325.11</v>
      </c>
      <c r="AC18" s="5"/>
      <c r="AD18" s="27">
        <v>13.95</v>
      </c>
      <c r="AE18" s="19">
        <v>1334.85</v>
      </c>
      <c r="AF18" s="5"/>
      <c r="AG18" s="27">
        <v>14.01</v>
      </c>
      <c r="AH18" s="19">
        <v>1337.47</v>
      </c>
      <c r="AI18" s="5"/>
      <c r="AJ18" s="27">
        <v>13.9</v>
      </c>
      <c r="AK18" s="19">
        <v>1326.79</v>
      </c>
      <c r="AL18" s="5"/>
      <c r="AM18" s="27">
        <v>14</v>
      </c>
      <c r="AN18" s="19">
        <v>1335.28</v>
      </c>
      <c r="AO18" s="5"/>
      <c r="AP18" s="27">
        <v>13.92</v>
      </c>
      <c r="AQ18" s="19">
        <v>1327.14</v>
      </c>
      <c r="AR18" s="5"/>
      <c r="AS18" s="27">
        <v>13.72</v>
      </c>
      <c r="AT18" s="19">
        <v>1308.09</v>
      </c>
      <c r="AU18" s="5"/>
      <c r="AV18" s="27">
        <v>14.18</v>
      </c>
      <c r="AW18" s="19">
        <v>1356.04</v>
      </c>
      <c r="AX18" s="5"/>
      <c r="AY18" s="27">
        <v>14.26</v>
      </c>
      <c r="AZ18" s="19">
        <v>1362.66</v>
      </c>
      <c r="BA18" s="5"/>
      <c r="BB18" s="27">
        <v>14.56</v>
      </c>
      <c r="BC18" s="19">
        <v>1389.44</v>
      </c>
      <c r="BD18" s="5"/>
      <c r="BE18" s="27">
        <v>14.53</v>
      </c>
      <c r="BF18" s="19">
        <v>1385.82</v>
      </c>
      <c r="BG18" s="5"/>
      <c r="BH18" s="27">
        <v>14.3</v>
      </c>
      <c r="BI18" s="19">
        <v>1366.34</v>
      </c>
      <c r="BJ18" s="5"/>
      <c r="BK18" s="92">
        <v>13.898</v>
      </c>
      <c r="BL18" s="93">
        <v>1331.3410824999999</v>
      </c>
      <c r="BM18" s="5"/>
    </row>
    <row r="19" spans="1:65" ht="15.75" customHeight="1">
      <c r="A19" s="16">
        <v>7</v>
      </c>
      <c r="B19" s="17" t="s">
        <v>20</v>
      </c>
      <c r="C19" s="27">
        <f>1/0.7751</f>
        <v>1.2901561088891755</v>
      </c>
      <c r="D19" s="19">
        <v>74.286</v>
      </c>
      <c r="E19" s="5"/>
      <c r="F19" s="27">
        <f>1/0.7725</f>
        <v>1.2944983818770228</v>
      </c>
      <c r="G19" s="19">
        <v>73.97</v>
      </c>
      <c r="H19" s="5"/>
      <c r="I19" s="27">
        <f>1/0.7738</f>
        <v>1.2923235978288963</v>
      </c>
      <c r="J19" s="19">
        <v>74.55</v>
      </c>
      <c r="K19" s="5"/>
      <c r="L19" s="27">
        <f>1/0.775</f>
        <v>1.2903225806451613</v>
      </c>
      <c r="M19" s="19">
        <v>74.85</v>
      </c>
      <c r="N19" s="5"/>
      <c r="O19" s="27">
        <f>1/0.7774</f>
        <v>1.2863390789812195</v>
      </c>
      <c r="P19" s="19">
        <v>74.78</v>
      </c>
      <c r="Q19" s="5"/>
      <c r="R19" s="27">
        <f>1/0.7784</f>
        <v>1.2846865364850977</v>
      </c>
      <c r="S19" s="19">
        <v>74.86</v>
      </c>
      <c r="T19" s="5"/>
      <c r="U19" s="27">
        <f>1/0.7785</f>
        <v>1.2845215157353886</v>
      </c>
      <c r="V19" s="19">
        <v>74.892</v>
      </c>
      <c r="W19" s="5"/>
      <c r="X19" s="27">
        <f>1/0.7733</f>
        <v>1.29315918789603</v>
      </c>
      <c r="Y19" s="19">
        <v>74.55</v>
      </c>
      <c r="Z19" s="5"/>
      <c r="AA19" s="27">
        <f>1/0.7747</f>
        <v>1.290822253775655</v>
      </c>
      <c r="AB19" s="19">
        <v>74.61</v>
      </c>
      <c r="AC19" s="5"/>
      <c r="AD19" s="27">
        <f>1/0.7826</f>
        <v>1.2777919754663942</v>
      </c>
      <c r="AE19" s="19">
        <v>74.89</v>
      </c>
      <c r="AF19" s="5"/>
      <c r="AG19" s="27">
        <f>1/0.784</f>
        <v>1.2755102040816326</v>
      </c>
      <c r="AH19" s="19">
        <v>74.85</v>
      </c>
      <c r="AI19" s="5"/>
      <c r="AJ19" s="27">
        <f>1/0.7838</f>
        <v>1.2758356723653992</v>
      </c>
      <c r="AK19" s="19">
        <v>74.82</v>
      </c>
      <c r="AL19" s="5"/>
      <c r="AM19" s="27">
        <f>1/0.786</f>
        <v>1.272264631043257</v>
      </c>
      <c r="AN19" s="19">
        <v>74.97</v>
      </c>
      <c r="AO19" s="5"/>
      <c r="AP19" s="27">
        <f>1/0.7859</f>
        <v>1.272426517368622</v>
      </c>
      <c r="AQ19" s="19">
        <v>74.93</v>
      </c>
      <c r="AR19" s="5"/>
      <c r="AS19" s="27">
        <f>1/0.7892</f>
        <v>1.2671059300557526</v>
      </c>
      <c r="AT19" s="19">
        <v>75.24</v>
      </c>
      <c r="AU19" s="5"/>
      <c r="AV19" s="27">
        <f>1/0.788</f>
        <v>1.2690355329949239</v>
      </c>
      <c r="AW19" s="19">
        <v>75.36</v>
      </c>
      <c r="AX19" s="5"/>
      <c r="AY19" s="27">
        <f>1/0.7892</f>
        <v>1.2671059300557526</v>
      </c>
      <c r="AZ19" s="19">
        <v>75.41</v>
      </c>
      <c r="BA19" s="5"/>
      <c r="BB19" s="27">
        <f>1/0.7924</f>
        <v>1.2619888944977284</v>
      </c>
      <c r="BC19" s="19">
        <v>75.62</v>
      </c>
      <c r="BD19" s="5"/>
      <c r="BE19" s="27">
        <f>1/0.7933</f>
        <v>1.2605571662674901</v>
      </c>
      <c r="BF19" s="19">
        <v>75.66</v>
      </c>
      <c r="BG19" s="5"/>
      <c r="BH19" s="27">
        <f>1/0.7874</f>
        <v>1.27000254000508</v>
      </c>
      <c r="BI19" s="19">
        <v>75.23</v>
      </c>
      <c r="BJ19" s="18"/>
      <c r="BK19" s="92">
        <v>1.278822711815784</v>
      </c>
      <c r="BL19" s="93">
        <v>74.91640000000001</v>
      </c>
      <c r="BM19" s="18"/>
    </row>
    <row r="20" spans="1:65" ht="15.75" customHeight="1">
      <c r="A20" s="16">
        <v>8</v>
      </c>
      <c r="B20" s="17" t="s">
        <v>21</v>
      </c>
      <c r="C20" s="27">
        <v>1.1789</v>
      </c>
      <c r="D20" s="19">
        <v>81.297</v>
      </c>
      <c r="E20" s="5"/>
      <c r="F20" s="27">
        <v>1.1825</v>
      </c>
      <c r="G20" s="19">
        <v>80.97</v>
      </c>
      <c r="H20" s="5"/>
      <c r="I20" s="27">
        <v>1.1858</v>
      </c>
      <c r="J20" s="19">
        <v>81.25</v>
      </c>
      <c r="K20" s="5"/>
      <c r="L20" s="27">
        <v>1.1821</v>
      </c>
      <c r="M20" s="19">
        <v>81.7</v>
      </c>
      <c r="N20" s="5"/>
      <c r="O20" s="27">
        <v>1.1826</v>
      </c>
      <c r="P20" s="19">
        <v>81.34</v>
      </c>
      <c r="Q20" s="5"/>
      <c r="R20" s="27">
        <v>1.1854</v>
      </c>
      <c r="S20" s="19">
        <v>81.13</v>
      </c>
      <c r="T20" s="5"/>
      <c r="U20" s="27">
        <v>1.1841</v>
      </c>
      <c r="V20" s="19">
        <v>81.243666</v>
      </c>
      <c r="W20" s="5"/>
      <c r="X20" s="27">
        <v>1.1725</v>
      </c>
      <c r="Y20" s="19">
        <v>82.23</v>
      </c>
      <c r="Z20" s="5"/>
      <c r="AA20" s="27">
        <v>1.1733</v>
      </c>
      <c r="AB20" s="19">
        <v>82.08</v>
      </c>
      <c r="AC20" s="5"/>
      <c r="AD20" s="27">
        <v>1.1668</v>
      </c>
      <c r="AE20" s="19">
        <v>82.01</v>
      </c>
      <c r="AF20" s="5"/>
      <c r="AG20" s="27">
        <v>1.1663</v>
      </c>
      <c r="AH20" s="19">
        <v>81.85</v>
      </c>
      <c r="AI20" s="5"/>
      <c r="AJ20" s="27">
        <v>1.1641</v>
      </c>
      <c r="AK20" s="19">
        <v>82</v>
      </c>
      <c r="AL20" s="5"/>
      <c r="AM20" s="27">
        <v>1.1653</v>
      </c>
      <c r="AN20" s="19">
        <v>81.85</v>
      </c>
      <c r="AO20" s="5"/>
      <c r="AP20" s="27">
        <v>1.1641</v>
      </c>
      <c r="AQ20" s="19">
        <v>81.9</v>
      </c>
      <c r="AR20" s="5"/>
      <c r="AS20" s="27">
        <v>1.1679</v>
      </c>
      <c r="AT20" s="19">
        <v>81.64</v>
      </c>
      <c r="AU20" s="5"/>
      <c r="AV20" s="27">
        <v>1.1604</v>
      </c>
      <c r="AW20" s="19">
        <v>82.41</v>
      </c>
      <c r="AX20" s="5"/>
      <c r="AY20" s="27">
        <v>1.1607</v>
      </c>
      <c r="AZ20" s="19">
        <v>82.33</v>
      </c>
      <c r="BA20" s="5"/>
      <c r="BB20" s="27">
        <v>1.1593</v>
      </c>
      <c r="BC20" s="19">
        <v>82.32</v>
      </c>
      <c r="BD20" s="5"/>
      <c r="BE20" s="27">
        <v>1.1608</v>
      </c>
      <c r="BF20" s="19">
        <v>82.16</v>
      </c>
      <c r="BG20" s="5"/>
      <c r="BH20" s="27">
        <v>1.1682</v>
      </c>
      <c r="BI20" s="19">
        <v>81.79</v>
      </c>
      <c r="BJ20" s="5"/>
      <c r="BK20" s="92">
        <v>1.1715550000000001</v>
      </c>
      <c r="BL20" s="93">
        <v>81.7750333</v>
      </c>
      <c r="BM20" s="5"/>
    </row>
    <row r="21" spans="1:65" ht="15.75" customHeight="1">
      <c r="A21" s="16">
        <v>9</v>
      </c>
      <c r="B21" s="17" t="s">
        <v>22</v>
      </c>
      <c r="C21" s="27">
        <v>6.9478</v>
      </c>
      <c r="D21" s="19">
        <v>13.794</v>
      </c>
      <c r="E21" s="5"/>
      <c r="F21" s="27">
        <v>6.9562</v>
      </c>
      <c r="G21" s="19">
        <v>13.76</v>
      </c>
      <c r="H21" s="5"/>
      <c r="I21" s="27">
        <v>7.0125</v>
      </c>
      <c r="J21" s="19">
        <v>13.74</v>
      </c>
      <c r="K21" s="5"/>
      <c r="L21" s="27">
        <v>7.0581</v>
      </c>
      <c r="M21" s="19">
        <v>13.68</v>
      </c>
      <c r="N21" s="5"/>
      <c r="O21" s="27">
        <v>7.016</v>
      </c>
      <c r="P21" s="19">
        <v>13.71</v>
      </c>
      <c r="Q21" s="5"/>
      <c r="R21" s="27">
        <v>7.0123</v>
      </c>
      <c r="S21" s="19">
        <v>13.71</v>
      </c>
      <c r="T21" s="5"/>
      <c r="U21" s="27">
        <v>6.996</v>
      </c>
      <c r="V21" s="19">
        <v>13.7508</v>
      </c>
      <c r="W21" s="5"/>
      <c r="X21" s="27">
        <v>7.0216</v>
      </c>
      <c r="Y21" s="19">
        <v>13.73</v>
      </c>
      <c r="Z21" s="5"/>
      <c r="AA21" s="27">
        <v>7.0366</v>
      </c>
      <c r="AB21" s="19">
        <v>13.69</v>
      </c>
      <c r="AC21" s="5"/>
      <c r="AD21" s="27">
        <v>6.9838</v>
      </c>
      <c r="AE21" s="19">
        <v>13.7</v>
      </c>
      <c r="AF21" s="5"/>
      <c r="AG21" s="27">
        <v>7.0152</v>
      </c>
      <c r="AH21" s="19">
        <v>13.61</v>
      </c>
      <c r="AI21" s="5"/>
      <c r="AJ21" s="27">
        <v>7.0543</v>
      </c>
      <c r="AK21" s="19">
        <v>13.53</v>
      </c>
      <c r="AL21" s="5"/>
      <c r="AM21" s="27">
        <v>7.037</v>
      </c>
      <c r="AN21" s="19">
        <v>13.55</v>
      </c>
      <c r="AO21" s="5"/>
      <c r="AP21" s="27">
        <v>7.0302</v>
      </c>
      <c r="AQ21" s="19">
        <v>13.56</v>
      </c>
      <c r="AR21" s="5"/>
      <c r="AS21" s="27">
        <v>7.0613</v>
      </c>
      <c r="AT21" s="19">
        <v>13.5</v>
      </c>
      <c r="AU21" s="5"/>
      <c r="AV21" s="27">
        <v>7.11</v>
      </c>
      <c r="AW21" s="19">
        <v>13.45</v>
      </c>
      <c r="AX21" s="5"/>
      <c r="AY21" s="27">
        <v>7.0941</v>
      </c>
      <c r="AZ21" s="19">
        <v>13.47</v>
      </c>
      <c r="BA21" s="5"/>
      <c r="BB21" s="27">
        <v>7.0571</v>
      </c>
      <c r="BC21" s="19">
        <v>13.52</v>
      </c>
      <c r="BD21" s="5"/>
      <c r="BE21" s="27">
        <v>7.0033</v>
      </c>
      <c r="BF21" s="19">
        <v>13.62</v>
      </c>
      <c r="BG21" s="5"/>
      <c r="BH21" s="27">
        <v>7.0424</v>
      </c>
      <c r="BI21" s="19">
        <v>13.57</v>
      </c>
      <c r="BJ21" s="5"/>
      <c r="BK21" s="92">
        <v>7.027289999999999</v>
      </c>
      <c r="BL21" s="93">
        <v>13.63224</v>
      </c>
      <c r="BM21" s="5"/>
    </row>
    <row r="22" spans="1:65" ht="15.75" customHeight="1">
      <c r="A22" s="16">
        <v>10</v>
      </c>
      <c r="B22" s="17" t="s">
        <v>23</v>
      </c>
      <c r="C22" s="27">
        <v>6.2483</v>
      </c>
      <c r="D22" s="19">
        <v>15.3387</v>
      </c>
      <c r="E22" s="5"/>
      <c r="F22" s="27">
        <v>6.2424</v>
      </c>
      <c r="G22" s="19">
        <v>15.34</v>
      </c>
      <c r="H22" s="5"/>
      <c r="I22" s="27">
        <v>6.272</v>
      </c>
      <c r="J22" s="19">
        <v>15.36</v>
      </c>
      <c r="K22" s="5"/>
      <c r="L22" s="27">
        <v>6.2748</v>
      </c>
      <c r="M22" s="19">
        <v>15.39</v>
      </c>
      <c r="N22" s="5"/>
      <c r="O22" s="27">
        <v>6.2259</v>
      </c>
      <c r="P22" s="19">
        <v>15.45</v>
      </c>
      <c r="Q22" s="5"/>
      <c r="R22" s="27">
        <v>6.2344</v>
      </c>
      <c r="S22" s="19">
        <v>15.43</v>
      </c>
      <c r="T22" s="5"/>
      <c r="U22" s="27">
        <v>6.262</v>
      </c>
      <c r="V22" s="19">
        <v>15.3626</v>
      </c>
      <c r="W22" s="5"/>
      <c r="X22" s="27">
        <v>6.254</v>
      </c>
      <c r="Y22" s="19">
        <v>15.42</v>
      </c>
      <c r="Z22" s="5"/>
      <c r="AA22" s="27">
        <v>6.2298</v>
      </c>
      <c r="AB22" s="19">
        <v>15.46</v>
      </c>
      <c r="AC22" s="5"/>
      <c r="AD22" s="27">
        <v>6.1734</v>
      </c>
      <c r="AE22" s="19">
        <v>15.5</v>
      </c>
      <c r="AF22" s="5"/>
      <c r="AG22" s="27">
        <v>6.1468</v>
      </c>
      <c r="AH22" s="19">
        <v>15.53</v>
      </c>
      <c r="AI22" s="5"/>
      <c r="AJ22" s="27">
        <v>6.1264</v>
      </c>
      <c r="AK22" s="19">
        <v>15.58</v>
      </c>
      <c r="AL22" s="5"/>
      <c r="AM22" s="27">
        <v>6.1297</v>
      </c>
      <c r="AN22" s="19">
        <v>15.56</v>
      </c>
      <c r="AO22" s="5"/>
      <c r="AP22" s="27">
        <v>6.1067</v>
      </c>
      <c r="AQ22" s="19">
        <v>15.61</v>
      </c>
      <c r="AR22" s="5"/>
      <c r="AS22" s="27">
        <v>6.1231</v>
      </c>
      <c r="AT22" s="19">
        <v>15.57</v>
      </c>
      <c r="AU22" s="5"/>
      <c r="AV22" s="27">
        <v>6.159</v>
      </c>
      <c r="AW22" s="19">
        <v>15.53</v>
      </c>
      <c r="AX22" s="5"/>
      <c r="AY22" s="27">
        <v>6.148</v>
      </c>
      <c r="AZ22" s="19">
        <v>15.54</v>
      </c>
      <c r="BA22" s="5"/>
      <c r="BB22" s="27">
        <v>6.126</v>
      </c>
      <c r="BC22" s="19">
        <v>15.58</v>
      </c>
      <c r="BD22" s="5"/>
      <c r="BE22" s="27">
        <v>6.092</v>
      </c>
      <c r="BF22" s="19">
        <v>15.66</v>
      </c>
      <c r="BG22" s="5"/>
      <c r="BH22" s="27">
        <v>6.147</v>
      </c>
      <c r="BI22" s="19">
        <v>15.54</v>
      </c>
      <c r="BJ22" s="5"/>
      <c r="BK22" s="92">
        <v>6.186085</v>
      </c>
      <c r="BL22" s="93">
        <v>15.487565</v>
      </c>
      <c r="BM22" s="5"/>
    </row>
    <row r="23" spans="1:65" ht="15.75" customHeight="1">
      <c r="A23" s="16">
        <v>11</v>
      </c>
      <c r="B23" s="17" t="s">
        <v>24</v>
      </c>
      <c r="C23" s="27">
        <v>5.7313</v>
      </c>
      <c r="D23" s="19">
        <v>16.7224</v>
      </c>
      <c r="E23" s="5"/>
      <c r="F23" s="27">
        <v>5.725</v>
      </c>
      <c r="G23" s="19">
        <v>16.72</v>
      </c>
      <c r="H23" s="5"/>
      <c r="I23" s="27">
        <v>5.763</v>
      </c>
      <c r="J23" s="19">
        <v>16.72</v>
      </c>
      <c r="K23" s="5"/>
      <c r="L23" s="27">
        <v>5.761</v>
      </c>
      <c r="M23" s="19">
        <v>16.76</v>
      </c>
      <c r="N23" s="5"/>
      <c r="O23" s="27">
        <v>5.7372</v>
      </c>
      <c r="P23" s="19">
        <v>16.77</v>
      </c>
      <c r="Q23" s="5"/>
      <c r="R23" s="27">
        <v>5.7396</v>
      </c>
      <c r="S23" s="19">
        <v>16.76</v>
      </c>
      <c r="T23" s="5"/>
      <c r="U23" s="27">
        <v>5.7327</v>
      </c>
      <c r="V23" s="19">
        <v>16.781</v>
      </c>
      <c r="W23" s="5"/>
      <c r="X23" s="27">
        <v>5.7508</v>
      </c>
      <c r="Y23" s="19">
        <v>16.76</v>
      </c>
      <c r="Z23" s="5"/>
      <c r="AA23" s="27">
        <v>5.7306</v>
      </c>
      <c r="AB23" s="19">
        <v>16.8</v>
      </c>
      <c r="AC23" s="5"/>
      <c r="AD23" s="27">
        <v>5.6875</v>
      </c>
      <c r="AE23" s="19">
        <v>16.82</v>
      </c>
      <c r="AF23" s="5"/>
      <c r="AG23" s="27">
        <v>5.6744</v>
      </c>
      <c r="AH23" s="19">
        <v>16.82</v>
      </c>
      <c r="AI23" s="5"/>
      <c r="AJ23" s="27">
        <v>5.6792</v>
      </c>
      <c r="AK23" s="19">
        <v>16.81</v>
      </c>
      <c r="AL23" s="5"/>
      <c r="AM23" s="27">
        <v>5.6764</v>
      </c>
      <c r="AN23" s="19">
        <v>16.8</v>
      </c>
      <c r="AO23" s="5"/>
      <c r="AP23" s="27">
        <v>5.6666</v>
      </c>
      <c r="AQ23" s="19">
        <v>16.83</v>
      </c>
      <c r="AR23" s="5"/>
      <c r="AS23" s="27">
        <v>5.6688</v>
      </c>
      <c r="AT23" s="19">
        <v>16.82</v>
      </c>
      <c r="AU23" s="5"/>
      <c r="AV23" s="27">
        <v>5.695</v>
      </c>
      <c r="AW23" s="19">
        <v>16.79</v>
      </c>
      <c r="AX23" s="5"/>
      <c r="AY23" s="27">
        <v>5.6828</v>
      </c>
      <c r="AZ23" s="19">
        <v>16.82</v>
      </c>
      <c r="BA23" s="5"/>
      <c r="BB23" s="27">
        <v>5.6623</v>
      </c>
      <c r="BC23" s="19">
        <v>16.85</v>
      </c>
      <c r="BD23" s="5"/>
      <c r="BE23" s="27">
        <v>5.6395</v>
      </c>
      <c r="BF23" s="19">
        <v>16.91</v>
      </c>
      <c r="BG23" s="5"/>
      <c r="BH23" s="27">
        <v>5.6498</v>
      </c>
      <c r="BI23" s="19">
        <v>16.91</v>
      </c>
      <c r="BJ23" s="5"/>
      <c r="BK23" s="92">
        <v>5.702675000000001</v>
      </c>
      <c r="BL23" s="93">
        <v>16.798670000000005</v>
      </c>
      <c r="BM23" s="5"/>
    </row>
    <row r="24" spans="1:65" ht="15.75" customHeight="1">
      <c r="A24" s="16">
        <v>12</v>
      </c>
      <c r="B24" s="17" t="s">
        <v>25</v>
      </c>
      <c r="C24" s="27">
        <f>1/1.49015</f>
        <v>0.6710733818743079</v>
      </c>
      <c r="D24" s="19">
        <v>142.8178</v>
      </c>
      <c r="E24" s="5"/>
      <c r="F24" s="27">
        <f>1/1.49614</f>
        <v>0.6683866483083134</v>
      </c>
      <c r="G24" s="19">
        <v>143.25</v>
      </c>
      <c r="H24" s="5"/>
      <c r="I24" s="27">
        <f>1/1.49586</f>
        <v>0.668511759121843</v>
      </c>
      <c r="J24" s="19">
        <v>144.12</v>
      </c>
      <c r="K24" s="5"/>
      <c r="L24" s="27">
        <f>1/1.49135</f>
        <v>0.6705334093271197</v>
      </c>
      <c r="M24" s="19">
        <v>144.03</v>
      </c>
      <c r="N24" s="5"/>
      <c r="O24" s="27">
        <f>1/1.49368</f>
        <v>0.6694874404156178</v>
      </c>
      <c r="P24" s="19">
        <v>143.68</v>
      </c>
      <c r="Q24" s="5"/>
      <c r="R24" s="27">
        <f>1/1.49502</f>
        <v>0.6688873727441773</v>
      </c>
      <c r="S24" s="19">
        <v>143.78</v>
      </c>
      <c r="T24" s="5"/>
      <c r="U24" s="27">
        <f>1/1.49418</f>
        <v>0.6692634086923931</v>
      </c>
      <c r="V24" s="19">
        <v>143.741</v>
      </c>
      <c r="W24" s="5"/>
      <c r="X24" s="27">
        <f>1/1.49214</f>
        <v>0.6701784014904768</v>
      </c>
      <c r="Y24" s="19">
        <v>143.86</v>
      </c>
      <c r="Z24" s="5"/>
      <c r="AA24" s="27">
        <f>1/1.48979</f>
        <v>0.671235543264487</v>
      </c>
      <c r="AB24" s="19">
        <v>143.47</v>
      </c>
      <c r="AC24" s="5"/>
      <c r="AD24" s="27">
        <f>1/1.49233</f>
        <v>0.6700930759282465</v>
      </c>
      <c r="AE24" s="19">
        <v>142.8</v>
      </c>
      <c r="AF24" s="5"/>
      <c r="AG24" s="27">
        <f>1/1.49671</f>
        <v>0.6681321030794208</v>
      </c>
      <c r="AH24" s="19">
        <v>142.88</v>
      </c>
      <c r="AI24" s="5"/>
      <c r="AJ24" s="27">
        <f>1/1.5004</f>
        <v>0.6664889362836577</v>
      </c>
      <c r="AK24" s="19">
        <v>143.22</v>
      </c>
      <c r="AL24" s="5"/>
      <c r="AM24" s="27">
        <f>1/1.5005</f>
        <v>0.6664445184938355</v>
      </c>
      <c r="AN24" s="19">
        <v>143.11</v>
      </c>
      <c r="AO24" s="5"/>
      <c r="AP24" s="27">
        <f>1/1.5005</f>
        <v>0.6664445184938355</v>
      </c>
      <c r="AQ24" s="19">
        <v>143.06</v>
      </c>
      <c r="AR24" s="5"/>
      <c r="AS24" s="27">
        <f>1/1.49991</f>
        <v>0.6667066690668106</v>
      </c>
      <c r="AT24" s="19">
        <v>143</v>
      </c>
      <c r="AU24" s="5"/>
      <c r="AV24" s="27">
        <f>1/1.49903</f>
        <v>0.6670980567433606</v>
      </c>
      <c r="AW24" s="19">
        <v>143.35</v>
      </c>
      <c r="AX24" s="5"/>
      <c r="AY24" s="27">
        <f>1/1.49656</f>
        <v>0.6681990698668948</v>
      </c>
      <c r="AZ24" s="19">
        <v>143.01</v>
      </c>
      <c r="BA24" s="5"/>
      <c r="BB24" s="27">
        <f>1/1.49807</f>
        <v>0.6675255495404087</v>
      </c>
      <c r="BC24" s="19">
        <v>142.96</v>
      </c>
      <c r="BD24" s="5"/>
      <c r="BE24" s="27">
        <f>1/1.50122</f>
        <v>0.6661248850934574</v>
      </c>
      <c r="BF24" s="19">
        <v>143.18</v>
      </c>
      <c r="BG24" s="5"/>
      <c r="BH24" s="27">
        <f>1/1.5054</f>
        <v>0.6642752756742394</v>
      </c>
      <c r="BI24" s="19">
        <v>143.84</v>
      </c>
      <c r="BJ24" s="5"/>
      <c r="BK24" s="92">
        <v>0.6682545011751451</v>
      </c>
      <c r="BL24" s="93">
        <v>143.35793999999999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95.84125</v>
      </c>
      <c r="E25" s="21"/>
      <c r="F25" s="28">
        <v>1</v>
      </c>
      <c r="G25" s="22">
        <v>95.75</v>
      </c>
      <c r="H25" s="21"/>
      <c r="I25" s="28">
        <v>1</v>
      </c>
      <c r="J25" s="22">
        <v>96.35</v>
      </c>
      <c r="K25" s="21"/>
      <c r="L25" s="28">
        <v>1</v>
      </c>
      <c r="M25" s="22">
        <v>96.58</v>
      </c>
      <c r="N25" s="21"/>
      <c r="O25" s="28">
        <v>1</v>
      </c>
      <c r="P25" s="22">
        <v>96.19</v>
      </c>
      <c r="Q25" s="21"/>
      <c r="R25" s="28">
        <v>1</v>
      </c>
      <c r="S25" s="22">
        <v>96.17</v>
      </c>
      <c r="T25" s="21"/>
      <c r="U25" s="28">
        <v>1</v>
      </c>
      <c r="V25" s="22">
        <v>96.200625</v>
      </c>
      <c r="W25" s="21"/>
      <c r="X25" s="28">
        <v>1</v>
      </c>
      <c r="Y25" s="22">
        <v>96.41</v>
      </c>
      <c r="Z25" s="21"/>
      <c r="AA25" s="28">
        <v>1</v>
      </c>
      <c r="AB25" s="22">
        <v>96.3</v>
      </c>
      <c r="AC25" s="21"/>
      <c r="AD25" s="28">
        <v>1</v>
      </c>
      <c r="AE25" s="22">
        <v>95.69</v>
      </c>
      <c r="AF25" s="21"/>
      <c r="AG25" s="28">
        <v>1</v>
      </c>
      <c r="AH25" s="22">
        <v>95.47</v>
      </c>
      <c r="AI25" s="21"/>
      <c r="AJ25" s="28">
        <v>1</v>
      </c>
      <c r="AK25" s="22">
        <v>95.45</v>
      </c>
      <c r="AL25" s="21"/>
      <c r="AM25" s="28">
        <v>1</v>
      </c>
      <c r="AN25" s="22">
        <v>95.38</v>
      </c>
      <c r="AO25" s="21"/>
      <c r="AP25" s="28">
        <v>1</v>
      </c>
      <c r="AQ25" s="22">
        <v>95.34</v>
      </c>
      <c r="AR25" s="21"/>
      <c r="AS25" s="28">
        <v>1</v>
      </c>
      <c r="AT25" s="22">
        <v>95.34</v>
      </c>
      <c r="AU25" s="21"/>
      <c r="AV25" s="28">
        <v>1</v>
      </c>
      <c r="AW25" s="22">
        <v>95.63</v>
      </c>
      <c r="AX25" s="21"/>
      <c r="AY25" s="28">
        <v>1</v>
      </c>
      <c r="AZ25" s="22">
        <v>95.56</v>
      </c>
      <c r="BA25" s="21"/>
      <c r="BB25" s="28">
        <v>1</v>
      </c>
      <c r="BC25" s="22">
        <v>95.43</v>
      </c>
      <c r="BD25" s="21"/>
      <c r="BE25" s="28">
        <v>1</v>
      </c>
      <c r="BF25" s="22">
        <v>95.38</v>
      </c>
      <c r="BG25" s="21"/>
      <c r="BH25" s="28">
        <v>1</v>
      </c>
      <c r="BI25" s="22">
        <v>95.55</v>
      </c>
      <c r="BJ25" s="21"/>
      <c r="BK25" s="90">
        <v>1</v>
      </c>
      <c r="BL25" s="94">
        <v>95.80059374999998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zoomScale="75" zoomScaleNormal="75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F32" sqref="BF3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3" width="16.7109375" style="0" customWidth="1"/>
    <col min="64" max="64" width="13.28125" style="0" customWidth="1"/>
    <col min="65" max="65" width="4.7109375" style="0" customWidth="1"/>
    <col min="66" max="67" width="13.28125" style="0" customWidth="1"/>
    <col min="68" max="68" width="4.851562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3" ht="15.75" customHeight="1">
      <c r="A4" s="6" t="s">
        <v>2</v>
      </c>
      <c r="B4" s="5"/>
      <c r="C4" s="4" t="s">
        <v>70</v>
      </c>
      <c r="D4" s="4"/>
      <c r="E4" s="10"/>
      <c r="F4" s="4" t="s">
        <v>71</v>
      </c>
      <c r="G4" s="4"/>
      <c r="H4" s="10"/>
      <c r="I4" s="4" t="s">
        <v>72</v>
      </c>
      <c r="J4" s="4"/>
      <c r="K4" s="10"/>
      <c r="L4" s="4" t="s">
        <v>73</v>
      </c>
      <c r="M4" s="4"/>
      <c r="N4" s="10"/>
      <c r="O4" s="4" t="s">
        <v>74</v>
      </c>
      <c r="P4" s="4"/>
      <c r="Q4" s="10"/>
      <c r="R4" s="4" t="s">
        <v>75</v>
      </c>
      <c r="S4" s="4"/>
      <c r="T4" s="10"/>
      <c r="U4" s="4" t="s">
        <v>76</v>
      </c>
      <c r="V4" s="4"/>
      <c r="W4" s="10"/>
      <c r="X4" s="4" t="s">
        <v>77</v>
      </c>
      <c r="Y4" s="4"/>
      <c r="Z4" s="10"/>
      <c r="AA4" s="4" t="s">
        <v>78</v>
      </c>
      <c r="AB4" s="4"/>
      <c r="AC4" s="10"/>
      <c r="AD4" s="4" t="s">
        <v>79</v>
      </c>
      <c r="AE4" s="4"/>
      <c r="AF4" s="10"/>
      <c r="AG4" s="4" t="s">
        <v>80</v>
      </c>
      <c r="AH4" s="4"/>
      <c r="AI4" s="10"/>
      <c r="AJ4" s="4" t="s">
        <v>81</v>
      </c>
      <c r="AK4" s="4"/>
      <c r="AL4" s="10"/>
      <c r="AM4" s="4" t="s">
        <v>82</v>
      </c>
      <c r="AN4" s="4"/>
      <c r="AO4" s="10"/>
      <c r="AP4" s="4" t="s">
        <v>83</v>
      </c>
      <c r="AQ4" s="4"/>
      <c r="AR4" s="10"/>
      <c r="AS4" s="4" t="s">
        <v>84</v>
      </c>
      <c r="AT4" s="4"/>
      <c r="AU4" s="10"/>
      <c r="AV4" s="4" t="s">
        <v>85</v>
      </c>
      <c r="AW4" s="4"/>
      <c r="AX4" s="10"/>
      <c r="AY4" s="4" t="s">
        <v>86</v>
      </c>
      <c r="AZ4" s="4"/>
      <c r="BA4" s="10"/>
      <c r="BB4" s="4" t="s">
        <v>87</v>
      </c>
      <c r="BC4" s="4"/>
      <c r="BD4" s="10"/>
      <c r="BE4" s="4" t="s">
        <v>88</v>
      </c>
      <c r="BF4" s="4"/>
      <c r="BG4" s="10"/>
      <c r="BH4" s="4" t="s">
        <v>89</v>
      </c>
      <c r="BI4" s="4"/>
      <c r="BJ4" s="26"/>
      <c r="BK4" s="4" t="s">
        <v>3</v>
      </c>
      <c r="BL4" s="4"/>
      <c r="BM4" s="26"/>
      <c r="BN4" s="4"/>
      <c r="BO4" s="4"/>
      <c r="BP4" s="38"/>
      <c r="BQ4" s="56"/>
      <c r="BR4" s="37"/>
      <c r="BS4" s="26"/>
      <c r="BT4" s="4"/>
      <c r="BU4" s="4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43"/>
      <c r="BL5" s="43"/>
      <c r="BM5" s="26"/>
      <c r="BN5" s="43"/>
      <c r="BO5" s="43"/>
      <c r="BP5" s="43"/>
      <c r="BQ5" s="43"/>
      <c r="BR5" s="43"/>
      <c r="BS5" s="43"/>
      <c r="BT5" s="57"/>
      <c r="BU5" s="57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9"/>
      <c r="BL6" s="9"/>
      <c r="BM6" s="11"/>
      <c r="BN6" s="9"/>
      <c r="BO6" s="9"/>
      <c r="BP6" s="9"/>
      <c r="BQ6" s="9"/>
      <c r="BR6" s="9"/>
      <c r="BS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65" t="s">
        <v>5</v>
      </c>
      <c r="BL7" s="65" t="s">
        <v>5</v>
      </c>
      <c r="BM7" s="12"/>
      <c r="BN7" s="12"/>
      <c r="BO7" s="12"/>
      <c r="BP7" s="39"/>
      <c r="BQ7" s="12"/>
      <c r="BR7" s="12"/>
      <c r="BS7" s="39"/>
      <c r="BT7" s="12"/>
      <c r="BU7" s="12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65" t="s">
        <v>8</v>
      </c>
      <c r="BL8" s="65" t="s">
        <v>9</v>
      </c>
      <c r="BM8" s="12"/>
      <c r="BN8" s="12"/>
      <c r="BO8" s="12"/>
      <c r="BP8" s="39"/>
      <c r="BQ8" s="12"/>
      <c r="BR8" s="12"/>
      <c r="BS8" s="39"/>
      <c r="BT8" s="12"/>
      <c r="BU8" s="12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65" t="s">
        <v>7</v>
      </c>
      <c r="BL9" s="65" t="s">
        <v>11</v>
      </c>
      <c r="BM9" s="12"/>
      <c r="BN9" s="12"/>
      <c r="BO9" s="12"/>
      <c r="BP9" s="39"/>
      <c r="BQ9" s="12"/>
      <c r="BR9" s="12"/>
      <c r="BS9" s="39"/>
      <c r="BT9" s="12"/>
      <c r="BU9" s="12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65" t="s">
        <v>10</v>
      </c>
      <c r="BL10" s="65" t="s">
        <v>12</v>
      </c>
      <c r="BM10" s="12"/>
      <c r="BN10" s="5"/>
      <c r="BO10" s="12"/>
      <c r="BP10" s="39"/>
      <c r="BQ10" s="5"/>
      <c r="BR10" s="12"/>
      <c r="BS10" s="39"/>
      <c r="BT10" s="12"/>
      <c r="BU10" s="12"/>
    </row>
    <row r="11" spans="1:81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1"/>
      <c r="BL11" s="51"/>
      <c r="BM11" s="5"/>
      <c r="BN11" s="21"/>
      <c r="BO11" s="21"/>
      <c r="BP11" s="21"/>
      <c r="BQ11" s="21"/>
      <c r="BR11" s="21"/>
      <c r="BS11" s="21"/>
      <c r="BT11" s="58"/>
      <c r="BU11" s="58"/>
      <c r="BV11" s="40"/>
      <c r="BW11" s="40"/>
      <c r="BX11" s="40"/>
      <c r="BY11" s="40"/>
      <c r="BZ11" s="40"/>
      <c r="CA11" s="40"/>
      <c r="CB11" s="40"/>
      <c r="CC11" s="40"/>
    </row>
    <row r="12" spans="1:81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44"/>
      <c r="BL12" s="44"/>
      <c r="BM12" s="11"/>
      <c r="BN12" s="9"/>
      <c r="BO12" s="9"/>
      <c r="BP12" s="9"/>
      <c r="BQ12" s="9"/>
      <c r="BR12" s="9"/>
      <c r="BS12" s="9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71" ht="15.75" customHeight="1">
      <c r="A13" s="16">
        <v>1</v>
      </c>
      <c r="B13" s="17" t="s">
        <v>14</v>
      </c>
      <c r="C13" s="27">
        <v>118.16</v>
      </c>
      <c r="D13" s="19">
        <v>80.66</v>
      </c>
      <c r="E13" s="5"/>
      <c r="F13" s="27">
        <v>117.53</v>
      </c>
      <c r="G13" s="19">
        <v>81.26</v>
      </c>
      <c r="H13" s="5"/>
      <c r="I13" s="27">
        <v>115.3</v>
      </c>
      <c r="J13" s="19">
        <v>83</v>
      </c>
      <c r="K13" s="5"/>
      <c r="L13" s="27">
        <v>116.45</v>
      </c>
      <c r="M13" s="19">
        <v>82.27</v>
      </c>
      <c r="N13" s="5"/>
      <c r="O13" s="27">
        <v>116.44</v>
      </c>
      <c r="P13" s="19">
        <v>82.19</v>
      </c>
      <c r="Q13" s="5"/>
      <c r="R13" s="27">
        <v>116.78</v>
      </c>
      <c r="S13" s="19">
        <v>81.82</v>
      </c>
      <c r="T13" s="5"/>
      <c r="U13" s="27">
        <v>117.47</v>
      </c>
      <c r="V13" s="19">
        <v>81.38</v>
      </c>
      <c r="W13" s="5"/>
      <c r="X13" s="27">
        <v>118.07</v>
      </c>
      <c r="Y13" s="19">
        <v>80.94</v>
      </c>
      <c r="Z13" s="5"/>
      <c r="AA13" s="27">
        <v>117.3</v>
      </c>
      <c r="AB13" s="19">
        <v>81.48</v>
      </c>
      <c r="AC13" s="5"/>
      <c r="AD13" s="27">
        <v>117.27</v>
      </c>
      <c r="AE13" s="19">
        <v>81.42</v>
      </c>
      <c r="AF13" s="5"/>
      <c r="AG13" s="27">
        <v>116.65</v>
      </c>
      <c r="AH13" s="19">
        <v>81.42</v>
      </c>
      <c r="AI13" s="5"/>
      <c r="AJ13" s="27">
        <v>117.4</v>
      </c>
      <c r="AK13" s="19">
        <v>81.04</v>
      </c>
      <c r="AL13" s="5"/>
      <c r="AM13" s="27">
        <v>117.78</v>
      </c>
      <c r="AN13" s="19">
        <v>80.82</v>
      </c>
      <c r="AO13" s="5"/>
      <c r="AP13" s="27">
        <v>117.77</v>
      </c>
      <c r="AQ13" s="19">
        <v>80.78</v>
      </c>
      <c r="AR13" s="5"/>
      <c r="AS13" s="27">
        <v>117.7</v>
      </c>
      <c r="AT13" s="19">
        <v>80.77</v>
      </c>
      <c r="AU13" s="5"/>
      <c r="AV13" s="27">
        <v>118.22</v>
      </c>
      <c r="AW13" s="19">
        <v>80.64</v>
      </c>
      <c r="AX13" s="5"/>
      <c r="AY13" s="27">
        <v>118.17</v>
      </c>
      <c r="AZ13" s="19">
        <v>80.34</v>
      </c>
      <c r="BA13" s="5"/>
      <c r="BB13" s="27">
        <v>117.38</v>
      </c>
      <c r="BC13" s="19">
        <v>80.87</v>
      </c>
      <c r="BD13" s="5"/>
      <c r="BE13" s="27">
        <v>117.38</v>
      </c>
      <c r="BF13" s="19">
        <v>80.83</v>
      </c>
      <c r="BG13" s="5"/>
      <c r="BH13" s="27">
        <v>117.99</v>
      </c>
      <c r="BI13" s="19">
        <v>80.49</v>
      </c>
      <c r="BJ13" s="5"/>
      <c r="BK13" s="45">
        <v>117.3605</v>
      </c>
      <c r="BL13" s="46">
        <v>81.22099999999999</v>
      </c>
      <c r="BM13" s="5"/>
      <c r="BN13" s="31"/>
      <c r="BO13" s="32"/>
      <c r="BP13" s="9"/>
      <c r="BQ13" s="31"/>
      <c r="BR13" s="32"/>
      <c r="BS13" s="9"/>
    </row>
    <row r="14" spans="1:71" ht="15.75" customHeight="1">
      <c r="A14" s="16">
        <v>2</v>
      </c>
      <c r="B14" s="17" t="s">
        <v>15</v>
      </c>
      <c r="C14" s="27">
        <f>1/1.9617</f>
        <v>0.509761941173472</v>
      </c>
      <c r="D14" s="19">
        <v>186.96</v>
      </c>
      <c r="E14" s="5"/>
      <c r="F14" s="27">
        <f>1/1.9512</f>
        <v>0.5125051250512505</v>
      </c>
      <c r="G14" s="19">
        <v>186.34</v>
      </c>
      <c r="H14" s="5"/>
      <c r="I14" s="27">
        <f>1/1.923</f>
        <v>0.5200208008320333</v>
      </c>
      <c r="J14" s="19">
        <v>184.02</v>
      </c>
      <c r="K14" s="5"/>
      <c r="L14" s="27">
        <f>1/1.9262</f>
        <v>0.5191568892119198</v>
      </c>
      <c r="M14" s="19">
        <v>184.54</v>
      </c>
      <c r="N14" s="5"/>
      <c r="O14" s="27">
        <f>1/1.9292</f>
        <v>0.5183495749533485</v>
      </c>
      <c r="P14" s="19">
        <v>184.62</v>
      </c>
      <c r="Q14" s="5"/>
      <c r="R14" s="27">
        <f>1/1.935</f>
        <v>0.5167958656330749</v>
      </c>
      <c r="S14" s="19">
        <v>184.89</v>
      </c>
      <c r="T14" s="5"/>
      <c r="U14" s="27">
        <f>1/1.9299</f>
        <v>0.5181615627752734</v>
      </c>
      <c r="V14" s="19">
        <v>184.49</v>
      </c>
      <c r="W14" s="5"/>
      <c r="X14" s="27">
        <f>1/1.9422</f>
        <v>0.5148800329523221</v>
      </c>
      <c r="Y14" s="19">
        <v>185.61</v>
      </c>
      <c r="Z14" s="5"/>
      <c r="AA14" s="27">
        <f>1/1.9284</f>
        <v>0.5185646131507986</v>
      </c>
      <c r="AB14" s="19">
        <v>184.31</v>
      </c>
      <c r="AC14" s="5"/>
      <c r="AD14" s="27">
        <f>1/1.9342</f>
        <v>0.5170096163788647</v>
      </c>
      <c r="AE14" s="19">
        <v>184.69</v>
      </c>
      <c r="AF14" s="5"/>
      <c r="AG14" s="27">
        <f>1/1.9467</f>
        <v>0.5136898340781836</v>
      </c>
      <c r="AH14" s="19">
        <v>184.89</v>
      </c>
      <c r="AI14" s="5"/>
      <c r="AJ14" s="27">
        <f>1/1.942</f>
        <v>0.5149330587023687</v>
      </c>
      <c r="AK14" s="19">
        <v>184.77</v>
      </c>
      <c r="AL14" s="5"/>
      <c r="AM14" s="27">
        <f>1/1.9557</f>
        <v>0.5113258679756609</v>
      </c>
      <c r="AN14" s="19">
        <v>186.15</v>
      </c>
      <c r="AO14" s="5"/>
      <c r="AP14" s="27">
        <f>1/1.9622</f>
        <v>0.5096320456630313</v>
      </c>
      <c r="AQ14" s="19">
        <v>186.67</v>
      </c>
      <c r="AR14" s="5"/>
      <c r="AS14" s="27">
        <f>1/1.9648</f>
        <v>0.508957654723127</v>
      </c>
      <c r="AT14" s="19">
        <v>186.8</v>
      </c>
      <c r="AU14" s="5"/>
      <c r="AV14" s="27">
        <f>1/1.9592</f>
        <v>0.5104124132298897</v>
      </c>
      <c r="AW14" s="19">
        <v>186.78</v>
      </c>
      <c r="AX14" s="5"/>
      <c r="AY14" s="27">
        <f>1/1.9635</f>
        <v>0.5092946269416858</v>
      </c>
      <c r="AZ14" s="19">
        <v>186.42</v>
      </c>
      <c r="BA14" s="5"/>
      <c r="BB14" s="27">
        <f>1/1.962</f>
        <v>0.509683995922528</v>
      </c>
      <c r="BC14" s="19">
        <v>186.24</v>
      </c>
      <c r="BD14" s="5"/>
      <c r="BE14" s="27">
        <f>1/1.9645</f>
        <v>0.5090353779587682</v>
      </c>
      <c r="BF14" s="19">
        <v>186.38</v>
      </c>
      <c r="BG14" s="5"/>
      <c r="BH14" s="27">
        <f>1/1.9571</f>
        <v>0.5109600940166573</v>
      </c>
      <c r="BI14" s="19">
        <v>185.88</v>
      </c>
      <c r="BJ14" s="5"/>
      <c r="BK14" s="45">
        <v>0.5136565495662129</v>
      </c>
      <c r="BL14" s="46">
        <v>185.5725</v>
      </c>
      <c r="BM14" s="5"/>
      <c r="BN14" s="31"/>
      <c r="BO14" s="32"/>
      <c r="BP14" s="9"/>
      <c r="BQ14" s="31"/>
      <c r="BR14" s="32"/>
      <c r="BS14" s="9"/>
    </row>
    <row r="15" spans="1:71" ht="15.75" customHeight="1">
      <c r="A15" s="16">
        <v>3</v>
      </c>
      <c r="B15" s="17" t="s">
        <v>16</v>
      </c>
      <c r="C15" s="27">
        <v>1.2191</v>
      </c>
      <c r="D15" s="19">
        <v>78.18</v>
      </c>
      <c r="E15" s="5"/>
      <c r="F15" s="27">
        <v>1.2242</v>
      </c>
      <c r="G15" s="19">
        <v>78.01</v>
      </c>
      <c r="H15" s="5"/>
      <c r="I15" s="27">
        <v>1.2172</v>
      </c>
      <c r="J15" s="19">
        <v>78.62</v>
      </c>
      <c r="K15" s="5"/>
      <c r="L15" s="27">
        <v>1.2225</v>
      </c>
      <c r="M15" s="19">
        <v>78.37</v>
      </c>
      <c r="N15" s="5"/>
      <c r="O15" s="27">
        <v>1.2227</v>
      </c>
      <c r="P15" s="19">
        <v>78.27</v>
      </c>
      <c r="Q15" s="5"/>
      <c r="R15" s="27">
        <v>1.2206</v>
      </c>
      <c r="S15" s="19">
        <v>78.28</v>
      </c>
      <c r="T15" s="5"/>
      <c r="U15" s="27">
        <v>1.227</v>
      </c>
      <c r="V15" s="19">
        <v>77.91</v>
      </c>
      <c r="W15" s="5"/>
      <c r="X15" s="27">
        <v>1.2281</v>
      </c>
      <c r="Y15" s="19">
        <v>77.82</v>
      </c>
      <c r="Z15" s="5"/>
      <c r="AA15" s="27">
        <v>1.2243</v>
      </c>
      <c r="AB15" s="19">
        <v>78.07</v>
      </c>
      <c r="AC15" s="5"/>
      <c r="AD15" s="27">
        <v>1.2198</v>
      </c>
      <c r="AE15" s="19">
        <v>78.28</v>
      </c>
      <c r="AF15" s="5"/>
      <c r="AG15" s="27">
        <v>1.2049</v>
      </c>
      <c r="AH15" s="19">
        <v>78.82</v>
      </c>
      <c r="AI15" s="5"/>
      <c r="AJ15" s="27">
        <v>1.212</v>
      </c>
      <c r="AK15" s="19">
        <v>78.5</v>
      </c>
      <c r="AL15" s="5"/>
      <c r="AM15" s="27">
        <v>1.2148</v>
      </c>
      <c r="AN15" s="19">
        <v>78.35</v>
      </c>
      <c r="AO15" s="5"/>
      <c r="AP15" s="27">
        <v>1.2128</v>
      </c>
      <c r="AQ15" s="19">
        <v>78.44</v>
      </c>
      <c r="AR15" s="5"/>
      <c r="AS15" s="27">
        <v>1.2141</v>
      </c>
      <c r="AT15" s="19">
        <v>78.31</v>
      </c>
      <c r="AU15" s="5"/>
      <c r="AV15" s="27">
        <v>1.2214</v>
      </c>
      <c r="AW15" s="19">
        <v>78.05</v>
      </c>
      <c r="AX15" s="5"/>
      <c r="AY15" s="27">
        <v>1.2136</v>
      </c>
      <c r="AZ15" s="19">
        <v>78.23</v>
      </c>
      <c r="BA15" s="5"/>
      <c r="BB15" s="27">
        <v>1.2121</v>
      </c>
      <c r="BC15" s="19">
        <v>78.31</v>
      </c>
      <c r="BD15" s="5"/>
      <c r="BE15" s="27">
        <v>1.214</v>
      </c>
      <c r="BF15" s="19">
        <v>78.15</v>
      </c>
      <c r="BG15" s="5"/>
      <c r="BH15" s="27">
        <v>1.2198</v>
      </c>
      <c r="BI15" s="19">
        <v>77.86</v>
      </c>
      <c r="BJ15" s="5"/>
      <c r="BK15" s="45">
        <v>1.2182499999999998</v>
      </c>
      <c r="BL15" s="46">
        <v>78.24149999999999</v>
      </c>
      <c r="BM15" s="5"/>
      <c r="BN15" s="31"/>
      <c r="BO15" s="32"/>
      <c r="BP15" s="9"/>
      <c r="BQ15" s="31"/>
      <c r="BR15" s="32"/>
      <c r="BS15" s="9"/>
    </row>
    <row r="16" spans="1:71" ht="15.75" customHeight="1">
      <c r="A16" s="16">
        <v>4</v>
      </c>
      <c r="B16" s="17" t="s">
        <v>17</v>
      </c>
      <c r="C16" s="27">
        <f>1/1.3225</f>
        <v>0.7561436672967864</v>
      </c>
      <c r="D16" s="19">
        <v>125.96</v>
      </c>
      <c r="E16" s="5"/>
      <c r="F16" s="27">
        <f>1/1.3161</f>
        <v>0.7598206823189727</v>
      </c>
      <c r="G16" s="19">
        <v>125.69</v>
      </c>
      <c r="H16" s="5"/>
      <c r="I16" s="27">
        <f>1/1.3131</f>
        <v>0.7615566217348261</v>
      </c>
      <c r="J16" s="19">
        <v>125.67</v>
      </c>
      <c r="K16" s="5"/>
      <c r="L16" s="27">
        <f>1/1.3106</f>
        <v>0.7630093087135663</v>
      </c>
      <c r="M16" s="19">
        <v>125.68</v>
      </c>
      <c r="N16" s="5"/>
      <c r="O16" s="27">
        <f>1/1.312</f>
        <v>0.7621951219512195</v>
      </c>
      <c r="P16" s="19">
        <v>125.62</v>
      </c>
      <c r="Q16" s="5"/>
      <c r="R16" s="27">
        <f>1/1.3155</f>
        <v>0.7601672367920943</v>
      </c>
      <c r="S16" s="19">
        <v>125.66</v>
      </c>
      <c r="T16" s="5"/>
      <c r="U16" s="27">
        <f>1/1.3148</f>
        <v>0.76057195010648</v>
      </c>
      <c r="V16" s="19">
        <v>125.67</v>
      </c>
      <c r="W16" s="5"/>
      <c r="X16" s="27">
        <f>1/1.317</f>
        <v>0.7593014426727411</v>
      </c>
      <c r="Y16" s="19">
        <v>125.77</v>
      </c>
      <c r="Z16" s="5"/>
      <c r="AA16" s="27">
        <f>1/1.3171</f>
        <v>0.7592437931819908</v>
      </c>
      <c r="AB16" s="19">
        <v>125.87</v>
      </c>
      <c r="AC16" s="5"/>
      <c r="AD16" s="27">
        <f>1/1.3209</f>
        <v>0.7570595805889924</v>
      </c>
      <c r="AE16" s="19">
        <v>126.12</v>
      </c>
      <c r="AF16" s="5"/>
      <c r="AG16" s="27">
        <f>1/1.3324</f>
        <v>0.7505253677574302</v>
      </c>
      <c r="AH16" s="19">
        <v>126.5</v>
      </c>
      <c r="AI16" s="5"/>
      <c r="AJ16" s="27">
        <f>1/1.3283</f>
        <v>0.7528419784687194</v>
      </c>
      <c r="AK16" s="19">
        <v>126.39</v>
      </c>
      <c r="AL16" s="5"/>
      <c r="AM16" s="27">
        <f>1/1.3277</f>
        <v>0.7531821947729155</v>
      </c>
      <c r="AN16" s="19">
        <v>126.38</v>
      </c>
      <c r="AO16" s="5"/>
      <c r="AP16" s="27">
        <f>1/1.3307</f>
        <v>0.7514841812579846</v>
      </c>
      <c r="AQ16" s="19">
        <v>126.51</v>
      </c>
      <c r="AR16" s="5"/>
      <c r="AS16" s="27">
        <f>1/1.3315</f>
        <v>0.7510326699211416</v>
      </c>
      <c r="AT16" s="19">
        <v>126.56</v>
      </c>
      <c r="AU16" s="5"/>
      <c r="AV16" s="27">
        <f>1/1.3264</f>
        <v>0.7539203860072377</v>
      </c>
      <c r="AW16" s="19">
        <v>126.45</v>
      </c>
      <c r="AX16" s="5"/>
      <c r="AY16" s="27">
        <f>1/1.3348</f>
        <v>0.7491759065028468</v>
      </c>
      <c r="AZ16" s="19">
        <v>126.6</v>
      </c>
      <c r="BA16" s="5"/>
      <c r="BB16" s="27">
        <f>1/1.3334</f>
        <v>0.7499625018749063</v>
      </c>
      <c r="BC16" s="19">
        <v>126.55</v>
      </c>
      <c r="BD16" s="5"/>
      <c r="BE16" s="27">
        <f>1/1.3343</f>
        <v>0.7494566439331485</v>
      </c>
      <c r="BF16" s="19">
        <v>126.54</v>
      </c>
      <c r="BG16" s="5"/>
      <c r="BH16" s="27">
        <f>1/1.3317</f>
        <v>0.7509198768491402</v>
      </c>
      <c r="BI16" s="19">
        <v>126.47</v>
      </c>
      <c r="BJ16" s="5"/>
      <c r="BK16" s="45">
        <v>0.755578555635157</v>
      </c>
      <c r="BL16" s="46">
        <v>126.133</v>
      </c>
      <c r="BM16" s="5"/>
      <c r="BN16" s="31"/>
      <c r="BO16" s="32"/>
      <c r="BP16" s="9"/>
      <c r="BQ16" s="31"/>
      <c r="BR16" s="32"/>
      <c r="BS16" s="9"/>
    </row>
    <row r="17" spans="1:71" ht="15.75" customHeight="1">
      <c r="A17" s="16">
        <v>5</v>
      </c>
      <c r="B17" s="17" t="s">
        <v>18</v>
      </c>
      <c r="C17" s="27">
        <v>673.8</v>
      </c>
      <c r="D17" s="19">
        <v>64217.77</v>
      </c>
      <c r="E17" s="5"/>
      <c r="F17" s="27">
        <v>663.5</v>
      </c>
      <c r="G17" s="19">
        <v>63364.66</v>
      </c>
      <c r="H17" s="5"/>
      <c r="I17" s="27">
        <v>638.2</v>
      </c>
      <c r="J17" s="19">
        <v>61071.75</v>
      </c>
      <c r="K17" s="5"/>
      <c r="L17" s="27">
        <v>644.3</v>
      </c>
      <c r="M17" s="19">
        <v>61727.56</v>
      </c>
      <c r="N17" s="5"/>
      <c r="O17" s="27">
        <v>645.5</v>
      </c>
      <c r="P17" s="19">
        <v>61774.35</v>
      </c>
      <c r="Q17" s="5"/>
      <c r="R17" s="27">
        <v>653.4</v>
      </c>
      <c r="S17" s="19">
        <v>62432.78</v>
      </c>
      <c r="T17" s="5"/>
      <c r="U17" s="27">
        <v>652.5</v>
      </c>
      <c r="V17" s="19">
        <v>62376.96</v>
      </c>
      <c r="W17" s="5"/>
      <c r="X17" s="27">
        <v>651.7</v>
      </c>
      <c r="Y17" s="19">
        <v>62282.56</v>
      </c>
      <c r="Z17" s="5"/>
      <c r="AA17" s="27">
        <v>650.1</v>
      </c>
      <c r="AB17" s="19">
        <v>62134.93</v>
      </c>
      <c r="AC17" s="5"/>
      <c r="AD17" s="27">
        <v>645.4</v>
      </c>
      <c r="AE17" s="19">
        <v>61627.23</v>
      </c>
      <c r="AF17" s="5"/>
      <c r="AG17" s="27">
        <v>650.3</v>
      </c>
      <c r="AH17" s="19">
        <v>61762.24</v>
      </c>
      <c r="AI17" s="5"/>
      <c r="AJ17" s="27">
        <v>654.1</v>
      </c>
      <c r="AK17" s="19">
        <v>62233.94</v>
      </c>
      <c r="AL17" s="5"/>
      <c r="AM17" s="27">
        <v>654.1</v>
      </c>
      <c r="AN17" s="19">
        <v>62260.92</v>
      </c>
      <c r="AO17" s="5"/>
      <c r="AP17" s="27">
        <v>660.2</v>
      </c>
      <c r="AQ17" s="19">
        <v>62807.3</v>
      </c>
      <c r="AR17" s="5"/>
      <c r="AS17" s="27">
        <v>661.75</v>
      </c>
      <c r="AT17" s="19">
        <v>62913.4</v>
      </c>
      <c r="AU17" s="5"/>
      <c r="AV17" s="27">
        <v>659</v>
      </c>
      <c r="AW17" s="19">
        <v>62824.53</v>
      </c>
      <c r="AX17" s="5"/>
      <c r="AY17" s="27">
        <v>664.8</v>
      </c>
      <c r="AZ17" s="19">
        <v>63116.94</v>
      </c>
      <c r="BA17" s="5"/>
      <c r="BB17" s="27">
        <v>665.3</v>
      </c>
      <c r="BC17" s="19">
        <v>63153.6</v>
      </c>
      <c r="BD17" s="5"/>
      <c r="BE17" s="27">
        <v>664.2</v>
      </c>
      <c r="BF17" s="19">
        <v>63015.56</v>
      </c>
      <c r="BG17" s="5"/>
      <c r="BH17" s="27">
        <v>663</v>
      </c>
      <c r="BI17" s="19">
        <v>62968.84</v>
      </c>
      <c r="BJ17" s="5"/>
      <c r="BK17" s="45">
        <v>655.7575</v>
      </c>
      <c r="BL17" s="46">
        <v>62503.39100000002</v>
      </c>
      <c r="BM17" s="5"/>
      <c r="BN17" s="31"/>
      <c r="BO17" s="32"/>
      <c r="BP17" s="9"/>
      <c r="BQ17" s="31"/>
      <c r="BR17" s="32"/>
      <c r="BS17" s="9"/>
    </row>
    <row r="18" spans="1:71" ht="15.75" customHeight="1">
      <c r="A18" s="16">
        <v>6</v>
      </c>
      <c r="B18" s="20" t="s">
        <v>19</v>
      </c>
      <c r="C18" s="27">
        <v>14.28</v>
      </c>
      <c r="D18" s="19">
        <v>1360.98</v>
      </c>
      <c r="E18" s="5"/>
      <c r="F18" s="27">
        <v>13.65</v>
      </c>
      <c r="G18" s="19">
        <v>1303.58</v>
      </c>
      <c r="H18" s="5"/>
      <c r="I18" s="27">
        <v>15.57</v>
      </c>
      <c r="J18" s="19">
        <v>1202.87</v>
      </c>
      <c r="K18" s="5"/>
      <c r="L18" s="27">
        <v>12.88</v>
      </c>
      <c r="M18" s="19">
        <v>1233.98</v>
      </c>
      <c r="N18" s="5"/>
      <c r="O18" s="27">
        <v>12.89</v>
      </c>
      <c r="P18" s="19">
        <v>1233.57</v>
      </c>
      <c r="Q18" s="5"/>
      <c r="R18" s="27">
        <v>13.08</v>
      </c>
      <c r="S18" s="19">
        <v>1249.8</v>
      </c>
      <c r="T18" s="5"/>
      <c r="U18" s="27">
        <v>12.96</v>
      </c>
      <c r="V18" s="19">
        <v>1238.94</v>
      </c>
      <c r="W18" s="5"/>
      <c r="X18" s="27">
        <v>12.99</v>
      </c>
      <c r="Y18" s="19">
        <v>1241.45</v>
      </c>
      <c r="Z18" s="5"/>
      <c r="AA18" s="27">
        <v>12.97</v>
      </c>
      <c r="AB18" s="19">
        <v>1239.64</v>
      </c>
      <c r="AC18" s="5"/>
      <c r="AD18" s="27">
        <v>12.88</v>
      </c>
      <c r="AE18" s="19">
        <v>1229.87</v>
      </c>
      <c r="AF18" s="5"/>
      <c r="AG18" s="27">
        <v>13.03</v>
      </c>
      <c r="AH18" s="19">
        <v>1237.52</v>
      </c>
      <c r="AI18" s="5"/>
      <c r="AJ18" s="27">
        <v>13.12</v>
      </c>
      <c r="AK18" s="19">
        <v>1248.29</v>
      </c>
      <c r="AL18" s="5"/>
      <c r="AM18" s="27">
        <v>13.2</v>
      </c>
      <c r="AN18" s="19">
        <v>1256.45</v>
      </c>
      <c r="AO18" s="5"/>
      <c r="AP18" s="27">
        <v>13.31</v>
      </c>
      <c r="AQ18" s="19">
        <v>1266.23</v>
      </c>
      <c r="AR18" s="5"/>
      <c r="AS18" s="27">
        <v>13.32</v>
      </c>
      <c r="AT18" s="19">
        <v>1266.35</v>
      </c>
      <c r="AU18" s="5"/>
      <c r="AV18" s="27">
        <v>13.21</v>
      </c>
      <c r="AW18" s="19">
        <v>1259.35</v>
      </c>
      <c r="AX18" s="5"/>
      <c r="AY18" s="27">
        <v>13.35</v>
      </c>
      <c r="AZ18" s="19">
        <v>1267.47</v>
      </c>
      <c r="BA18" s="5"/>
      <c r="BB18" s="27">
        <v>13.32</v>
      </c>
      <c r="BC18" s="19">
        <v>1264.4</v>
      </c>
      <c r="BD18" s="5"/>
      <c r="BE18" s="27">
        <v>13.29</v>
      </c>
      <c r="BF18" s="19">
        <v>1260.88</v>
      </c>
      <c r="BG18" s="5"/>
      <c r="BH18" s="27">
        <v>13.3</v>
      </c>
      <c r="BI18" s="19">
        <v>1263.18</v>
      </c>
      <c r="BJ18" s="5"/>
      <c r="BK18" s="45">
        <v>13.33</v>
      </c>
      <c r="BL18" s="46">
        <v>1256.24</v>
      </c>
      <c r="BM18" s="5"/>
      <c r="BN18" s="31"/>
      <c r="BO18" s="32"/>
      <c r="BP18" s="9"/>
      <c r="BQ18" s="31"/>
      <c r="BR18" s="32"/>
      <c r="BS18" s="9"/>
    </row>
    <row r="19" spans="1:71" ht="15.75" customHeight="1">
      <c r="A19" s="16">
        <v>7</v>
      </c>
      <c r="B19" s="17" t="s">
        <v>20</v>
      </c>
      <c r="C19" s="27">
        <f>1/0.7876</f>
        <v>1.2696800406297613</v>
      </c>
      <c r="D19" s="19">
        <v>75.06</v>
      </c>
      <c r="E19" s="5"/>
      <c r="F19" s="27">
        <f>1/0.7833</f>
        <v>1.276650070215754</v>
      </c>
      <c r="G19" s="19">
        <v>74.81</v>
      </c>
      <c r="H19" s="5"/>
      <c r="I19" s="27">
        <f>1/0.7736</f>
        <v>1.2926577042399174</v>
      </c>
      <c r="J19" s="19">
        <v>74.03</v>
      </c>
      <c r="K19" s="5"/>
      <c r="L19" s="27">
        <f>1/0.7734</f>
        <v>1.2929919834497026</v>
      </c>
      <c r="M19" s="19">
        <v>74.1</v>
      </c>
      <c r="N19" s="5"/>
      <c r="O19" s="27">
        <f>1/0.7783</f>
        <v>1.2848515996402416</v>
      </c>
      <c r="P19" s="19">
        <v>74.48</v>
      </c>
      <c r="Q19" s="5"/>
      <c r="R19" s="27">
        <f>1/0.7779</f>
        <v>1.2855122766422418</v>
      </c>
      <c r="S19" s="19">
        <v>74.33</v>
      </c>
      <c r="T19" s="5"/>
      <c r="U19" s="27">
        <f>1/0.7792</f>
        <v>1.2833675564681726</v>
      </c>
      <c r="V19" s="19">
        <v>74.49</v>
      </c>
      <c r="W19" s="5"/>
      <c r="X19" s="27">
        <f>1/0.784</f>
        <v>1.2755102040816326</v>
      </c>
      <c r="Y19" s="19">
        <v>74.93</v>
      </c>
      <c r="Z19" s="5"/>
      <c r="AA19" s="27">
        <f>1/0.7849</f>
        <v>1.274047649382087</v>
      </c>
      <c r="AB19" s="19">
        <v>75.02</v>
      </c>
      <c r="AC19" s="5"/>
      <c r="AD19" s="27">
        <f>1/0.7879</f>
        <v>1.2691965985531157</v>
      </c>
      <c r="AE19" s="19">
        <v>75.23</v>
      </c>
      <c r="AF19" s="5"/>
      <c r="AG19" s="27">
        <f>1/0.7953</f>
        <v>1.257387149503332</v>
      </c>
      <c r="AH19" s="19">
        <v>75.53</v>
      </c>
      <c r="AI19" s="5"/>
      <c r="AJ19" s="27">
        <f>1/0.7974</f>
        <v>1.254075746175069</v>
      </c>
      <c r="AK19" s="19">
        <v>75.87</v>
      </c>
      <c r="AL19" s="5"/>
      <c r="AM19" s="27">
        <f>1/0.8002</f>
        <v>1.2496875781054737</v>
      </c>
      <c r="AN19" s="19">
        <v>76.17</v>
      </c>
      <c r="AO19" s="5"/>
      <c r="AP19" s="27">
        <f>1/0.802</f>
        <v>1.2468827930174562</v>
      </c>
      <c r="AQ19" s="19">
        <v>76.3</v>
      </c>
      <c r="AR19" s="5"/>
      <c r="AS19" s="27">
        <f>1/0.8065</f>
        <v>1.2399256044637321</v>
      </c>
      <c r="AT19" s="19">
        <v>76.67</v>
      </c>
      <c r="AU19" s="5"/>
      <c r="AV19" s="27">
        <f>1/0.8044</f>
        <v>1.2431626056688214</v>
      </c>
      <c r="AW19" s="19">
        <v>76.69</v>
      </c>
      <c r="AX19" s="5"/>
      <c r="AY19" s="27">
        <f>1/0.8074</f>
        <v>1.238543472875898</v>
      </c>
      <c r="AZ19" s="19">
        <v>76.66</v>
      </c>
      <c r="BA19" s="5"/>
      <c r="BB19" s="27">
        <f>1/0.8056</f>
        <v>1.2413108242303874</v>
      </c>
      <c r="BC19" s="19">
        <v>76.47</v>
      </c>
      <c r="BD19" s="5"/>
      <c r="BE19" s="27">
        <f>1/0.8093</f>
        <v>1.2356357345854443</v>
      </c>
      <c r="BF19" s="19">
        <v>76.78</v>
      </c>
      <c r="BG19" s="5"/>
      <c r="BH19" s="27">
        <f>1/0.8078</f>
        <v>1.2379301807378065</v>
      </c>
      <c r="BI19" s="19">
        <v>76.72</v>
      </c>
      <c r="BJ19" s="18"/>
      <c r="BK19" s="45">
        <v>1.2624503686333022</v>
      </c>
      <c r="BL19" s="46">
        <v>75.51700000000001</v>
      </c>
      <c r="BM19" s="18"/>
      <c r="BN19" s="31"/>
      <c r="BO19" s="32"/>
      <c r="BP19" s="24"/>
      <c r="BQ19" s="31"/>
      <c r="BR19" s="32"/>
      <c r="BS19" s="24"/>
    </row>
    <row r="20" spans="1:71" ht="15.75" customHeight="1">
      <c r="A20" s="16">
        <v>8</v>
      </c>
      <c r="B20" s="17" t="s">
        <v>21</v>
      </c>
      <c r="C20" s="27">
        <v>1.1681</v>
      </c>
      <c r="D20" s="19">
        <v>81.59</v>
      </c>
      <c r="E20" s="5"/>
      <c r="F20" s="27">
        <v>1.174</v>
      </c>
      <c r="G20" s="19">
        <v>81.35</v>
      </c>
      <c r="H20" s="5"/>
      <c r="I20" s="27">
        <v>1.1811</v>
      </c>
      <c r="J20" s="19">
        <v>81.02</v>
      </c>
      <c r="K20" s="5"/>
      <c r="L20" s="27">
        <v>1.1779</v>
      </c>
      <c r="M20" s="19">
        <v>81.34</v>
      </c>
      <c r="N20" s="5"/>
      <c r="O20" s="27">
        <v>1.1761</v>
      </c>
      <c r="P20" s="19">
        <v>81.37</v>
      </c>
      <c r="Q20" s="5"/>
      <c r="R20" s="27">
        <v>1.1803</v>
      </c>
      <c r="S20" s="19">
        <v>80.95</v>
      </c>
      <c r="T20" s="5"/>
      <c r="U20" s="27">
        <v>1.1782</v>
      </c>
      <c r="V20" s="19">
        <v>81.14</v>
      </c>
      <c r="W20" s="5"/>
      <c r="X20" s="27">
        <v>1.1705</v>
      </c>
      <c r="Y20" s="19">
        <v>81.65</v>
      </c>
      <c r="Z20" s="5"/>
      <c r="AA20" s="27">
        <v>1.1687</v>
      </c>
      <c r="AB20" s="19">
        <v>81.78</v>
      </c>
      <c r="AC20" s="5"/>
      <c r="AD20" s="27">
        <v>1.174</v>
      </c>
      <c r="AE20" s="19">
        <v>81.33</v>
      </c>
      <c r="AF20" s="5"/>
      <c r="AG20" s="27">
        <v>1.1731</v>
      </c>
      <c r="AH20" s="19">
        <v>80.96</v>
      </c>
      <c r="AI20" s="5"/>
      <c r="AJ20" s="27">
        <v>1.1744</v>
      </c>
      <c r="AK20" s="19">
        <v>81.02</v>
      </c>
      <c r="AL20" s="5"/>
      <c r="AM20" s="27">
        <v>1.1762</v>
      </c>
      <c r="AN20" s="19">
        <v>80.93</v>
      </c>
      <c r="AO20" s="5"/>
      <c r="AP20" s="27">
        <v>1.1614</v>
      </c>
      <c r="AQ20" s="19">
        <v>81.91</v>
      </c>
      <c r="AR20" s="5"/>
      <c r="AS20" s="27">
        <v>1.1579</v>
      </c>
      <c r="AT20" s="19">
        <v>82.11</v>
      </c>
      <c r="AU20" s="5"/>
      <c r="AV20" s="27">
        <v>1.1617</v>
      </c>
      <c r="AW20" s="19">
        <v>82.06</v>
      </c>
      <c r="AX20" s="5"/>
      <c r="AY20" s="27">
        <v>1.1569</v>
      </c>
      <c r="AZ20" s="19">
        <v>82.07</v>
      </c>
      <c r="BA20" s="5"/>
      <c r="BB20" s="27">
        <v>1.1597</v>
      </c>
      <c r="BC20" s="19">
        <v>81.85</v>
      </c>
      <c r="BD20" s="5"/>
      <c r="BE20" s="27">
        <v>1.1597</v>
      </c>
      <c r="BF20" s="19">
        <v>81.81</v>
      </c>
      <c r="BG20" s="5"/>
      <c r="BH20" s="27">
        <v>1.1532</v>
      </c>
      <c r="BI20" s="19">
        <v>82.36</v>
      </c>
      <c r="BJ20" s="5"/>
      <c r="BK20" s="45">
        <v>1.169155</v>
      </c>
      <c r="BL20" s="46">
        <v>81.53</v>
      </c>
      <c r="BM20" s="5"/>
      <c r="BN20" s="31"/>
      <c r="BO20" s="32"/>
      <c r="BP20" s="9"/>
      <c r="BQ20" s="31"/>
      <c r="BR20" s="32"/>
      <c r="BS20" s="9"/>
    </row>
    <row r="21" spans="1:71" ht="15.75" customHeight="1">
      <c r="A21" s="16">
        <v>9</v>
      </c>
      <c r="B21" s="17" t="s">
        <v>22</v>
      </c>
      <c r="C21" s="27">
        <v>7.0075</v>
      </c>
      <c r="D21" s="19">
        <v>13.6</v>
      </c>
      <c r="E21" s="5"/>
      <c r="F21" s="27">
        <v>7.0588</v>
      </c>
      <c r="G21" s="19">
        <v>13.53</v>
      </c>
      <c r="H21" s="5"/>
      <c r="I21" s="27">
        <v>7.1084</v>
      </c>
      <c r="J21" s="19">
        <v>13.46</v>
      </c>
      <c r="K21" s="5"/>
      <c r="L21" s="27">
        <v>7.0712</v>
      </c>
      <c r="M21" s="19">
        <v>13.55</v>
      </c>
      <c r="N21" s="5"/>
      <c r="O21" s="27">
        <v>7.0563</v>
      </c>
      <c r="P21" s="19">
        <v>13.56</v>
      </c>
      <c r="Q21" s="5"/>
      <c r="R21" s="27">
        <v>7.0591</v>
      </c>
      <c r="S21" s="19">
        <v>13.54</v>
      </c>
      <c r="T21" s="5"/>
      <c r="U21" s="27">
        <v>7.0679</v>
      </c>
      <c r="V21" s="19">
        <v>13.53</v>
      </c>
      <c r="W21" s="5"/>
      <c r="X21" s="27">
        <v>7.0407</v>
      </c>
      <c r="Y21" s="19">
        <v>13.57</v>
      </c>
      <c r="Z21" s="5"/>
      <c r="AA21" s="27">
        <v>7.0551</v>
      </c>
      <c r="AB21" s="19">
        <v>13.55</v>
      </c>
      <c r="AC21" s="5"/>
      <c r="AD21" s="27">
        <v>7.0179</v>
      </c>
      <c r="AE21" s="19">
        <v>13.61</v>
      </c>
      <c r="AF21" s="5"/>
      <c r="AG21" s="27">
        <v>6.9478</v>
      </c>
      <c r="AH21" s="19">
        <v>13.67</v>
      </c>
      <c r="AI21" s="5"/>
      <c r="AJ21" s="27">
        <v>6.9939</v>
      </c>
      <c r="AK21" s="19">
        <v>13.6</v>
      </c>
      <c r="AL21" s="5"/>
      <c r="AM21" s="27">
        <v>7.0089</v>
      </c>
      <c r="AN21" s="19">
        <v>13.58</v>
      </c>
      <c r="AO21" s="5"/>
      <c r="AP21" s="27">
        <v>6.991</v>
      </c>
      <c r="AQ21" s="19">
        <v>13.61</v>
      </c>
      <c r="AR21" s="5"/>
      <c r="AS21" s="27">
        <v>6.9885</v>
      </c>
      <c r="AT21" s="19">
        <v>13.6</v>
      </c>
      <c r="AU21" s="5"/>
      <c r="AV21" s="27">
        <v>7.0061</v>
      </c>
      <c r="AW21" s="19">
        <v>13.61</v>
      </c>
      <c r="AX21" s="5"/>
      <c r="AY21" s="27">
        <v>6.9774</v>
      </c>
      <c r="AZ21" s="19">
        <v>13.61</v>
      </c>
      <c r="BA21" s="5"/>
      <c r="BB21" s="27">
        <v>6.9851</v>
      </c>
      <c r="BC21" s="19">
        <v>13.59</v>
      </c>
      <c r="BD21" s="5"/>
      <c r="BE21" s="27">
        <v>6.9927</v>
      </c>
      <c r="BF21" s="19">
        <v>13.57</v>
      </c>
      <c r="BG21" s="5"/>
      <c r="BH21" s="27">
        <v>7.0132</v>
      </c>
      <c r="BI21" s="19">
        <v>13.54</v>
      </c>
      <c r="BJ21" s="5"/>
      <c r="BK21" s="45">
        <v>7.022375000000001</v>
      </c>
      <c r="BL21" s="46">
        <v>13.574000000000002</v>
      </c>
      <c r="BM21" s="5"/>
      <c r="BN21" s="31"/>
      <c r="BO21" s="32"/>
      <c r="BP21" s="9"/>
      <c r="BQ21" s="31"/>
      <c r="BR21" s="32"/>
      <c r="BS21" s="9"/>
    </row>
    <row r="22" spans="1:71" ht="15.75" customHeight="1">
      <c r="A22" s="16">
        <v>10</v>
      </c>
      <c r="B22" s="17" t="s">
        <v>23</v>
      </c>
      <c r="C22" s="27">
        <v>6.1124</v>
      </c>
      <c r="D22" s="19">
        <v>15.59</v>
      </c>
      <c r="E22" s="5"/>
      <c r="F22" s="27">
        <v>6.1629</v>
      </c>
      <c r="G22" s="19">
        <v>15.5</v>
      </c>
      <c r="H22" s="5"/>
      <c r="I22" s="27">
        <v>6.218</v>
      </c>
      <c r="J22" s="19">
        <v>15.39</v>
      </c>
      <c r="K22" s="5"/>
      <c r="L22" s="27">
        <v>6.2355</v>
      </c>
      <c r="M22" s="19">
        <v>15.36</v>
      </c>
      <c r="N22" s="5"/>
      <c r="O22" s="27">
        <v>6.2028</v>
      </c>
      <c r="P22" s="19">
        <v>15.43</v>
      </c>
      <c r="Q22" s="5"/>
      <c r="R22" s="27">
        <v>6.1905</v>
      </c>
      <c r="S22" s="19">
        <v>15.44</v>
      </c>
      <c r="T22" s="5"/>
      <c r="U22" s="27">
        <v>6.1686</v>
      </c>
      <c r="V22" s="19">
        <v>15.5</v>
      </c>
      <c r="W22" s="5"/>
      <c r="X22" s="27">
        <v>6.1459</v>
      </c>
      <c r="Y22" s="19">
        <v>15.55</v>
      </c>
      <c r="Z22" s="5"/>
      <c r="AA22" s="27">
        <v>6.1379</v>
      </c>
      <c r="AB22" s="19">
        <v>15.57</v>
      </c>
      <c r="AC22" s="5"/>
      <c r="AD22" s="27">
        <v>6.1274</v>
      </c>
      <c r="AE22" s="19">
        <v>15.58</v>
      </c>
      <c r="AF22" s="5"/>
      <c r="AG22" s="27">
        <v>6.097</v>
      </c>
      <c r="AH22" s="19">
        <v>15.58</v>
      </c>
      <c r="AI22" s="5"/>
      <c r="AJ22" s="27">
        <v>6.1236</v>
      </c>
      <c r="AK22" s="19">
        <v>15.54</v>
      </c>
      <c r="AL22" s="5"/>
      <c r="AM22" s="27">
        <v>6.1378</v>
      </c>
      <c r="AN22" s="19">
        <v>15.51</v>
      </c>
      <c r="AO22" s="5"/>
      <c r="AP22" s="27">
        <v>6.1518</v>
      </c>
      <c r="AQ22" s="19">
        <v>15.46</v>
      </c>
      <c r="AR22" s="5"/>
      <c r="AS22" s="27">
        <v>6.1029</v>
      </c>
      <c r="AT22" s="19">
        <v>15.58</v>
      </c>
      <c r="AU22" s="5"/>
      <c r="AV22" s="27">
        <v>6.1212</v>
      </c>
      <c r="AW22" s="19">
        <v>15.57</v>
      </c>
      <c r="AX22" s="5"/>
      <c r="AY22" s="27">
        <v>6.0879</v>
      </c>
      <c r="AZ22" s="19">
        <v>15.6</v>
      </c>
      <c r="BA22" s="5"/>
      <c r="BB22" s="27">
        <v>6.0936</v>
      </c>
      <c r="BC22" s="19">
        <v>15.58</v>
      </c>
      <c r="BD22" s="5"/>
      <c r="BE22" s="27">
        <v>6.0711</v>
      </c>
      <c r="BF22" s="19">
        <v>15.63</v>
      </c>
      <c r="BG22" s="5"/>
      <c r="BH22" s="27">
        <v>6.0882</v>
      </c>
      <c r="BI22" s="19">
        <v>15.6</v>
      </c>
      <c r="BJ22" s="5"/>
      <c r="BK22" s="45">
        <v>6.13885</v>
      </c>
      <c r="BL22" s="46">
        <v>15.528000000000002</v>
      </c>
      <c r="BM22" s="5"/>
      <c r="BN22" s="31"/>
      <c r="BO22" s="32"/>
      <c r="BP22" s="9"/>
      <c r="BQ22" s="31"/>
      <c r="BR22" s="32"/>
      <c r="BS22" s="9"/>
    </row>
    <row r="23" spans="1:71" ht="15.75" customHeight="1">
      <c r="A23" s="16">
        <v>11</v>
      </c>
      <c r="B23" s="17" t="s">
        <v>24</v>
      </c>
      <c r="C23" s="27">
        <v>5.6334</v>
      </c>
      <c r="D23" s="19">
        <v>16.92</v>
      </c>
      <c r="E23" s="5"/>
      <c r="F23" s="27">
        <v>5.66</v>
      </c>
      <c r="G23" s="19">
        <v>16.87</v>
      </c>
      <c r="H23" s="5"/>
      <c r="I23" s="27">
        <v>5.6718</v>
      </c>
      <c r="J23" s="19">
        <v>16.87</v>
      </c>
      <c r="K23" s="5"/>
      <c r="L23" s="27">
        <v>5.6805</v>
      </c>
      <c r="M23" s="19">
        <v>16.87</v>
      </c>
      <c r="N23" s="5"/>
      <c r="O23" s="27">
        <v>5.6757</v>
      </c>
      <c r="P23" s="19">
        <v>16.86</v>
      </c>
      <c r="Q23" s="5"/>
      <c r="R23" s="27">
        <v>5.6613</v>
      </c>
      <c r="S23" s="19">
        <v>16.88</v>
      </c>
      <c r="T23" s="5"/>
      <c r="U23" s="27">
        <v>5.6646</v>
      </c>
      <c r="V23" s="19">
        <v>16.88</v>
      </c>
      <c r="W23" s="5"/>
      <c r="X23" s="27">
        <v>5.6541</v>
      </c>
      <c r="Y23" s="19">
        <v>16.9</v>
      </c>
      <c r="Z23" s="5"/>
      <c r="AA23" s="27">
        <v>5.6545</v>
      </c>
      <c r="AB23" s="19">
        <v>16.9</v>
      </c>
      <c r="AC23" s="5"/>
      <c r="AD23" s="27">
        <v>5.6393</v>
      </c>
      <c r="AE23" s="19">
        <v>16.93</v>
      </c>
      <c r="AF23" s="5"/>
      <c r="AG23" s="27">
        <v>5.5904</v>
      </c>
      <c r="AH23" s="19">
        <v>16.99</v>
      </c>
      <c r="AI23" s="5"/>
      <c r="AJ23" s="27">
        <v>5.6074</v>
      </c>
      <c r="AK23" s="19">
        <v>16.97</v>
      </c>
      <c r="AL23" s="5"/>
      <c r="AM23" s="27">
        <v>5.6069</v>
      </c>
      <c r="AN23" s="19">
        <v>16.98</v>
      </c>
      <c r="AO23" s="5"/>
      <c r="AP23" s="27">
        <v>5.5973</v>
      </c>
      <c r="AQ23" s="19">
        <v>17</v>
      </c>
      <c r="AR23" s="5"/>
      <c r="AS23" s="27">
        <v>5.5942</v>
      </c>
      <c r="AT23" s="19">
        <v>16.99</v>
      </c>
      <c r="AU23" s="5"/>
      <c r="AV23" s="27">
        <v>5.6157</v>
      </c>
      <c r="AW23" s="19">
        <v>16.98</v>
      </c>
      <c r="AX23" s="5"/>
      <c r="AY23" s="27">
        <v>5.581</v>
      </c>
      <c r="AZ23" s="19">
        <v>17.01</v>
      </c>
      <c r="BA23" s="5"/>
      <c r="BB23" s="27">
        <v>5.5865</v>
      </c>
      <c r="BC23" s="19">
        <v>16.99</v>
      </c>
      <c r="BD23" s="5"/>
      <c r="BE23" s="27">
        <v>5.5815</v>
      </c>
      <c r="BF23" s="19">
        <v>17</v>
      </c>
      <c r="BG23" s="5"/>
      <c r="BH23" s="27">
        <v>5.5935</v>
      </c>
      <c r="BI23" s="19">
        <v>16.98</v>
      </c>
      <c r="BJ23" s="5"/>
      <c r="BK23" s="45">
        <v>5.62748</v>
      </c>
      <c r="BL23" s="46">
        <v>16.9385</v>
      </c>
      <c r="BM23" s="5"/>
      <c r="BN23" s="31"/>
      <c r="BO23" s="32"/>
      <c r="BP23" s="9"/>
      <c r="BQ23" s="31"/>
      <c r="BR23" s="32"/>
      <c r="BS23" s="9"/>
    </row>
    <row r="24" spans="1:71" ht="15.75" customHeight="1">
      <c r="A24" s="16">
        <v>12</v>
      </c>
      <c r="B24" s="17" t="s">
        <v>25</v>
      </c>
      <c r="C24" s="27">
        <f>1/1.50472</f>
        <v>0.6645754691902812</v>
      </c>
      <c r="D24" s="19">
        <v>143.41</v>
      </c>
      <c r="E24" s="5"/>
      <c r="F24" s="27">
        <f>1/1.50728</f>
        <v>0.6634467384958336</v>
      </c>
      <c r="G24" s="19">
        <v>143.95</v>
      </c>
      <c r="H24" s="5"/>
      <c r="I24" s="27">
        <f>1/1.50463</f>
        <v>0.6646152210177918</v>
      </c>
      <c r="J24" s="19">
        <v>143.98</v>
      </c>
      <c r="K24" s="5"/>
      <c r="L24" s="27">
        <f>1/1.50175</f>
        <v>0.665889795238888</v>
      </c>
      <c r="M24" s="19">
        <v>143.88</v>
      </c>
      <c r="N24" s="5"/>
      <c r="O24" s="27">
        <f>1/1.50193</f>
        <v>0.6658099911447272</v>
      </c>
      <c r="P24" s="19">
        <v>143.73</v>
      </c>
      <c r="Q24" s="5"/>
      <c r="R24" s="27">
        <f>1/1.50224</f>
        <v>0.6656725955905847</v>
      </c>
      <c r="S24" s="19">
        <v>143.54</v>
      </c>
      <c r="T24" s="5"/>
      <c r="U24" s="27">
        <f>1/1.50279</f>
        <v>0.665428968784727</v>
      </c>
      <c r="V24" s="19">
        <v>143.66</v>
      </c>
      <c r="W24" s="5"/>
      <c r="X24" s="27">
        <f>1/1.50256</f>
        <v>0.6655308273879247</v>
      </c>
      <c r="Y24" s="19">
        <v>143.6</v>
      </c>
      <c r="Z24" s="5"/>
      <c r="AA24" s="27">
        <f>1/1.50351</f>
        <v>0.6651103085446721</v>
      </c>
      <c r="AB24" s="19">
        <v>143.7</v>
      </c>
      <c r="AC24" s="5"/>
      <c r="AD24" s="27">
        <f>1/1.50494</f>
        <v>0.6644783180724814</v>
      </c>
      <c r="AE24" s="19">
        <v>143.7</v>
      </c>
      <c r="AF24" s="5"/>
      <c r="AG24" s="27">
        <f>1/1.50573</f>
        <v>0.6641296912461065</v>
      </c>
      <c r="AH24" s="19">
        <v>143.01</v>
      </c>
      <c r="AI24" s="5"/>
      <c r="AJ24" s="27">
        <f>1/1.51203</f>
        <v>0.6613625391030601</v>
      </c>
      <c r="AK24" s="19">
        <v>143.86</v>
      </c>
      <c r="AL24" s="5"/>
      <c r="AM24" s="27">
        <f>1/1.50931</f>
        <v>0.6625544122811086</v>
      </c>
      <c r="AN24" s="19">
        <v>143.66</v>
      </c>
      <c r="AO24" s="5"/>
      <c r="AP24" s="27">
        <f>1/1.50967</f>
        <v>0.6623964177601728</v>
      </c>
      <c r="AQ24" s="19">
        <v>143.62</v>
      </c>
      <c r="AR24" s="5"/>
      <c r="AS24" s="27">
        <f>1/1.514</f>
        <v>0.6605019815059445</v>
      </c>
      <c r="AT24" s="19">
        <v>143.94</v>
      </c>
      <c r="AU24" s="5"/>
      <c r="AV24" s="27">
        <f>1/1.51156</f>
        <v>0.6615681812167562</v>
      </c>
      <c r="AW24" s="19">
        <v>144.1</v>
      </c>
      <c r="AX24" s="5"/>
      <c r="AY24" s="27">
        <f>1/1.50883</f>
        <v>0.6627651889212172</v>
      </c>
      <c r="AZ24" s="19">
        <v>143.25</v>
      </c>
      <c r="BA24" s="5"/>
      <c r="BB24" s="27">
        <f>1/1.51197</f>
        <v>0.661388784168998</v>
      </c>
      <c r="BC24" s="19">
        <v>143.52</v>
      </c>
      <c r="BD24" s="5"/>
      <c r="BE24" s="27">
        <f>1/1.51326</f>
        <v>0.6608249738974135</v>
      </c>
      <c r="BF24" s="19">
        <v>143.57</v>
      </c>
      <c r="BG24" s="5"/>
      <c r="BH24" s="27">
        <f>1/1.51324</f>
        <v>0.6608337078057678</v>
      </c>
      <c r="BI24" s="19">
        <v>143.72</v>
      </c>
      <c r="BJ24" s="5"/>
      <c r="BK24" s="45">
        <v>0.6634442055687229</v>
      </c>
      <c r="BL24" s="46">
        <v>143.67</v>
      </c>
      <c r="BM24" s="5"/>
      <c r="BN24" s="31"/>
      <c r="BO24" s="32"/>
      <c r="BP24" s="9"/>
      <c r="BQ24" s="31"/>
      <c r="BR24" s="32"/>
      <c r="BS24" s="9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95.31</v>
      </c>
      <c r="E25" s="21"/>
      <c r="F25" s="28">
        <v>1</v>
      </c>
      <c r="G25" s="22">
        <v>95.5</v>
      </c>
      <c r="H25" s="21"/>
      <c r="I25" s="28">
        <v>1</v>
      </c>
      <c r="J25" s="22">
        <v>95.69</v>
      </c>
      <c r="K25" s="21"/>
      <c r="L25" s="28">
        <v>1</v>
      </c>
      <c r="M25" s="22">
        <v>95.81</v>
      </c>
      <c r="N25" s="21"/>
      <c r="O25" s="28">
        <v>1</v>
      </c>
      <c r="P25" s="22">
        <v>95.7</v>
      </c>
      <c r="Q25" s="21"/>
      <c r="R25" s="28">
        <v>1</v>
      </c>
      <c r="S25" s="22">
        <v>95.55</v>
      </c>
      <c r="T25" s="21"/>
      <c r="U25" s="28">
        <v>1</v>
      </c>
      <c r="V25" s="22">
        <v>95.6</v>
      </c>
      <c r="W25" s="21"/>
      <c r="X25" s="28">
        <v>1</v>
      </c>
      <c r="Y25" s="22">
        <v>95.57</v>
      </c>
      <c r="Z25" s="21"/>
      <c r="AA25" s="28">
        <v>1</v>
      </c>
      <c r="AB25" s="22">
        <v>95.58</v>
      </c>
      <c r="AC25" s="21"/>
      <c r="AD25" s="28">
        <v>1</v>
      </c>
      <c r="AE25" s="22">
        <v>95.49</v>
      </c>
      <c r="AF25" s="21"/>
      <c r="AG25" s="28">
        <v>1</v>
      </c>
      <c r="AH25" s="22">
        <v>94.98</v>
      </c>
      <c r="AI25" s="21"/>
      <c r="AJ25" s="28">
        <v>1</v>
      </c>
      <c r="AK25" s="22">
        <v>95.14</v>
      </c>
      <c r="AL25" s="21"/>
      <c r="AM25" s="28">
        <v>1</v>
      </c>
      <c r="AN25" s="22">
        <v>95.19</v>
      </c>
      <c r="AO25" s="21"/>
      <c r="AP25" s="28">
        <v>1</v>
      </c>
      <c r="AQ25" s="22">
        <v>95.13</v>
      </c>
      <c r="AR25" s="21"/>
      <c r="AS25" s="28">
        <v>1</v>
      </c>
      <c r="AT25" s="22">
        <v>95.07</v>
      </c>
      <c r="AU25" s="21"/>
      <c r="AV25" s="28">
        <v>1</v>
      </c>
      <c r="AW25" s="22">
        <v>95.33</v>
      </c>
      <c r="AX25" s="21"/>
      <c r="AY25" s="28">
        <v>1</v>
      </c>
      <c r="AZ25" s="22">
        <v>94.94</v>
      </c>
      <c r="BA25" s="21"/>
      <c r="BB25" s="28">
        <v>1</v>
      </c>
      <c r="BC25" s="22">
        <v>94.93</v>
      </c>
      <c r="BD25" s="21"/>
      <c r="BE25" s="28">
        <v>1</v>
      </c>
      <c r="BF25" s="22">
        <v>94.87</v>
      </c>
      <c r="BG25" s="21"/>
      <c r="BH25" s="28">
        <v>1</v>
      </c>
      <c r="BI25" s="22">
        <v>94.98</v>
      </c>
      <c r="BJ25" s="21"/>
      <c r="BK25" s="68">
        <v>1</v>
      </c>
      <c r="BL25" s="94">
        <v>95.31800000000001</v>
      </c>
      <c r="BM25" s="21"/>
      <c r="BN25" s="28"/>
      <c r="BO25" s="22"/>
      <c r="BP25" s="21"/>
      <c r="BQ25" s="28"/>
      <c r="BR25" s="22"/>
      <c r="BS25" s="21"/>
      <c r="BT25" s="58"/>
      <c r="BU25" s="58"/>
    </row>
    <row r="26" spans="1:71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40"/>
      <c r="BO26" s="40"/>
      <c r="BP26" s="40"/>
      <c r="BQ26" s="40"/>
      <c r="BR26" s="40"/>
      <c r="BS26" s="40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7"/>
  <sheetViews>
    <sheetView zoomScale="75" zoomScaleNormal="75" zoomScalePageLayoutView="0" workbookViewId="0" topLeftCell="A1">
      <pane xSplit="2" ySplit="11" topLeftCell="B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9" sqref="BK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91</v>
      </c>
      <c r="D4" s="4"/>
      <c r="E4" s="10"/>
      <c r="F4" s="4" t="s">
        <v>92</v>
      </c>
      <c r="G4" s="4"/>
      <c r="H4" s="10"/>
      <c r="I4" s="4" t="s">
        <v>93</v>
      </c>
      <c r="J4" s="4"/>
      <c r="K4" s="10"/>
      <c r="L4" s="4" t="s">
        <v>94</v>
      </c>
      <c r="M4" s="4"/>
      <c r="N4" s="10"/>
      <c r="O4" s="4" t="s">
        <v>95</v>
      </c>
      <c r="P4" s="4"/>
      <c r="Q4" s="10"/>
      <c r="R4" s="4" t="s">
        <v>96</v>
      </c>
      <c r="S4" s="4"/>
      <c r="T4" s="10"/>
      <c r="U4" s="4" t="s">
        <v>97</v>
      </c>
      <c r="V4" s="4"/>
      <c r="W4" s="10"/>
      <c r="X4" s="4" t="s">
        <v>98</v>
      </c>
      <c r="Y4" s="4"/>
      <c r="Z4" s="10"/>
      <c r="AA4" s="4" t="s">
        <v>99</v>
      </c>
      <c r="AB4" s="4"/>
      <c r="AC4" s="10"/>
      <c r="AD4" s="4" t="s">
        <v>100</v>
      </c>
      <c r="AE4" s="4"/>
      <c r="AF4" s="10"/>
      <c r="AG4" s="4" t="s">
        <v>101</v>
      </c>
      <c r="AH4" s="4"/>
      <c r="AI4" s="10"/>
      <c r="AJ4" s="4" t="s">
        <v>102</v>
      </c>
      <c r="AK4" s="4"/>
      <c r="AL4" s="10"/>
      <c r="AM4" s="4" t="s">
        <v>103</v>
      </c>
      <c r="AN4" s="4"/>
      <c r="AO4" s="10"/>
      <c r="AP4" s="4" t="s">
        <v>104</v>
      </c>
      <c r="AQ4" s="4"/>
      <c r="AR4" s="10"/>
      <c r="AS4" s="4" t="s">
        <v>105</v>
      </c>
      <c r="AT4" s="4"/>
      <c r="AU4" s="10"/>
      <c r="AV4" s="4" t="s">
        <v>106</v>
      </c>
      <c r="AW4" s="4"/>
      <c r="AX4" s="10"/>
      <c r="AY4" s="4" t="s">
        <v>107</v>
      </c>
      <c r="AZ4" s="4"/>
      <c r="BA4" s="10"/>
      <c r="BB4" s="4" t="s">
        <v>108</v>
      </c>
      <c r="BC4" s="4"/>
      <c r="BD4" s="10"/>
      <c r="BE4" s="4" t="s">
        <v>110</v>
      </c>
      <c r="BF4" s="4"/>
      <c r="BG4" s="10"/>
      <c r="BH4" s="4" t="s">
        <v>109</v>
      </c>
      <c r="BI4" s="4"/>
      <c r="BJ4" s="10"/>
      <c r="BK4" s="4" t="s">
        <v>3</v>
      </c>
      <c r="BL4" s="4"/>
      <c r="BM4" s="10"/>
      <c r="BN4" s="37"/>
      <c r="BO4" s="38"/>
      <c r="BP4" s="37"/>
      <c r="BQ4" s="38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38"/>
      <c r="BO5" s="38"/>
      <c r="BP5" s="38"/>
      <c r="BQ5" s="38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64"/>
      <c r="BL6" s="64"/>
      <c r="BM6" s="64"/>
      <c r="BN6" s="9"/>
      <c r="BO6" s="9"/>
      <c r="BP6" s="9"/>
      <c r="BQ6" s="9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65" t="s">
        <v>5</v>
      </c>
      <c r="BL7" s="65" t="s">
        <v>5</v>
      </c>
      <c r="BM7" s="65"/>
      <c r="BN7" s="39"/>
      <c r="BO7" s="39"/>
      <c r="BP7" s="39"/>
      <c r="BQ7" s="39"/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65" t="s">
        <v>8</v>
      </c>
      <c r="BL8" s="65" t="s">
        <v>9</v>
      </c>
      <c r="BM8" s="65"/>
      <c r="BN8" s="39"/>
      <c r="BO8" s="39"/>
      <c r="BP8" s="39"/>
      <c r="BQ8" s="39"/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65" t="s">
        <v>7</v>
      </c>
      <c r="BL9" s="65" t="s">
        <v>11</v>
      </c>
      <c r="BM9" s="65"/>
      <c r="BN9" s="39"/>
      <c r="BO9" s="39"/>
      <c r="BP9" s="39"/>
      <c r="BQ9" s="39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6" t="s">
        <v>13</v>
      </c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65" t="s">
        <v>10</v>
      </c>
      <c r="BL10" s="65" t="s">
        <v>12</v>
      </c>
      <c r="BM10" s="65"/>
      <c r="BN10" s="39"/>
      <c r="BO10" s="39"/>
      <c r="BP10" s="39"/>
      <c r="BQ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6"/>
      <c r="BL11" s="66"/>
      <c r="BM11" s="66"/>
      <c r="BN11" s="9"/>
      <c r="BO11" s="9"/>
      <c r="BP11" s="9"/>
      <c r="BQ11" s="9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64"/>
      <c r="BL12" s="64"/>
      <c r="BM12" s="64"/>
      <c r="BN12" s="9"/>
      <c r="BO12" s="9"/>
      <c r="BP12" s="9"/>
      <c r="BQ12" s="9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117.77</v>
      </c>
      <c r="D13" s="19">
        <v>80.02</v>
      </c>
      <c r="E13" s="5"/>
      <c r="F13" s="27">
        <v>118.55</v>
      </c>
      <c r="G13" s="19">
        <v>78.81</v>
      </c>
      <c r="H13" s="5"/>
      <c r="I13" s="27">
        <v>118.79</v>
      </c>
      <c r="J13" s="19">
        <v>78.73</v>
      </c>
      <c r="K13" s="5"/>
      <c r="L13" s="27">
        <v>118.75</v>
      </c>
      <c r="M13" s="19">
        <v>78.83</v>
      </c>
      <c r="N13" s="5"/>
      <c r="O13" s="27">
        <v>118.78</v>
      </c>
      <c r="P13" s="19">
        <v>78.92</v>
      </c>
      <c r="Q13" s="5"/>
      <c r="R13" s="27">
        <v>119.06</v>
      </c>
      <c r="S13" s="19">
        <v>78.88</v>
      </c>
      <c r="T13" s="5"/>
      <c r="U13" s="27">
        <v>119.25</v>
      </c>
      <c r="V13" s="19">
        <v>78.88</v>
      </c>
      <c r="W13" s="5"/>
      <c r="X13" s="27">
        <v>119.39</v>
      </c>
      <c r="Y13" s="19">
        <v>78.72</v>
      </c>
      <c r="Z13" s="5"/>
      <c r="AA13" s="27">
        <v>118.41</v>
      </c>
      <c r="AB13" s="19">
        <v>79.08</v>
      </c>
      <c r="AC13" s="5"/>
      <c r="AD13" s="27">
        <v>119.42</v>
      </c>
      <c r="AE13" s="19">
        <v>78.12</v>
      </c>
      <c r="AF13" s="5"/>
      <c r="AG13" s="27">
        <v>119.27</v>
      </c>
      <c r="AH13" s="19">
        <v>78.28</v>
      </c>
      <c r="AI13" s="5"/>
      <c r="AJ13" s="27">
        <v>118.65</v>
      </c>
      <c r="AK13" s="19">
        <v>78.35</v>
      </c>
      <c r="AL13" s="5"/>
      <c r="AM13" s="27">
        <v>117.84</v>
      </c>
      <c r="AN13" s="19">
        <v>78.94</v>
      </c>
      <c r="AO13" s="5"/>
      <c r="AP13" s="27">
        <v>118.71</v>
      </c>
      <c r="AQ13" s="19">
        <v>78.19</v>
      </c>
      <c r="AR13" s="5"/>
      <c r="AS13" s="27">
        <v>118.41</v>
      </c>
      <c r="AT13" s="19">
        <v>78.55</v>
      </c>
      <c r="AU13" s="5"/>
      <c r="AV13" s="27">
        <v>118.77</v>
      </c>
      <c r="AW13" s="19">
        <v>78.34</v>
      </c>
      <c r="AX13" s="5"/>
      <c r="AY13" s="27">
        <v>118.56</v>
      </c>
      <c r="AZ13" s="19">
        <v>78.2</v>
      </c>
      <c r="BA13" s="5"/>
      <c r="BB13" s="27">
        <v>119.18</v>
      </c>
      <c r="BC13" s="19">
        <v>77.84</v>
      </c>
      <c r="BD13" s="5"/>
      <c r="BE13" s="27">
        <v>119.48</v>
      </c>
      <c r="BF13" s="19">
        <v>77.79</v>
      </c>
      <c r="BG13" s="5"/>
      <c r="BH13" s="27">
        <v>119.58</v>
      </c>
      <c r="BI13" s="19">
        <v>77.78</v>
      </c>
      <c r="BJ13" s="5"/>
      <c r="BK13" s="67">
        <v>118.83099999999999</v>
      </c>
      <c r="BL13" s="67">
        <v>78.5625</v>
      </c>
      <c r="BM13" s="66"/>
      <c r="BN13" s="32"/>
      <c r="BO13" s="9"/>
      <c r="BP13" s="32"/>
      <c r="BQ13" s="9"/>
    </row>
    <row r="14" spans="1:69" ht="15.75" customHeight="1">
      <c r="A14" s="16">
        <v>2</v>
      </c>
      <c r="B14" s="17" t="s">
        <v>15</v>
      </c>
      <c r="C14" s="27">
        <f>1/1.9731</f>
        <v>0.5068166844052506</v>
      </c>
      <c r="D14" s="19">
        <v>185.95</v>
      </c>
      <c r="E14" s="5"/>
      <c r="F14" s="27">
        <f>1/1.9766</f>
        <v>0.5059192552868562</v>
      </c>
      <c r="G14" s="19">
        <v>184.68</v>
      </c>
      <c r="H14" s="5"/>
      <c r="I14" s="27">
        <f>1/1.9749</f>
        <v>0.5063547521393488</v>
      </c>
      <c r="J14" s="19">
        <v>184.69</v>
      </c>
      <c r="K14" s="5"/>
      <c r="L14" s="27">
        <f>1/1.9739</f>
        <v>0.5066112771670297</v>
      </c>
      <c r="M14" s="19">
        <v>184.77</v>
      </c>
      <c r="N14" s="5"/>
      <c r="O14" s="27">
        <f>1/1.9706</f>
        <v>0.5074596569572719</v>
      </c>
      <c r="P14" s="19">
        <v>184.72</v>
      </c>
      <c r="Q14" s="5"/>
      <c r="R14" s="27">
        <f>1/1.9713</f>
        <v>0.5072794602546543</v>
      </c>
      <c r="S14" s="19">
        <v>185.13</v>
      </c>
      <c r="T14" s="5"/>
      <c r="U14" s="27">
        <f>1/1.9782</f>
        <v>0.505510059650187</v>
      </c>
      <c r="V14" s="19">
        <v>186.07</v>
      </c>
      <c r="W14" s="5"/>
      <c r="X14" s="27">
        <f>1/1.9748</f>
        <v>0.5063803929511849</v>
      </c>
      <c r="Y14" s="19">
        <v>185.6</v>
      </c>
      <c r="Z14" s="5"/>
      <c r="AA14" s="27">
        <f>1/1.9854</f>
        <v>0.5036768409388536</v>
      </c>
      <c r="AB14" s="19">
        <v>185.91</v>
      </c>
      <c r="AC14" s="5"/>
      <c r="AD14" s="27">
        <f>1/1.9929</f>
        <v>0.501781323699132</v>
      </c>
      <c r="AE14" s="19">
        <v>185.93</v>
      </c>
      <c r="AF14" s="5"/>
      <c r="AG14" s="27">
        <f>1/1.9984</f>
        <v>0.500400320256205</v>
      </c>
      <c r="AH14" s="19">
        <v>186.57</v>
      </c>
      <c r="AI14" s="5"/>
      <c r="AJ14" s="27">
        <f>1/2.0114</f>
        <v>0.4971661529283086</v>
      </c>
      <c r="AK14" s="19">
        <v>186.98</v>
      </c>
      <c r="AL14" s="5"/>
      <c r="AM14" s="27">
        <f>1/2.0026</f>
        <v>0.49935084390292617</v>
      </c>
      <c r="AN14" s="19">
        <v>186.28</v>
      </c>
      <c r="AO14" s="5"/>
      <c r="AP14" s="27">
        <f>1/2.003</f>
        <v>0.4992511233150274</v>
      </c>
      <c r="AQ14" s="19">
        <v>185.91</v>
      </c>
      <c r="AR14" s="5"/>
      <c r="AS14" s="27">
        <f>1/1.9989</f>
        <v>0.5002751513332333</v>
      </c>
      <c r="AT14" s="19">
        <v>185.92</v>
      </c>
      <c r="AU14" s="5"/>
      <c r="AV14" s="27">
        <f>1/2.0007</f>
        <v>0.49982506122856996</v>
      </c>
      <c r="AW14" s="19">
        <v>186.16</v>
      </c>
      <c r="AX14" s="5"/>
      <c r="AY14" s="27">
        <f>1/2.0047</f>
        <v>0.4988277547762757</v>
      </c>
      <c r="AZ14" s="19">
        <v>185.87</v>
      </c>
      <c r="BA14" s="5"/>
      <c r="BB14" s="27">
        <f>1/2.0011</f>
        <v>0.49972515116685823</v>
      </c>
      <c r="BC14" s="19">
        <v>185.65</v>
      </c>
      <c r="BD14" s="5"/>
      <c r="BE14" s="27">
        <f>1/1.9939</f>
        <v>0.5015296654797131</v>
      </c>
      <c r="BF14" s="19">
        <v>185.33</v>
      </c>
      <c r="BG14" s="5"/>
      <c r="BH14" s="27">
        <f>1/1.9913</f>
        <v>0.5021845025862501</v>
      </c>
      <c r="BI14" s="19">
        <v>185.22</v>
      </c>
      <c r="BJ14" s="5"/>
      <c r="BK14" s="67">
        <v>0.5028162715211568</v>
      </c>
      <c r="BL14" s="67">
        <v>185.66699999999997</v>
      </c>
      <c r="BM14" s="66"/>
      <c r="BN14" s="32"/>
      <c r="BO14" s="9"/>
      <c r="BP14" s="32"/>
      <c r="BQ14" s="9"/>
    </row>
    <row r="15" spans="1:69" ht="15.75" customHeight="1">
      <c r="A15" s="16">
        <v>3</v>
      </c>
      <c r="B15" s="17" t="s">
        <v>16</v>
      </c>
      <c r="C15" s="27">
        <v>1.2153</v>
      </c>
      <c r="D15" s="19">
        <v>77.55</v>
      </c>
      <c r="E15" s="5"/>
      <c r="F15" s="27">
        <v>1.2184</v>
      </c>
      <c r="G15" s="19">
        <v>76.68</v>
      </c>
      <c r="H15" s="5"/>
      <c r="I15" s="27">
        <v>1.2205</v>
      </c>
      <c r="J15" s="19">
        <v>76.62</v>
      </c>
      <c r="K15" s="5"/>
      <c r="L15" s="27">
        <v>1.2205</v>
      </c>
      <c r="M15" s="19">
        <v>76.7</v>
      </c>
      <c r="N15" s="5"/>
      <c r="O15" s="27">
        <v>1.216</v>
      </c>
      <c r="P15" s="19">
        <v>77.09</v>
      </c>
      <c r="Q15" s="5"/>
      <c r="R15" s="27">
        <v>1.2196</v>
      </c>
      <c r="S15" s="19">
        <v>77</v>
      </c>
      <c r="T15" s="5"/>
      <c r="U15" s="27">
        <v>1.2188</v>
      </c>
      <c r="V15" s="19">
        <v>77.18</v>
      </c>
      <c r="W15" s="5"/>
      <c r="X15" s="27">
        <v>1.2205</v>
      </c>
      <c r="Y15" s="19">
        <v>77.01</v>
      </c>
      <c r="Z15" s="5"/>
      <c r="AA15" s="27">
        <v>1.2099</v>
      </c>
      <c r="AB15" s="19">
        <v>77.39</v>
      </c>
      <c r="AC15" s="5"/>
      <c r="AD15" s="27">
        <v>1.212</v>
      </c>
      <c r="AE15" s="19">
        <v>76.98</v>
      </c>
      <c r="AF15" s="5"/>
      <c r="AG15" s="27">
        <v>1.2126</v>
      </c>
      <c r="AH15" s="19">
        <v>76.99</v>
      </c>
      <c r="AI15" s="5"/>
      <c r="AJ15" s="27">
        <v>1.2033</v>
      </c>
      <c r="AK15" s="19">
        <v>77.25</v>
      </c>
      <c r="AL15" s="5"/>
      <c r="AM15" s="27">
        <v>1.2019</v>
      </c>
      <c r="AN15" s="19">
        <v>77.39</v>
      </c>
      <c r="AO15" s="5"/>
      <c r="AP15" s="27">
        <v>1.2069</v>
      </c>
      <c r="AQ15" s="19">
        <v>76.9</v>
      </c>
      <c r="AR15" s="5"/>
      <c r="AS15" s="27">
        <v>1.2097</v>
      </c>
      <c r="AT15" s="19">
        <v>76.89</v>
      </c>
      <c r="AU15" s="5"/>
      <c r="AV15" s="27">
        <v>1.206</v>
      </c>
      <c r="AW15" s="19">
        <v>77.16</v>
      </c>
      <c r="AX15" s="5"/>
      <c r="AY15" s="27">
        <v>1.2021</v>
      </c>
      <c r="AZ15" s="19">
        <v>77.13</v>
      </c>
      <c r="BA15" s="5"/>
      <c r="BB15" s="27">
        <v>1.2056</v>
      </c>
      <c r="BC15" s="19">
        <v>76.95</v>
      </c>
      <c r="BD15" s="5"/>
      <c r="BE15" s="27">
        <v>1.2062</v>
      </c>
      <c r="BF15" s="19">
        <v>77.06</v>
      </c>
      <c r="BG15" s="5"/>
      <c r="BH15" s="27">
        <v>1.2086</v>
      </c>
      <c r="BI15" s="19">
        <v>76.96</v>
      </c>
      <c r="BJ15" s="5"/>
      <c r="BK15" s="67">
        <v>1.2117200000000001</v>
      </c>
      <c r="BL15" s="67">
        <v>77.04400000000001</v>
      </c>
      <c r="BM15" s="66"/>
      <c r="BN15" s="32"/>
      <c r="BO15" s="9"/>
      <c r="BP15" s="32"/>
      <c r="BQ15" s="9"/>
    </row>
    <row r="16" spans="1:69" ht="15.75" customHeight="1">
      <c r="A16" s="16">
        <v>4</v>
      </c>
      <c r="B16" s="17" t="s">
        <v>17</v>
      </c>
      <c r="C16" s="27">
        <f>1/1.3349</f>
        <v>0.7491197842535021</v>
      </c>
      <c r="D16" s="19">
        <v>125.78</v>
      </c>
      <c r="E16" s="5"/>
      <c r="F16" s="27">
        <f>1/1.3353</f>
        <v>0.7488953793155096</v>
      </c>
      <c r="G16" s="19">
        <v>124.69</v>
      </c>
      <c r="H16" s="5"/>
      <c r="I16" s="27">
        <f>1/1.3348</f>
        <v>0.7491759065028468</v>
      </c>
      <c r="J16" s="19">
        <v>124.75</v>
      </c>
      <c r="K16" s="5"/>
      <c r="L16" s="27">
        <f>1/1.336</f>
        <v>0.748502994011976</v>
      </c>
      <c r="M16" s="19">
        <v>124.96</v>
      </c>
      <c r="N16" s="5"/>
      <c r="O16" s="27">
        <f>1/1.3417</f>
        <v>0.7453230975627936</v>
      </c>
      <c r="P16" s="19">
        <v>125.67</v>
      </c>
      <c r="Q16" s="5"/>
      <c r="R16" s="27">
        <f>1/1.3415</f>
        <v>0.7454342154304883</v>
      </c>
      <c r="S16" s="19">
        <v>125.89</v>
      </c>
      <c r="T16" s="5"/>
      <c r="U16" s="27">
        <f>1/1.3428</f>
        <v>0.7447125409591897</v>
      </c>
      <c r="V16" s="19">
        <v>126.21</v>
      </c>
      <c r="W16" s="5"/>
      <c r="X16" s="27">
        <f>1/1.3446</f>
        <v>0.7437156031533542</v>
      </c>
      <c r="Y16" s="19">
        <v>126.34</v>
      </c>
      <c r="Z16" s="5"/>
      <c r="AA16" s="27">
        <f>1/1.3525</f>
        <v>0.7393715341959335</v>
      </c>
      <c r="AB16" s="19">
        <v>126.53</v>
      </c>
      <c r="AC16" s="5"/>
      <c r="AD16" s="27">
        <f>1/1.3558</f>
        <v>0.737571913261543</v>
      </c>
      <c r="AE16" s="19">
        <v>126.43</v>
      </c>
      <c r="AF16" s="5"/>
      <c r="AG16" s="27">
        <f>1/1.3532</f>
        <v>0.7389890629618682</v>
      </c>
      <c r="AH16" s="19">
        <v>126.37</v>
      </c>
      <c r="AI16" s="5"/>
      <c r="AJ16" s="27">
        <f>1/1.3611</f>
        <v>0.7346998751010212</v>
      </c>
      <c r="AK16" s="19">
        <v>126.48</v>
      </c>
      <c r="AL16" s="5"/>
      <c r="AM16" s="27">
        <f>1/1.36</f>
        <v>0.7352941176470588</v>
      </c>
      <c r="AN16" s="19">
        <v>126.38</v>
      </c>
      <c r="AO16" s="5"/>
      <c r="AP16" s="27">
        <f>1/1.3608</f>
        <v>0.7348618459729571</v>
      </c>
      <c r="AQ16" s="19">
        <v>126.19</v>
      </c>
      <c r="AR16" s="5"/>
      <c r="AS16" s="27">
        <f>1/1.3562</f>
        <v>0.737354372511429</v>
      </c>
      <c r="AT16" s="19">
        <v>126.15</v>
      </c>
      <c r="AU16" s="5"/>
      <c r="AV16" s="27">
        <f>1/1.3581</f>
        <v>0.7363228039172373</v>
      </c>
      <c r="AW16" s="19">
        <v>126.3</v>
      </c>
      <c r="AX16" s="5"/>
      <c r="AY16" s="27">
        <f>1/1.3649</f>
        <v>0.7326544069162576</v>
      </c>
      <c r="AZ16" s="19">
        <v>126.47</v>
      </c>
      <c r="BA16" s="5"/>
      <c r="BB16" s="27">
        <f>1/1.3631</f>
        <v>0.7336218912772358</v>
      </c>
      <c r="BC16" s="19">
        <v>126.4</v>
      </c>
      <c r="BD16" s="5"/>
      <c r="BE16" s="27">
        <f>1/1.3614</f>
        <v>0.7345379756133392</v>
      </c>
      <c r="BF16" s="19">
        <v>126.51</v>
      </c>
      <c r="BG16" s="5"/>
      <c r="BH16" s="27">
        <f>1/1.3607</f>
        <v>0.7349158521349305</v>
      </c>
      <c r="BI16" s="19">
        <v>126.49</v>
      </c>
      <c r="BJ16" s="5"/>
      <c r="BK16" s="67">
        <v>0.7402537586350235</v>
      </c>
      <c r="BL16" s="67">
        <v>126.04950000000004</v>
      </c>
      <c r="BM16" s="66"/>
      <c r="BN16" s="32"/>
      <c r="BO16" s="9"/>
      <c r="BP16" s="32"/>
      <c r="BQ16" s="9"/>
    </row>
    <row r="17" spans="1:69" ht="15.75" customHeight="1">
      <c r="A17" s="16">
        <v>5</v>
      </c>
      <c r="B17" s="17" t="s">
        <v>18</v>
      </c>
      <c r="C17" s="27">
        <v>663.1</v>
      </c>
      <c r="D17" s="19">
        <v>62490.96</v>
      </c>
      <c r="E17" s="5"/>
      <c r="F17" s="27">
        <v>663.5</v>
      </c>
      <c r="G17" s="19">
        <v>61992.05</v>
      </c>
      <c r="H17" s="5"/>
      <c r="I17" s="27">
        <v>665.4</v>
      </c>
      <c r="J17" s="19">
        <v>62228.21</v>
      </c>
      <c r="K17" s="5"/>
      <c r="L17" s="27">
        <v>672.5</v>
      </c>
      <c r="M17" s="19">
        <v>62950.2</v>
      </c>
      <c r="N17" s="5"/>
      <c r="O17" s="27">
        <v>674</v>
      </c>
      <c r="P17" s="19">
        <v>63179.92</v>
      </c>
      <c r="Q17" s="5"/>
      <c r="R17" s="27">
        <v>676.3</v>
      </c>
      <c r="S17" s="19">
        <v>63511.76</v>
      </c>
      <c r="T17" s="5"/>
      <c r="U17" s="27">
        <v>678.6</v>
      </c>
      <c r="V17" s="19">
        <v>63830.81</v>
      </c>
      <c r="W17" s="5"/>
      <c r="X17" s="27">
        <v>678.2</v>
      </c>
      <c r="Y17" s="19">
        <v>63741.05</v>
      </c>
      <c r="Z17" s="5"/>
      <c r="AA17" s="27">
        <v>676.9</v>
      </c>
      <c r="AB17" s="19">
        <v>63384.92</v>
      </c>
      <c r="AC17" s="5"/>
      <c r="AD17" s="27">
        <v>686.8</v>
      </c>
      <c r="AE17" s="19">
        <v>64075.86</v>
      </c>
      <c r="AF17" s="5"/>
      <c r="AG17" s="27">
        <v>687.4</v>
      </c>
      <c r="AH17" s="19">
        <v>64175.23</v>
      </c>
      <c r="AI17" s="5"/>
      <c r="AJ17" s="27">
        <v>689.9</v>
      </c>
      <c r="AK17" s="19">
        <v>64133.54</v>
      </c>
      <c r="AL17" s="5"/>
      <c r="AM17" s="27">
        <v>686.8</v>
      </c>
      <c r="AN17" s="19">
        <v>63886.57</v>
      </c>
      <c r="AO17" s="5"/>
      <c r="AP17" s="27">
        <v>687.2</v>
      </c>
      <c r="AQ17" s="19">
        <v>63782.04</v>
      </c>
      <c r="AR17" s="5"/>
      <c r="AS17" s="27">
        <v>690.7</v>
      </c>
      <c r="AT17" s="19">
        <v>64241.58</v>
      </c>
      <c r="AU17" s="5"/>
      <c r="AV17" s="27">
        <v>691.1</v>
      </c>
      <c r="AW17" s="19">
        <v>64306.42</v>
      </c>
      <c r="AX17" s="5"/>
      <c r="AY17" s="27">
        <v>685.7</v>
      </c>
      <c r="AZ17" s="19">
        <v>63575.96</v>
      </c>
      <c r="BA17" s="5"/>
      <c r="BB17" s="27">
        <v>686.3</v>
      </c>
      <c r="BC17" s="19">
        <v>63669.34</v>
      </c>
      <c r="BD17" s="5"/>
      <c r="BE17" s="27">
        <v>671.7</v>
      </c>
      <c r="BF17" s="19">
        <v>62434.1</v>
      </c>
      <c r="BG17" s="5"/>
      <c r="BH17" s="27">
        <v>678</v>
      </c>
      <c r="BI17" s="19">
        <v>63063.75</v>
      </c>
      <c r="BJ17" s="5"/>
      <c r="BK17" s="67">
        <v>679.505</v>
      </c>
      <c r="BL17" s="67">
        <v>63432.71350000001</v>
      </c>
      <c r="BM17" s="66"/>
      <c r="BN17" s="32"/>
      <c r="BO17" s="9"/>
      <c r="BP17" s="32"/>
      <c r="BQ17" s="9"/>
    </row>
    <row r="18" spans="1:69" ht="15.75" customHeight="1">
      <c r="A18" s="16">
        <v>6</v>
      </c>
      <c r="B18" s="20" t="s">
        <v>19</v>
      </c>
      <c r="C18" s="27">
        <v>13.32</v>
      </c>
      <c r="D18" s="19">
        <v>1255.29</v>
      </c>
      <c r="E18" s="5"/>
      <c r="F18" s="27">
        <v>13.29</v>
      </c>
      <c r="G18" s="19">
        <v>1241.71</v>
      </c>
      <c r="H18" s="5"/>
      <c r="I18" s="27">
        <v>13.42</v>
      </c>
      <c r="J18" s="19">
        <v>1255.04</v>
      </c>
      <c r="K18" s="5"/>
      <c r="L18" s="27">
        <v>13.56</v>
      </c>
      <c r="M18" s="19">
        <v>1269.3</v>
      </c>
      <c r="N18" s="5"/>
      <c r="O18" s="27">
        <v>13.7</v>
      </c>
      <c r="P18" s="19">
        <v>1284.22</v>
      </c>
      <c r="Q18" s="5"/>
      <c r="R18" s="27">
        <v>13.82</v>
      </c>
      <c r="S18" s="19">
        <v>1297.84</v>
      </c>
      <c r="T18" s="5"/>
      <c r="U18" s="27">
        <v>13.94</v>
      </c>
      <c r="V18" s="19">
        <v>1311.23</v>
      </c>
      <c r="W18" s="5"/>
      <c r="X18" s="27">
        <v>13.88</v>
      </c>
      <c r="Y18" s="19">
        <v>1304.52</v>
      </c>
      <c r="Z18" s="5"/>
      <c r="AA18" s="27">
        <v>13.81</v>
      </c>
      <c r="AB18" s="19">
        <v>1293.17</v>
      </c>
      <c r="AC18" s="5"/>
      <c r="AD18" s="27">
        <v>14.03</v>
      </c>
      <c r="AE18" s="19">
        <v>1308.95</v>
      </c>
      <c r="AF18" s="5"/>
      <c r="AG18" s="27">
        <v>13.94</v>
      </c>
      <c r="AH18" s="19">
        <v>1301.43</v>
      </c>
      <c r="AI18" s="5"/>
      <c r="AJ18" s="27">
        <v>13.98</v>
      </c>
      <c r="AK18" s="19">
        <v>1299.59</v>
      </c>
      <c r="AL18" s="5"/>
      <c r="AM18" s="27">
        <v>13.87</v>
      </c>
      <c r="AN18" s="19">
        <v>1290.2</v>
      </c>
      <c r="AO18" s="5"/>
      <c r="AP18" s="27">
        <v>13.81</v>
      </c>
      <c r="AQ18" s="19">
        <v>1281.77</v>
      </c>
      <c r="AR18" s="5"/>
      <c r="AS18" s="27">
        <v>13.86</v>
      </c>
      <c r="AT18" s="19">
        <v>1289.11</v>
      </c>
      <c r="AU18" s="5"/>
      <c r="AV18" s="27">
        <v>14.03</v>
      </c>
      <c r="AW18" s="19">
        <v>1305.48</v>
      </c>
      <c r="AX18" s="5"/>
      <c r="AY18" s="27">
        <v>13.77</v>
      </c>
      <c r="AZ18" s="19">
        <v>1276.71</v>
      </c>
      <c r="BA18" s="5"/>
      <c r="BB18" s="27">
        <v>13.79</v>
      </c>
      <c r="BC18" s="19">
        <v>1279.32</v>
      </c>
      <c r="BD18" s="5"/>
      <c r="BE18" s="27">
        <v>13.22</v>
      </c>
      <c r="BF18" s="19">
        <v>1228.79</v>
      </c>
      <c r="BG18" s="5"/>
      <c r="BH18" s="27">
        <v>13.46</v>
      </c>
      <c r="BI18" s="19">
        <v>1251.97</v>
      </c>
      <c r="BJ18" s="5"/>
      <c r="BK18" s="67">
        <v>13.725</v>
      </c>
      <c r="BL18" s="67">
        <v>1281.2820000000002</v>
      </c>
      <c r="BM18" s="66"/>
      <c r="BN18" s="32"/>
      <c r="BO18" s="9"/>
      <c r="BP18" s="32"/>
      <c r="BQ18" s="9"/>
    </row>
    <row r="19" spans="1:69" ht="15.75" customHeight="1">
      <c r="A19" s="16">
        <v>7</v>
      </c>
      <c r="B19" s="17" t="s">
        <v>20</v>
      </c>
      <c r="C19" s="27">
        <f>1/0.8142</f>
        <v>1.2281994595922376</v>
      </c>
      <c r="D19" s="19">
        <v>76.73</v>
      </c>
      <c r="E19" s="5"/>
      <c r="F19" s="27">
        <f>1/0.8118</f>
        <v>1.231830500123183</v>
      </c>
      <c r="G19" s="19">
        <v>75.85</v>
      </c>
      <c r="H19" s="5"/>
      <c r="I19" s="27">
        <f>1/0.8137</f>
        <v>1.2289541600098317</v>
      </c>
      <c r="J19" s="19">
        <v>76.1</v>
      </c>
      <c r="K19" s="5"/>
      <c r="L19" s="27">
        <f>1/0.8182</f>
        <v>1.2221950623319482</v>
      </c>
      <c r="M19" s="19">
        <v>76.59</v>
      </c>
      <c r="N19" s="5"/>
      <c r="O19" s="27">
        <f>1/0.8183</f>
        <v>1.2220457045093487</v>
      </c>
      <c r="P19" s="19">
        <v>76.71</v>
      </c>
      <c r="Q19" s="5"/>
      <c r="R19" s="27">
        <f>1/0.8246</f>
        <v>1.2127091923356779</v>
      </c>
      <c r="S19" s="19">
        <v>77.44</v>
      </c>
      <c r="T19" s="5"/>
      <c r="U19" s="27">
        <f>1/0.825</f>
        <v>1.2121212121212122</v>
      </c>
      <c r="V19" s="19">
        <v>77.6</v>
      </c>
      <c r="W19" s="5"/>
      <c r="X19" s="27">
        <f>1/0.8251</f>
        <v>1.21197430614471</v>
      </c>
      <c r="Y19" s="19">
        <v>77.55</v>
      </c>
      <c r="Z19" s="5"/>
      <c r="AA19" s="27">
        <f>1/0.8319</f>
        <v>1.2020675561966583</v>
      </c>
      <c r="AB19" s="19">
        <v>77.9</v>
      </c>
      <c r="AC19" s="5"/>
      <c r="AD19" s="27">
        <f>1/0.8333</f>
        <v>1.2000480019200768</v>
      </c>
      <c r="AE19" s="19">
        <v>77.74</v>
      </c>
      <c r="AF19" s="5"/>
      <c r="AG19" s="27">
        <f>1/0.8317</f>
        <v>1.2023566189731874</v>
      </c>
      <c r="AH19" s="19">
        <v>77.65</v>
      </c>
      <c r="AI19" s="5"/>
      <c r="AJ19" s="27">
        <f>1/0.8373</f>
        <v>1.1943150603129105</v>
      </c>
      <c r="AK19" s="19">
        <v>77.84</v>
      </c>
      <c r="AL19" s="5"/>
      <c r="AM19" s="27">
        <f>1/0.8331</f>
        <v>1.20033609410635</v>
      </c>
      <c r="AN19" s="19">
        <v>77.5</v>
      </c>
      <c r="AO19" s="5"/>
      <c r="AP19" s="27">
        <f>1/0.8346</f>
        <v>1.1981787682722262</v>
      </c>
      <c r="AQ19" s="19">
        <v>77.46</v>
      </c>
      <c r="AR19" s="5"/>
      <c r="AS19" s="27">
        <f>1/0.8326</f>
        <v>1.2010569300984866</v>
      </c>
      <c r="AT19" s="19">
        <v>77.44</v>
      </c>
      <c r="AU19" s="5"/>
      <c r="AV19" s="27">
        <f>1/0.8271</f>
        <v>1.2090436464756378</v>
      </c>
      <c r="AW19" s="19">
        <v>76.96</v>
      </c>
      <c r="AX19" s="5"/>
      <c r="AY19" s="27">
        <f>1/0.8336</f>
        <v>1.199616122840691</v>
      </c>
      <c r="AZ19" s="19">
        <v>77.29</v>
      </c>
      <c r="BA19" s="5"/>
      <c r="BB19" s="27">
        <f>1/0.8313</f>
        <v>1.2029351617947792</v>
      </c>
      <c r="BC19" s="19">
        <v>77.12</v>
      </c>
      <c r="BD19" s="5"/>
      <c r="BE19" s="27">
        <f>1/0.8265</f>
        <v>1.2099213551119177</v>
      </c>
      <c r="BF19" s="19">
        <v>76.82</v>
      </c>
      <c r="BG19" s="5"/>
      <c r="BH19" s="27">
        <f>1/0.8274</f>
        <v>1.208605269518975</v>
      </c>
      <c r="BI19" s="19">
        <v>76.96</v>
      </c>
      <c r="BJ19" s="5"/>
      <c r="BK19" s="67">
        <v>1.2099255091395025</v>
      </c>
      <c r="BL19" s="67">
        <v>77.1625</v>
      </c>
      <c r="BM19" s="66"/>
      <c r="BN19" s="32"/>
      <c r="BO19" s="24"/>
      <c r="BP19" s="32"/>
      <c r="BQ19" s="24"/>
    </row>
    <row r="20" spans="1:69" ht="15.75" customHeight="1">
      <c r="A20" s="16">
        <v>8</v>
      </c>
      <c r="B20" s="17" t="s">
        <v>21</v>
      </c>
      <c r="C20" s="27">
        <v>1.1553</v>
      </c>
      <c r="D20" s="19">
        <v>81.57</v>
      </c>
      <c r="E20" s="5"/>
      <c r="F20" s="27">
        <v>1.1559</v>
      </c>
      <c r="G20" s="19">
        <v>80.83</v>
      </c>
      <c r="H20" s="5"/>
      <c r="I20" s="27">
        <v>1.157</v>
      </c>
      <c r="J20" s="19">
        <v>80.83</v>
      </c>
      <c r="K20" s="5"/>
      <c r="L20" s="27">
        <v>1.1579</v>
      </c>
      <c r="M20" s="19">
        <v>80.84</v>
      </c>
      <c r="N20" s="5"/>
      <c r="O20" s="27">
        <v>1.1514</v>
      </c>
      <c r="P20" s="19">
        <v>81.41</v>
      </c>
      <c r="Q20" s="5"/>
      <c r="R20" s="27">
        <v>1.1503</v>
      </c>
      <c r="S20" s="19">
        <v>81.64</v>
      </c>
      <c r="T20" s="5"/>
      <c r="U20" s="27">
        <v>1.1466</v>
      </c>
      <c r="V20" s="19">
        <v>82.04</v>
      </c>
      <c r="W20" s="5"/>
      <c r="X20" s="27">
        <v>1.1396</v>
      </c>
      <c r="Y20" s="19">
        <v>82.47</v>
      </c>
      <c r="Z20" s="5"/>
      <c r="AA20" s="27">
        <v>1.1339</v>
      </c>
      <c r="AB20" s="19">
        <v>82.58</v>
      </c>
      <c r="AC20" s="5"/>
      <c r="AD20" s="27">
        <v>1.1332</v>
      </c>
      <c r="AE20" s="19">
        <v>82.33</v>
      </c>
      <c r="AF20" s="5"/>
      <c r="AG20" s="27">
        <v>1.1334</v>
      </c>
      <c r="AH20" s="19">
        <v>82.37</v>
      </c>
      <c r="AI20" s="5"/>
      <c r="AJ20" s="27">
        <v>1.1316</v>
      </c>
      <c r="AK20" s="19">
        <v>82.15</v>
      </c>
      <c r="AL20" s="5"/>
      <c r="AM20" s="27">
        <v>1.1259</v>
      </c>
      <c r="AN20" s="19">
        <v>82.62</v>
      </c>
      <c r="AO20" s="5"/>
      <c r="AP20" s="27">
        <v>1.1291</v>
      </c>
      <c r="AQ20" s="19">
        <v>82.2</v>
      </c>
      <c r="AR20" s="5"/>
      <c r="AS20" s="27">
        <v>1.1236</v>
      </c>
      <c r="AT20" s="19">
        <v>82.78</v>
      </c>
      <c r="AU20" s="5"/>
      <c r="AV20" s="27">
        <v>1.1199</v>
      </c>
      <c r="AW20" s="19">
        <v>83.09</v>
      </c>
      <c r="AX20" s="5"/>
      <c r="AY20" s="27">
        <v>1.1214</v>
      </c>
      <c r="AZ20" s="19">
        <v>82.68</v>
      </c>
      <c r="BA20" s="5"/>
      <c r="BB20" s="27">
        <v>1.1166</v>
      </c>
      <c r="BC20" s="19">
        <v>83.08</v>
      </c>
      <c r="BD20" s="5"/>
      <c r="BE20" s="27">
        <v>1.1184</v>
      </c>
      <c r="BF20" s="19">
        <v>83.11</v>
      </c>
      <c r="BG20" s="5"/>
      <c r="BH20" s="27">
        <v>1.1169</v>
      </c>
      <c r="BI20" s="19">
        <v>83.28</v>
      </c>
      <c r="BJ20" s="5"/>
      <c r="BK20" s="67">
        <v>1.1358950000000003</v>
      </c>
      <c r="BL20" s="67">
        <v>82.195</v>
      </c>
      <c r="BM20" s="66"/>
      <c r="BN20" s="32"/>
      <c r="BO20" s="9"/>
      <c r="BP20" s="32"/>
      <c r="BQ20" s="9"/>
    </row>
    <row r="21" spans="1:69" ht="15.75" customHeight="1">
      <c r="A21" s="16">
        <v>9</v>
      </c>
      <c r="B21" s="17" t="s">
        <v>22</v>
      </c>
      <c r="C21" s="27">
        <v>6.9969</v>
      </c>
      <c r="D21" s="19">
        <v>13.47</v>
      </c>
      <c r="E21" s="5"/>
      <c r="F21" s="27">
        <v>7.014</v>
      </c>
      <c r="G21" s="19">
        <v>13.32</v>
      </c>
      <c r="H21" s="5"/>
      <c r="I21" s="27">
        <v>6.9893</v>
      </c>
      <c r="J21" s="19">
        <v>13.38</v>
      </c>
      <c r="K21" s="5"/>
      <c r="L21" s="27">
        <v>6.9526</v>
      </c>
      <c r="M21" s="19">
        <v>13.46</v>
      </c>
      <c r="N21" s="5"/>
      <c r="O21" s="27">
        <v>6.921</v>
      </c>
      <c r="P21" s="19">
        <v>13.54</v>
      </c>
      <c r="Q21" s="5"/>
      <c r="R21" s="27">
        <v>6.913</v>
      </c>
      <c r="S21" s="19">
        <v>13.58</v>
      </c>
      <c r="T21" s="5"/>
      <c r="U21" s="27">
        <v>6.8927</v>
      </c>
      <c r="V21" s="19">
        <v>13.65</v>
      </c>
      <c r="W21" s="5"/>
      <c r="X21" s="27">
        <v>6.8995</v>
      </c>
      <c r="Y21" s="19">
        <v>13.62</v>
      </c>
      <c r="Z21" s="5"/>
      <c r="AA21" s="27">
        <v>6.8575</v>
      </c>
      <c r="AB21" s="19">
        <v>13.66</v>
      </c>
      <c r="AC21" s="5"/>
      <c r="AD21" s="27">
        <v>6.8033</v>
      </c>
      <c r="AE21" s="19">
        <v>13.71</v>
      </c>
      <c r="AF21" s="5"/>
      <c r="AG21" s="27">
        <v>6.8123</v>
      </c>
      <c r="AH21" s="19">
        <v>13.7</v>
      </c>
      <c r="AI21" s="5"/>
      <c r="AJ21" s="27">
        <v>6.7601</v>
      </c>
      <c r="AK21" s="19">
        <v>13.75</v>
      </c>
      <c r="AL21" s="5"/>
      <c r="AM21" s="27">
        <v>6.7759</v>
      </c>
      <c r="AN21" s="19">
        <v>13.73</v>
      </c>
      <c r="AO21" s="5"/>
      <c r="AP21" s="27">
        <v>6.7571</v>
      </c>
      <c r="AQ21" s="19">
        <v>13.74</v>
      </c>
      <c r="AR21" s="5"/>
      <c r="AS21" s="27">
        <v>6.7749</v>
      </c>
      <c r="AT21" s="19">
        <v>13.73</v>
      </c>
      <c r="AU21" s="5"/>
      <c r="AV21" s="27">
        <v>6.7677</v>
      </c>
      <c r="AW21" s="19">
        <v>13.75</v>
      </c>
      <c r="AX21" s="5"/>
      <c r="AY21" s="27">
        <v>6.7262</v>
      </c>
      <c r="AZ21" s="19">
        <v>13.78</v>
      </c>
      <c r="BA21" s="5"/>
      <c r="BB21" s="27">
        <v>6.7242</v>
      </c>
      <c r="BC21" s="19">
        <v>13.8</v>
      </c>
      <c r="BD21" s="5"/>
      <c r="BE21" s="27">
        <v>6.7124</v>
      </c>
      <c r="BF21" s="19">
        <v>13.85</v>
      </c>
      <c r="BG21" s="5"/>
      <c r="BH21" s="27">
        <v>6.7291</v>
      </c>
      <c r="BI21" s="19">
        <v>13.82</v>
      </c>
      <c r="BJ21" s="5"/>
      <c r="BK21" s="67">
        <v>6.838984999999999</v>
      </c>
      <c r="BL21" s="67">
        <v>13.652000000000001</v>
      </c>
      <c r="BM21" s="66"/>
      <c r="BN21" s="32"/>
      <c r="BO21" s="9"/>
      <c r="BP21" s="32"/>
      <c r="BQ21" s="9"/>
    </row>
    <row r="22" spans="1:69" ht="15.75" customHeight="1">
      <c r="A22" s="16">
        <v>10</v>
      </c>
      <c r="B22" s="17" t="s">
        <v>23</v>
      </c>
      <c r="C22" s="27">
        <v>6.0998</v>
      </c>
      <c r="D22" s="19">
        <v>15.45</v>
      </c>
      <c r="E22" s="5"/>
      <c r="F22" s="27">
        <v>6.1038</v>
      </c>
      <c r="G22" s="19">
        <v>15.31</v>
      </c>
      <c r="H22" s="5"/>
      <c r="I22" s="27">
        <v>6.1176</v>
      </c>
      <c r="J22" s="19">
        <v>15.29</v>
      </c>
      <c r="K22" s="5"/>
      <c r="L22" s="27">
        <v>6.1064</v>
      </c>
      <c r="M22" s="19">
        <v>15.33</v>
      </c>
      <c r="N22" s="5"/>
      <c r="O22" s="27">
        <v>6.082</v>
      </c>
      <c r="P22" s="19">
        <v>15.41</v>
      </c>
      <c r="Q22" s="5"/>
      <c r="R22" s="27">
        <v>6.0466</v>
      </c>
      <c r="S22" s="19">
        <v>15.53</v>
      </c>
      <c r="T22" s="5"/>
      <c r="U22" s="27">
        <v>6.0253</v>
      </c>
      <c r="V22" s="19">
        <v>15.61</v>
      </c>
      <c r="W22" s="5"/>
      <c r="X22" s="27">
        <v>6.0118</v>
      </c>
      <c r="Y22" s="19">
        <v>15.63</v>
      </c>
      <c r="Z22" s="5"/>
      <c r="AA22" s="27">
        <v>5.9934</v>
      </c>
      <c r="AB22" s="19">
        <v>15.62</v>
      </c>
      <c r="AC22" s="5"/>
      <c r="AD22" s="27">
        <v>5.961</v>
      </c>
      <c r="AE22" s="19">
        <v>15.65</v>
      </c>
      <c r="AF22" s="5"/>
      <c r="AG22" s="27">
        <v>5.9679</v>
      </c>
      <c r="AH22" s="19">
        <v>15.64</v>
      </c>
      <c r="AI22" s="5"/>
      <c r="AJ22" s="27">
        <v>5.9418</v>
      </c>
      <c r="AK22" s="19">
        <v>15.65</v>
      </c>
      <c r="AL22" s="5"/>
      <c r="AM22" s="27">
        <v>5.9577</v>
      </c>
      <c r="AN22" s="19">
        <v>15.61</v>
      </c>
      <c r="AO22" s="5"/>
      <c r="AP22" s="27">
        <v>5.9535</v>
      </c>
      <c r="AQ22" s="19">
        <v>15.59</v>
      </c>
      <c r="AR22" s="5"/>
      <c r="AS22" s="27">
        <v>5.9768</v>
      </c>
      <c r="AT22" s="19">
        <v>15.56</v>
      </c>
      <c r="AU22" s="5"/>
      <c r="AV22" s="27">
        <v>5.9656</v>
      </c>
      <c r="AW22" s="19">
        <v>15.6</v>
      </c>
      <c r="AX22" s="5"/>
      <c r="AY22" s="27">
        <v>5.9352</v>
      </c>
      <c r="AZ22" s="19">
        <v>15.62</v>
      </c>
      <c r="BA22" s="5"/>
      <c r="BB22" s="27">
        <v>5.964</v>
      </c>
      <c r="BC22" s="19">
        <v>15.56</v>
      </c>
      <c r="BD22" s="5"/>
      <c r="BE22" s="27">
        <v>5.9734</v>
      </c>
      <c r="BF22" s="19">
        <v>15.56</v>
      </c>
      <c r="BG22" s="5"/>
      <c r="BH22" s="27">
        <v>5.9661</v>
      </c>
      <c r="BI22" s="19">
        <v>15.59</v>
      </c>
      <c r="BJ22" s="5"/>
      <c r="BK22" s="67">
        <v>6.007485</v>
      </c>
      <c r="BL22" s="67">
        <v>15.540499999999998</v>
      </c>
      <c r="BM22" s="66"/>
      <c r="BN22" s="32"/>
      <c r="BO22" s="9"/>
      <c r="BP22" s="32"/>
      <c r="BQ22" s="9"/>
    </row>
    <row r="23" spans="1:69" ht="15.75" customHeight="1">
      <c r="A23" s="16">
        <v>11</v>
      </c>
      <c r="B23" s="17" t="s">
        <v>24</v>
      </c>
      <c r="C23" s="27">
        <v>5.5789</v>
      </c>
      <c r="D23" s="19">
        <v>16.89</v>
      </c>
      <c r="E23" s="5"/>
      <c r="F23" s="27">
        <v>5.5779</v>
      </c>
      <c r="G23" s="19">
        <v>16.75</v>
      </c>
      <c r="H23" s="5"/>
      <c r="I23" s="27">
        <v>5.5822</v>
      </c>
      <c r="J23" s="19">
        <v>16.75</v>
      </c>
      <c r="K23" s="5"/>
      <c r="L23" s="27">
        <v>5.5776</v>
      </c>
      <c r="M23" s="19">
        <v>16.78</v>
      </c>
      <c r="N23" s="5"/>
      <c r="O23" s="27">
        <v>5.5546</v>
      </c>
      <c r="P23" s="19">
        <v>16.88</v>
      </c>
      <c r="Q23" s="5"/>
      <c r="R23" s="27">
        <v>5.5557</v>
      </c>
      <c r="S23" s="19">
        <v>16.9</v>
      </c>
      <c r="T23" s="5"/>
      <c r="U23" s="27">
        <v>5.5514</v>
      </c>
      <c r="V23" s="19">
        <v>16.94</v>
      </c>
      <c r="W23" s="5"/>
      <c r="X23" s="27">
        <v>5.5439</v>
      </c>
      <c r="Y23" s="19">
        <v>16.95</v>
      </c>
      <c r="Z23" s="5"/>
      <c r="AA23" s="27">
        <v>5.5115</v>
      </c>
      <c r="AB23" s="19">
        <v>16.99</v>
      </c>
      <c r="AC23" s="5"/>
      <c r="AD23" s="27">
        <v>5.4977</v>
      </c>
      <c r="AE23" s="19">
        <v>16.97</v>
      </c>
      <c r="AF23" s="5"/>
      <c r="AG23" s="27">
        <v>5.508</v>
      </c>
      <c r="AH23" s="19">
        <v>16.95</v>
      </c>
      <c r="AI23" s="5"/>
      <c r="AJ23" s="27">
        <v>5.4733</v>
      </c>
      <c r="AK23" s="19">
        <v>16.98</v>
      </c>
      <c r="AL23" s="5"/>
      <c r="AM23" s="27">
        <v>5.4793</v>
      </c>
      <c r="AN23" s="19">
        <v>16.98</v>
      </c>
      <c r="AO23" s="5"/>
      <c r="AP23" s="27">
        <v>5.4756</v>
      </c>
      <c r="AQ23" s="19">
        <v>16.95</v>
      </c>
      <c r="AR23" s="5"/>
      <c r="AS23" s="27">
        <v>5.4921</v>
      </c>
      <c r="AT23" s="19">
        <v>16.94</v>
      </c>
      <c r="AU23" s="5"/>
      <c r="AV23" s="27">
        <v>5.4863</v>
      </c>
      <c r="AW23" s="19">
        <v>16.96</v>
      </c>
      <c r="AX23" s="5"/>
      <c r="AY23" s="27">
        <v>5.4583</v>
      </c>
      <c r="AZ23" s="19">
        <v>16.99</v>
      </c>
      <c r="BA23" s="5"/>
      <c r="BB23" s="27">
        <v>5.4654</v>
      </c>
      <c r="BC23" s="19">
        <v>16.97</v>
      </c>
      <c r="BD23" s="5"/>
      <c r="BE23" s="27">
        <v>5.4718</v>
      </c>
      <c r="BF23" s="19">
        <v>16.99</v>
      </c>
      <c r="BG23" s="5"/>
      <c r="BH23" s="27">
        <v>5.4749</v>
      </c>
      <c r="BI23" s="19">
        <v>16.99</v>
      </c>
      <c r="BJ23" s="5"/>
      <c r="BK23" s="67">
        <v>5.51582</v>
      </c>
      <c r="BL23" s="67">
        <v>16.925</v>
      </c>
      <c r="BM23" s="66"/>
      <c r="BN23" s="32"/>
      <c r="BO23" s="9"/>
      <c r="BP23" s="32"/>
      <c r="BQ23" s="9"/>
    </row>
    <row r="24" spans="1:69" ht="15.75" customHeight="1">
      <c r="A24" s="16">
        <v>12</v>
      </c>
      <c r="B24" s="17" t="s">
        <v>25</v>
      </c>
      <c r="C24" s="27">
        <f>1/1.51019</f>
        <v>0.6621683364344884</v>
      </c>
      <c r="D24" s="19">
        <v>142.32</v>
      </c>
      <c r="E24" s="5"/>
      <c r="F24" s="27">
        <f>1/1.51408</f>
        <v>0.6604670823206171</v>
      </c>
      <c r="G24" s="19">
        <v>141.46</v>
      </c>
      <c r="H24" s="5"/>
      <c r="I24" s="27">
        <f>1/1.51337</f>
        <v>0.6607769415278484</v>
      </c>
      <c r="J24" s="19">
        <v>141.53</v>
      </c>
      <c r="K24" s="5"/>
      <c r="L24" s="27">
        <f>1/1.51231</f>
        <v>0.6612400896641561</v>
      </c>
      <c r="M24" s="19">
        <v>141.56</v>
      </c>
      <c r="N24" s="5"/>
      <c r="O24" s="27">
        <f>1/1.51274</f>
        <v>0.6610521305710169</v>
      </c>
      <c r="P24" s="19">
        <v>141.8</v>
      </c>
      <c r="Q24" s="5"/>
      <c r="R24" s="27">
        <f>1/1.5113</f>
        <v>0.6616819956328988</v>
      </c>
      <c r="S24" s="19">
        <v>141.93</v>
      </c>
      <c r="T24" s="5"/>
      <c r="U24" s="27">
        <f>1/1.5146</f>
        <v>0.6602403274792025</v>
      </c>
      <c r="V24" s="19">
        <v>142.47</v>
      </c>
      <c r="W24" s="5"/>
      <c r="X24" s="27">
        <f>1/1.51516</f>
        <v>0.6599963040206974</v>
      </c>
      <c r="Y24" s="19">
        <v>142.4</v>
      </c>
      <c r="Z24" s="5"/>
      <c r="AA24" s="27">
        <f>1/1.5163</f>
        <v>0.6595000989250148</v>
      </c>
      <c r="AB24" s="19">
        <v>141.99</v>
      </c>
      <c r="AC24" s="5"/>
      <c r="AD24" s="27">
        <f>1/1.52204</f>
        <v>0.6570129562954982</v>
      </c>
      <c r="AE24" s="19">
        <v>142</v>
      </c>
      <c r="AF24" s="5"/>
      <c r="AG24" s="27">
        <f>1/1.52169</f>
        <v>0.6571640741543942</v>
      </c>
      <c r="AH24" s="19">
        <v>142.06</v>
      </c>
      <c r="AI24" s="5"/>
      <c r="AJ24" s="27">
        <f>1/1.52204</f>
        <v>0.6570129562954982</v>
      </c>
      <c r="AK24" s="19">
        <v>141.49</v>
      </c>
      <c r="AL24" s="5"/>
      <c r="AM24" s="27">
        <f>1/1.52647</f>
        <v>0.6551062254744607</v>
      </c>
      <c r="AN24" s="19">
        <v>141.99</v>
      </c>
      <c r="AO24" s="5"/>
      <c r="AP24" s="27">
        <f>1/1.52594</f>
        <v>0.6553337614847241</v>
      </c>
      <c r="AQ24" s="19">
        <v>141.63</v>
      </c>
      <c r="AR24" s="5"/>
      <c r="AS24" s="27">
        <f>1/1.52578</f>
        <v>0.6554024826646043</v>
      </c>
      <c r="AT24" s="19">
        <v>141.91</v>
      </c>
      <c r="AU24" s="5"/>
      <c r="AV24" s="27">
        <f>1/1.52351</f>
        <v>0.6563790195010207</v>
      </c>
      <c r="AW24" s="19">
        <v>141.76</v>
      </c>
      <c r="AX24" s="5"/>
      <c r="AY24" s="27">
        <f>1/1.52412</f>
        <v>0.6561163163005538</v>
      </c>
      <c r="AZ24" s="19">
        <v>141.31</v>
      </c>
      <c r="BA24" s="5"/>
      <c r="BB24" s="27">
        <f>1/1.5278</f>
        <v>0.6545359340227779</v>
      </c>
      <c r="BC24" s="19">
        <v>141.74</v>
      </c>
      <c r="BD24" s="5"/>
      <c r="BE24" s="27">
        <f>1/1.52493</f>
        <v>0.6557678057353453</v>
      </c>
      <c r="BF24" s="19">
        <v>141.74</v>
      </c>
      <c r="BG24" s="5"/>
      <c r="BH24" s="27">
        <f>1/1.52573</f>
        <v>0.6554239609891658</v>
      </c>
      <c r="BI24" s="19">
        <v>141.91</v>
      </c>
      <c r="BJ24" s="5"/>
      <c r="BK24" s="67">
        <v>0.6581189399746993</v>
      </c>
      <c r="BL24" s="67">
        <v>141.85</v>
      </c>
      <c r="BM24" s="66"/>
      <c r="BN24" s="32"/>
      <c r="BO24" s="9"/>
      <c r="BP24" s="32"/>
      <c r="BQ24" s="9"/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94.24</v>
      </c>
      <c r="E25" s="21"/>
      <c r="F25" s="28">
        <v>1</v>
      </c>
      <c r="G25" s="22">
        <v>93.43</v>
      </c>
      <c r="H25" s="21"/>
      <c r="I25" s="28">
        <v>1</v>
      </c>
      <c r="J25" s="22">
        <v>93.52</v>
      </c>
      <c r="K25" s="21"/>
      <c r="L25" s="28">
        <v>1</v>
      </c>
      <c r="M25" s="22">
        <v>93.61</v>
      </c>
      <c r="N25" s="21"/>
      <c r="O25" s="28">
        <v>1</v>
      </c>
      <c r="P25" s="22">
        <v>93.74</v>
      </c>
      <c r="Q25" s="21"/>
      <c r="R25" s="28">
        <v>1</v>
      </c>
      <c r="S25" s="22">
        <v>93.91</v>
      </c>
      <c r="T25" s="21"/>
      <c r="U25" s="28">
        <v>1</v>
      </c>
      <c r="V25" s="22">
        <v>94.06</v>
      </c>
      <c r="W25" s="21"/>
      <c r="X25" s="28">
        <v>1</v>
      </c>
      <c r="Y25" s="22">
        <v>93.99</v>
      </c>
      <c r="Z25" s="21"/>
      <c r="AA25" s="28">
        <v>1</v>
      </c>
      <c r="AB25" s="22">
        <v>93.64</v>
      </c>
      <c r="AC25" s="21"/>
      <c r="AD25" s="28">
        <v>1</v>
      </c>
      <c r="AE25" s="22">
        <v>93.3</v>
      </c>
      <c r="AF25" s="21"/>
      <c r="AG25" s="28">
        <v>1</v>
      </c>
      <c r="AH25" s="22">
        <v>93.36</v>
      </c>
      <c r="AI25" s="21"/>
      <c r="AJ25" s="28">
        <v>1</v>
      </c>
      <c r="AK25" s="22">
        <v>92.96</v>
      </c>
      <c r="AL25" s="21"/>
      <c r="AM25" s="28">
        <v>1</v>
      </c>
      <c r="AN25" s="22">
        <v>93.02</v>
      </c>
      <c r="AO25" s="21"/>
      <c r="AP25" s="28">
        <v>1</v>
      </c>
      <c r="AQ25" s="22">
        <v>92.81</v>
      </c>
      <c r="AR25" s="21"/>
      <c r="AS25" s="28">
        <v>1</v>
      </c>
      <c r="AT25" s="22">
        <v>93.01</v>
      </c>
      <c r="AU25" s="21"/>
      <c r="AV25" s="28">
        <v>1</v>
      </c>
      <c r="AW25" s="22">
        <v>93.05</v>
      </c>
      <c r="AX25" s="21"/>
      <c r="AY25" s="28">
        <v>1</v>
      </c>
      <c r="AZ25" s="22">
        <v>92.72</v>
      </c>
      <c r="BA25" s="21"/>
      <c r="BB25" s="28">
        <v>1</v>
      </c>
      <c r="BC25" s="22">
        <v>92.77</v>
      </c>
      <c r="BD25" s="21"/>
      <c r="BE25" s="28">
        <v>1</v>
      </c>
      <c r="BF25" s="22">
        <v>92.95</v>
      </c>
      <c r="BG25" s="21"/>
      <c r="BH25" s="28">
        <v>1</v>
      </c>
      <c r="BI25" s="22">
        <v>93.01</v>
      </c>
      <c r="BJ25" s="21"/>
      <c r="BK25" s="68">
        <v>1</v>
      </c>
      <c r="BL25" s="68">
        <v>93.355</v>
      </c>
      <c r="BM25" s="51"/>
      <c r="BN25" s="32"/>
      <c r="BO25" s="9"/>
      <c r="BP25" s="32"/>
      <c r="BQ25" s="9"/>
    </row>
    <row r="26" spans="1:69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59"/>
      <c r="BG26" s="9"/>
      <c r="BH26" s="31"/>
      <c r="BI26" s="32"/>
      <c r="BJ26" s="9"/>
      <c r="BK26" s="45"/>
      <c r="BL26" s="46"/>
      <c r="BM26" s="44"/>
      <c r="BN26" s="9"/>
      <c r="BO26" s="9"/>
      <c r="BP26" s="32"/>
      <c r="BQ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45"/>
      <c r="BL27" s="46"/>
      <c r="BM27" s="44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67"/>
      <c r="BL28" s="67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67"/>
      <c r="BL29" s="67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67"/>
      <c r="BL30" s="67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67"/>
      <c r="BL31" s="67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67"/>
      <c r="BL32" s="67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67"/>
      <c r="BL33" s="67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67"/>
      <c r="BL34" s="67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67"/>
      <c r="BL35" s="67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67"/>
      <c r="BL36" s="67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67"/>
      <c r="BL37" s="67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67"/>
      <c r="BL38" s="67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67"/>
      <c r="BL39" s="67"/>
      <c r="BM39" s="8"/>
    </row>
    <row r="40" spans="1:65" ht="15.75" customHeight="1" thickBo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68"/>
      <c r="BL40" s="6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52"/>
      <c r="D44" s="8"/>
      <c r="E44" s="8"/>
      <c r="F44" s="52"/>
      <c r="G44" s="8"/>
      <c r="H44" s="8"/>
      <c r="I44" s="52"/>
      <c r="J44" s="8"/>
      <c r="K44" s="8"/>
      <c r="L44" s="52"/>
      <c r="M44" s="8"/>
      <c r="N44" s="8"/>
      <c r="O44" s="52"/>
      <c r="P44" s="52"/>
      <c r="Q44" s="8"/>
      <c r="R44" s="52"/>
      <c r="S44" s="52"/>
      <c r="T44" s="8"/>
      <c r="U44" s="52"/>
      <c r="V44" s="52"/>
      <c r="W44" s="8"/>
      <c r="X44" s="52"/>
      <c r="Y44" s="52"/>
      <c r="Z44" s="8"/>
      <c r="AA44" s="52"/>
      <c r="AB44" s="52"/>
      <c r="AC44" s="8"/>
      <c r="AD44" s="52"/>
      <c r="AE44" s="52"/>
      <c r="AF44" s="8"/>
      <c r="AG44" s="52"/>
      <c r="AH44" s="52"/>
      <c r="AI44" s="8"/>
      <c r="AJ44" s="52"/>
      <c r="AK44" s="52"/>
      <c r="AL44" s="8"/>
      <c r="AM44" s="52"/>
      <c r="AN44" s="52"/>
      <c r="AO44" s="8"/>
      <c r="AP44" s="52"/>
      <c r="AQ44" s="52"/>
      <c r="AR44" s="8"/>
      <c r="AS44" s="52"/>
      <c r="AT44" s="52"/>
      <c r="AU44" s="8"/>
      <c r="AV44" s="52"/>
      <c r="AW44" s="52"/>
      <c r="AX44" s="8"/>
      <c r="AY44" s="52"/>
      <c r="AZ44" s="52"/>
      <c r="BA44" s="8"/>
      <c r="BB44" s="52"/>
      <c r="BC44" s="52"/>
      <c r="BD44" s="8"/>
      <c r="BE44" s="52"/>
      <c r="BF44" s="52"/>
      <c r="BG44" s="8"/>
      <c r="BH44" s="52"/>
      <c r="BI44" s="52"/>
      <c r="BJ44" s="8"/>
      <c r="BK44" s="8"/>
      <c r="BL44" s="8"/>
      <c r="BM44" s="8"/>
    </row>
    <row r="45" spans="1:65" ht="15.75" customHeight="1">
      <c r="A45" s="8"/>
      <c r="B45" s="8"/>
      <c r="C45" s="52"/>
      <c r="D45" s="8"/>
      <c r="E45" s="8"/>
      <c r="F45" s="52"/>
      <c r="G45" s="8"/>
      <c r="H45" s="8"/>
      <c r="I45" s="52"/>
      <c r="J45" s="8"/>
      <c r="K45" s="8"/>
      <c r="L45" s="52"/>
      <c r="M45" s="8"/>
      <c r="N45" s="8"/>
      <c r="O45" s="52"/>
      <c r="P45" s="52"/>
      <c r="Q45" s="8"/>
      <c r="R45" s="52"/>
      <c r="S45" s="52"/>
      <c r="T45" s="8"/>
      <c r="U45" s="52"/>
      <c r="V45" s="52"/>
      <c r="W45" s="8"/>
      <c r="X45" s="52"/>
      <c r="Y45" s="52"/>
      <c r="Z45" s="8"/>
      <c r="AA45" s="52"/>
      <c r="AB45" s="52"/>
      <c r="AC45" s="8"/>
      <c r="AD45" s="52"/>
      <c r="AE45" s="52"/>
      <c r="AF45" s="8"/>
      <c r="AG45" s="52"/>
      <c r="AH45" s="52"/>
      <c r="AI45" s="8"/>
      <c r="AJ45" s="52"/>
      <c r="AK45" s="52"/>
      <c r="AL45" s="8"/>
      <c r="AM45" s="52"/>
      <c r="AN45" s="52"/>
      <c r="AO45" s="8"/>
      <c r="AP45" s="52"/>
      <c r="AQ45" s="52"/>
      <c r="AR45" s="8"/>
      <c r="AS45" s="52"/>
      <c r="AT45" s="52"/>
      <c r="AU45" s="8"/>
      <c r="AV45" s="52"/>
      <c r="AW45" s="52"/>
      <c r="AX45" s="8"/>
      <c r="AY45" s="52"/>
      <c r="AZ45" s="52"/>
      <c r="BA45" s="8"/>
      <c r="BB45" s="52"/>
      <c r="BC45" s="52"/>
      <c r="BD45" s="8"/>
      <c r="BE45" s="52"/>
      <c r="BF45" s="52"/>
      <c r="BG45" s="8"/>
      <c r="BH45" s="52"/>
      <c r="BI45" s="52"/>
      <c r="BJ45" s="8"/>
      <c r="BK45" s="8"/>
      <c r="BL45" s="8"/>
      <c r="BM45" s="8"/>
    </row>
    <row r="46" spans="1:65" ht="15.75" customHeight="1">
      <c r="A46" s="8"/>
      <c r="B46" s="8"/>
      <c r="C46" s="52"/>
      <c r="D46" s="8"/>
      <c r="E46" s="8"/>
      <c r="F46" s="52"/>
      <c r="G46" s="8"/>
      <c r="H46" s="8"/>
      <c r="I46" s="52"/>
      <c r="J46" s="8"/>
      <c r="K46" s="8"/>
      <c r="L46" s="52"/>
      <c r="M46" s="8"/>
      <c r="N46" s="8"/>
      <c r="O46" s="52"/>
      <c r="P46" s="52"/>
      <c r="Q46" s="8"/>
      <c r="R46" s="52"/>
      <c r="S46" s="52"/>
      <c r="T46" s="8"/>
      <c r="U46" s="52"/>
      <c r="V46" s="52"/>
      <c r="W46" s="8"/>
      <c r="X46" s="52"/>
      <c r="Y46" s="52"/>
      <c r="Z46" s="8"/>
      <c r="AA46" s="52"/>
      <c r="AB46" s="52"/>
      <c r="AC46" s="8"/>
      <c r="AD46" s="52"/>
      <c r="AE46" s="52"/>
      <c r="AF46" s="8"/>
      <c r="AG46" s="52"/>
      <c r="AH46" s="52"/>
      <c r="AI46" s="8"/>
      <c r="AJ46" s="52"/>
      <c r="AK46" s="52"/>
      <c r="AL46" s="8"/>
      <c r="AM46" s="52"/>
      <c r="AN46" s="52"/>
      <c r="AO46" s="8"/>
      <c r="AP46" s="52"/>
      <c r="AQ46" s="52"/>
      <c r="AR46" s="8"/>
      <c r="AS46" s="52"/>
      <c r="AT46" s="52"/>
      <c r="AU46" s="8"/>
      <c r="AV46" s="52"/>
      <c r="AW46" s="52"/>
      <c r="AX46" s="8"/>
      <c r="AY46" s="52"/>
      <c r="AZ46" s="52"/>
      <c r="BA46" s="8"/>
      <c r="BB46" s="52"/>
      <c r="BC46" s="52"/>
      <c r="BD46" s="8"/>
      <c r="BE46" s="52"/>
      <c r="BF46" s="52"/>
      <c r="BG46" s="8"/>
      <c r="BH46" s="52"/>
      <c r="BI46" s="52"/>
      <c r="BJ46" s="8"/>
      <c r="BK46" s="8"/>
      <c r="BL46" s="8"/>
      <c r="BM46" s="8"/>
    </row>
    <row r="47" spans="1:65" ht="15.75" customHeight="1">
      <c r="A47" s="8"/>
      <c r="B47" s="8"/>
      <c r="C47" s="52"/>
      <c r="D47" s="8"/>
      <c r="E47" s="8"/>
      <c r="F47" s="52"/>
      <c r="G47" s="8"/>
      <c r="H47" s="8"/>
      <c r="I47" s="52"/>
      <c r="J47" s="8"/>
      <c r="K47" s="8"/>
      <c r="L47" s="52"/>
      <c r="M47" s="8"/>
      <c r="N47" s="8"/>
      <c r="O47" s="52"/>
      <c r="P47" s="52"/>
      <c r="Q47" s="8"/>
      <c r="R47" s="52"/>
      <c r="S47" s="52"/>
      <c r="T47" s="8"/>
      <c r="U47" s="52"/>
      <c r="V47" s="52"/>
      <c r="W47" s="8"/>
      <c r="X47" s="52"/>
      <c r="Y47" s="52"/>
      <c r="Z47" s="8"/>
      <c r="AA47" s="52"/>
      <c r="AB47" s="52"/>
      <c r="AC47" s="8"/>
      <c r="AD47" s="52"/>
      <c r="AE47" s="52"/>
      <c r="AF47" s="8"/>
      <c r="AG47" s="52"/>
      <c r="AH47" s="52"/>
      <c r="AI47" s="8"/>
      <c r="AJ47" s="52"/>
      <c r="AK47" s="52"/>
      <c r="AL47" s="8"/>
      <c r="AM47" s="52"/>
      <c r="AN47" s="52"/>
      <c r="AO47" s="8"/>
      <c r="AP47" s="52"/>
      <c r="AQ47" s="52"/>
      <c r="AR47" s="8"/>
      <c r="AS47" s="52"/>
      <c r="AT47" s="52"/>
      <c r="AU47" s="8"/>
      <c r="AV47" s="52"/>
      <c r="AW47" s="52"/>
      <c r="AX47" s="8"/>
      <c r="AY47" s="52"/>
      <c r="AZ47" s="52"/>
      <c r="BA47" s="8"/>
      <c r="BB47" s="52"/>
      <c r="BC47" s="52"/>
      <c r="BD47" s="8"/>
      <c r="BE47" s="52"/>
      <c r="BF47" s="52"/>
      <c r="BG47" s="8"/>
      <c r="BH47" s="52"/>
      <c r="BI47" s="52"/>
      <c r="BJ47" s="8"/>
      <c r="BK47" s="8"/>
      <c r="BL47" s="8"/>
      <c r="BM47" s="8"/>
    </row>
    <row r="48" spans="1:65" ht="15.75" customHeight="1">
      <c r="A48" s="8"/>
      <c r="B48" s="8"/>
      <c r="C48" s="52"/>
      <c r="D48" s="8"/>
      <c r="E48" s="8"/>
      <c r="F48" s="52"/>
      <c r="G48" s="8"/>
      <c r="H48" s="8"/>
      <c r="I48" s="52"/>
      <c r="J48" s="8"/>
      <c r="K48" s="8"/>
      <c r="L48" s="52"/>
      <c r="M48" s="8"/>
      <c r="N48" s="8"/>
      <c r="O48" s="52"/>
      <c r="P48" s="52"/>
      <c r="Q48" s="8"/>
      <c r="R48" s="52"/>
      <c r="S48" s="52"/>
      <c r="T48" s="8"/>
      <c r="U48" s="52"/>
      <c r="V48" s="52"/>
      <c r="W48" s="8"/>
      <c r="X48" s="52"/>
      <c r="Y48" s="52"/>
      <c r="Z48" s="8"/>
      <c r="AA48" s="52"/>
      <c r="AB48" s="52"/>
      <c r="AC48" s="8"/>
      <c r="AD48" s="52"/>
      <c r="AE48" s="52"/>
      <c r="AF48" s="8"/>
      <c r="AG48" s="52"/>
      <c r="AH48" s="52"/>
      <c r="AI48" s="8"/>
      <c r="AJ48" s="52"/>
      <c r="AK48" s="52"/>
      <c r="AL48" s="8"/>
      <c r="AM48" s="52"/>
      <c r="AN48" s="52"/>
      <c r="AO48" s="8"/>
      <c r="AP48" s="52"/>
      <c r="AQ48" s="52"/>
      <c r="AR48" s="8"/>
      <c r="AS48" s="52"/>
      <c r="AT48" s="52"/>
      <c r="AU48" s="8"/>
      <c r="AV48" s="52"/>
      <c r="AW48" s="52"/>
      <c r="AX48" s="8"/>
      <c r="AY48" s="52"/>
      <c r="AZ48" s="52"/>
      <c r="BA48" s="8"/>
      <c r="BB48" s="52"/>
      <c r="BC48" s="52"/>
      <c r="BD48" s="8"/>
      <c r="BE48" s="52"/>
      <c r="BF48" s="52"/>
      <c r="BG48" s="8"/>
      <c r="BH48" s="52"/>
      <c r="BI48" s="52"/>
      <c r="BJ48" s="8"/>
      <c r="BK48" s="8"/>
      <c r="BL48" s="8"/>
      <c r="BM48" s="8"/>
    </row>
    <row r="49" spans="1:65" ht="15.75" customHeight="1">
      <c r="A49" s="8"/>
      <c r="B49" s="8"/>
      <c r="C49" s="52"/>
      <c r="D49" s="8"/>
      <c r="E49" s="8"/>
      <c r="F49" s="52"/>
      <c r="G49" s="8"/>
      <c r="H49" s="8"/>
      <c r="I49" s="52"/>
      <c r="J49" s="8"/>
      <c r="K49" s="8"/>
      <c r="L49" s="52"/>
      <c r="M49" s="8"/>
      <c r="N49" s="8"/>
      <c r="O49" s="52"/>
      <c r="P49" s="52"/>
      <c r="Q49" s="8"/>
      <c r="R49" s="52"/>
      <c r="S49" s="52"/>
      <c r="T49" s="8"/>
      <c r="U49" s="52"/>
      <c r="V49" s="52"/>
      <c r="W49" s="8"/>
      <c r="X49" s="52"/>
      <c r="Y49" s="52"/>
      <c r="Z49" s="8"/>
      <c r="AA49" s="52"/>
      <c r="AB49" s="52"/>
      <c r="AC49" s="8"/>
      <c r="AD49" s="52"/>
      <c r="AE49" s="52"/>
      <c r="AF49" s="8"/>
      <c r="AG49" s="52"/>
      <c r="AH49" s="52"/>
      <c r="AI49" s="8"/>
      <c r="AJ49" s="52"/>
      <c r="AK49" s="52"/>
      <c r="AL49" s="8"/>
      <c r="AM49" s="52"/>
      <c r="AN49" s="52"/>
      <c r="AO49" s="8"/>
      <c r="AP49" s="52"/>
      <c r="AQ49" s="52"/>
      <c r="AR49" s="8"/>
      <c r="AS49" s="52"/>
      <c r="AT49" s="52"/>
      <c r="AU49" s="8"/>
      <c r="AV49" s="52"/>
      <c r="AW49" s="52"/>
      <c r="AX49" s="8"/>
      <c r="AY49" s="52"/>
      <c r="AZ49" s="52"/>
      <c r="BA49" s="8"/>
      <c r="BB49" s="52"/>
      <c r="BC49" s="52"/>
      <c r="BD49" s="8"/>
      <c r="BE49" s="52"/>
      <c r="BF49" s="52"/>
      <c r="BG49" s="8"/>
      <c r="BH49" s="52"/>
      <c r="BI49" s="52"/>
      <c r="BJ49" s="8"/>
      <c r="BK49" s="8"/>
      <c r="BL49" s="8"/>
      <c r="BM49" s="8"/>
    </row>
    <row r="50" spans="1:65" ht="15.75" customHeight="1">
      <c r="A50" s="8"/>
      <c r="B50" s="8"/>
      <c r="C50" s="52"/>
      <c r="D50" s="8"/>
      <c r="E50" s="8"/>
      <c r="F50" s="52"/>
      <c r="G50" s="8"/>
      <c r="H50" s="8"/>
      <c r="I50" s="52"/>
      <c r="J50" s="8"/>
      <c r="K50" s="8"/>
      <c r="L50" s="52"/>
      <c r="M50" s="8"/>
      <c r="N50" s="8"/>
      <c r="O50" s="52"/>
      <c r="P50" s="52"/>
      <c r="Q50" s="8"/>
      <c r="R50" s="52"/>
      <c r="S50" s="52"/>
      <c r="T50" s="8"/>
      <c r="U50" s="52"/>
      <c r="V50" s="52"/>
      <c r="W50" s="8"/>
      <c r="X50" s="52"/>
      <c r="Y50" s="52"/>
      <c r="Z50" s="8"/>
      <c r="AA50" s="52"/>
      <c r="AB50" s="52"/>
      <c r="AC50" s="8"/>
      <c r="AD50" s="52"/>
      <c r="AE50" s="52"/>
      <c r="AF50" s="8"/>
      <c r="AG50" s="52"/>
      <c r="AH50" s="52"/>
      <c r="AI50" s="8"/>
      <c r="AJ50" s="52"/>
      <c r="AK50" s="52"/>
      <c r="AL50" s="8"/>
      <c r="AM50" s="52"/>
      <c r="AN50" s="52"/>
      <c r="AO50" s="8"/>
      <c r="AP50" s="52"/>
      <c r="AQ50" s="52"/>
      <c r="AR50" s="8"/>
      <c r="AS50" s="52"/>
      <c r="AT50" s="52"/>
      <c r="AU50" s="8"/>
      <c r="AV50" s="52"/>
      <c r="AW50" s="52"/>
      <c r="AX50" s="8"/>
      <c r="AY50" s="52"/>
      <c r="AZ50" s="52"/>
      <c r="BA50" s="8"/>
      <c r="BB50" s="52"/>
      <c r="BC50" s="52"/>
      <c r="BD50" s="8"/>
      <c r="BE50" s="52"/>
      <c r="BF50" s="52"/>
      <c r="BG50" s="8"/>
      <c r="BH50" s="52"/>
      <c r="BI50" s="52"/>
      <c r="BJ50" s="8"/>
      <c r="BK50" s="8"/>
      <c r="BL50" s="8"/>
      <c r="BM50" s="8"/>
    </row>
    <row r="51" spans="1:65" ht="15.75" customHeight="1">
      <c r="A51" s="8"/>
      <c r="B51" s="8"/>
      <c r="C51" s="52"/>
      <c r="D51" s="8"/>
      <c r="E51" s="8"/>
      <c r="F51" s="52"/>
      <c r="G51" s="8"/>
      <c r="H51" s="8"/>
      <c r="I51" s="52"/>
      <c r="J51" s="8"/>
      <c r="K51" s="8"/>
      <c r="L51" s="52"/>
      <c r="M51" s="8"/>
      <c r="N51" s="8"/>
      <c r="O51" s="52"/>
      <c r="P51" s="52"/>
      <c r="Q51" s="8"/>
      <c r="R51" s="52"/>
      <c r="S51" s="52"/>
      <c r="T51" s="8"/>
      <c r="U51" s="52"/>
      <c r="V51" s="52"/>
      <c r="W51" s="8"/>
      <c r="X51" s="52"/>
      <c r="Y51" s="52"/>
      <c r="Z51" s="8"/>
      <c r="AA51" s="52"/>
      <c r="AB51" s="52"/>
      <c r="AC51" s="8"/>
      <c r="AD51" s="52"/>
      <c r="AE51" s="52"/>
      <c r="AF51" s="8"/>
      <c r="AG51" s="52"/>
      <c r="AH51" s="52"/>
      <c r="AI51" s="8"/>
      <c r="AJ51" s="52"/>
      <c r="AK51" s="52"/>
      <c r="AL51" s="8"/>
      <c r="AM51" s="52"/>
      <c r="AN51" s="52"/>
      <c r="AO51" s="8"/>
      <c r="AP51" s="52"/>
      <c r="AQ51" s="52"/>
      <c r="AR51" s="8"/>
      <c r="AS51" s="52"/>
      <c r="AT51" s="52"/>
      <c r="AU51" s="8"/>
      <c r="AV51" s="52"/>
      <c r="AW51" s="52"/>
      <c r="AX51" s="8"/>
      <c r="AY51" s="52"/>
      <c r="AZ51" s="52"/>
      <c r="BA51" s="8"/>
      <c r="BB51" s="52"/>
      <c r="BC51" s="52"/>
      <c r="BD51" s="8"/>
      <c r="BE51" s="52"/>
      <c r="BF51" s="52"/>
      <c r="BG51" s="8"/>
      <c r="BH51" s="52"/>
      <c r="BI51" s="52"/>
      <c r="BJ51" s="8"/>
      <c r="BK51" s="8"/>
      <c r="BL51" s="8"/>
      <c r="BM51" s="8"/>
    </row>
    <row r="52" spans="1:65" ht="15.75" customHeight="1">
      <c r="A52" s="8"/>
      <c r="B52" s="8"/>
      <c r="C52" s="52"/>
      <c r="D52" s="8"/>
      <c r="E52" s="8"/>
      <c r="F52" s="52"/>
      <c r="G52" s="8"/>
      <c r="H52" s="8"/>
      <c r="I52" s="52"/>
      <c r="J52" s="8"/>
      <c r="K52" s="8"/>
      <c r="L52" s="52"/>
      <c r="M52" s="8"/>
      <c r="N52" s="8"/>
      <c r="O52" s="52"/>
      <c r="P52" s="52"/>
      <c r="Q52" s="8"/>
      <c r="R52" s="52"/>
      <c r="S52" s="52"/>
      <c r="T52" s="8"/>
      <c r="U52" s="52"/>
      <c r="V52" s="52"/>
      <c r="W52" s="8"/>
      <c r="X52" s="52"/>
      <c r="Y52" s="52"/>
      <c r="Z52" s="8"/>
      <c r="AA52" s="52"/>
      <c r="AB52" s="52"/>
      <c r="AC52" s="8"/>
      <c r="AD52" s="52"/>
      <c r="AE52" s="52"/>
      <c r="AF52" s="8"/>
      <c r="AG52" s="52"/>
      <c r="AH52" s="52"/>
      <c r="AI52" s="8"/>
      <c r="AJ52" s="52"/>
      <c r="AK52" s="52"/>
      <c r="AL52" s="8"/>
      <c r="AM52" s="52"/>
      <c r="AN52" s="52"/>
      <c r="AO52" s="8"/>
      <c r="AP52" s="52"/>
      <c r="AQ52" s="52"/>
      <c r="AR52" s="8"/>
      <c r="AS52" s="52"/>
      <c r="AT52" s="52"/>
      <c r="AU52" s="8"/>
      <c r="AV52" s="52"/>
      <c r="AW52" s="52"/>
      <c r="AX52" s="8"/>
      <c r="AY52" s="52"/>
      <c r="AZ52" s="52"/>
      <c r="BA52" s="8"/>
      <c r="BB52" s="52"/>
      <c r="BC52" s="52"/>
      <c r="BD52" s="8"/>
      <c r="BE52" s="52"/>
      <c r="BF52" s="52"/>
      <c r="BG52" s="8"/>
      <c r="BH52" s="52"/>
      <c r="BI52" s="52"/>
      <c r="BJ52" s="8"/>
      <c r="BK52" s="8"/>
      <c r="BL52" s="8"/>
      <c r="BM52" s="8"/>
    </row>
    <row r="53" spans="3:61" ht="15.75" customHeight="1">
      <c r="C53" s="52"/>
      <c r="D53" s="8"/>
      <c r="F53" s="52"/>
      <c r="G53" s="8"/>
      <c r="I53" s="52"/>
      <c r="J53" s="8"/>
      <c r="L53" s="52"/>
      <c r="M53" s="8"/>
      <c r="O53" s="52"/>
      <c r="P53" s="52"/>
      <c r="R53" s="52"/>
      <c r="S53" s="52"/>
      <c r="U53" s="52"/>
      <c r="V53" s="52"/>
      <c r="X53" s="52"/>
      <c r="Y53" s="52"/>
      <c r="AA53" s="52"/>
      <c r="AB53" s="52"/>
      <c r="AD53" s="52"/>
      <c r="AE53" s="52"/>
      <c r="AG53" s="52"/>
      <c r="AH53" s="52"/>
      <c r="AJ53" s="52"/>
      <c r="AK53" s="52"/>
      <c r="AM53" s="52"/>
      <c r="AN53" s="52"/>
      <c r="AP53" s="52"/>
      <c r="AQ53" s="52"/>
      <c r="AS53" s="52"/>
      <c r="AT53" s="52"/>
      <c r="AV53" s="52"/>
      <c r="AW53" s="52"/>
      <c r="AY53" s="52"/>
      <c r="AZ53" s="52"/>
      <c r="BB53" s="52"/>
      <c r="BC53" s="52"/>
      <c r="BE53" s="52"/>
      <c r="BF53" s="52"/>
      <c r="BH53" s="52"/>
      <c r="BI53" s="52"/>
    </row>
    <row r="54" spans="3:61" ht="15.75" customHeight="1">
      <c r="C54" s="52"/>
      <c r="D54" s="8"/>
      <c r="F54" s="52"/>
      <c r="G54" s="8"/>
      <c r="I54" s="52"/>
      <c r="J54" s="8"/>
      <c r="L54" s="52"/>
      <c r="M54" s="8"/>
      <c r="O54" s="52"/>
      <c r="P54" s="52"/>
      <c r="R54" s="52"/>
      <c r="S54" s="52"/>
      <c r="U54" s="52"/>
      <c r="V54" s="52"/>
      <c r="X54" s="52"/>
      <c r="Y54" s="52"/>
      <c r="AA54" s="52"/>
      <c r="AB54" s="52"/>
      <c r="AD54" s="52"/>
      <c r="AE54" s="52"/>
      <c r="AG54" s="52"/>
      <c r="AH54" s="52"/>
      <c r="AJ54" s="52"/>
      <c r="AK54" s="52"/>
      <c r="AM54" s="52"/>
      <c r="AN54" s="52"/>
      <c r="AP54" s="52"/>
      <c r="AQ54" s="52"/>
      <c r="AS54" s="52"/>
      <c r="AT54" s="52"/>
      <c r="AV54" s="52"/>
      <c r="AW54" s="52"/>
      <c r="AY54" s="52"/>
      <c r="AZ54" s="52"/>
      <c r="BB54" s="52"/>
      <c r="BC54" s="52"/>
      <c r="BE54" s="52"/>
      <c r="BF54" s="52"/>
      <c r="BH54" s="52"/>
      <c r="BI54" s="52"/>
    </row>
    <row r="55" spans="3:61" ht="15.75" customHeight="1">
      <c r="C55" s="52"/>
      <c r="D55" s="8"/>
      <c r="F55" s="52"/>
      <c r="G55" s="8"/>
      <c r="I55" s="52"/>
      <c r="J55" s="8"/>
      <c r="L55" s="52"/>
      <c r="M55" s="8"/>
      <c r="O55" s="52"/>
      <c r="P55" s="52"/>
      <c r="R55" s="52"/>
      <c r="S55" s="52"/>
      <c r="U55" s="52"/>
      <c r="V55" s="52"/>
      <c r="X55" s="52"/>
      <c r="Y55" s="52"/>
      <c r="AA55" s="52"/>
      <c r="AB55" s="52"/>
      <c r="AD55" s="52"/>
      <c r="AE55" s="52"/>
      <c r="AG55" s="52"/>
      <c r="AH55" s="52"/>
      <c r="AJ55" s="52"/>
      <c r="AK55" s="52"/>
      <c r="AM55" s="52"/>
      <c r="AN55" s="52"/>
      <c r="AP55" s="52"/>
      <c r="AQ55" s="52"/>
      <c r="AS55" s="52"/>
      <c r="AT55" s="52"/>
      <c r="AV55" s="52"/>
      <c r="AW55" s="52"/>
      <c r="AY55" s="52"/>
      <c r="AZ55" s="52"/>
      <c r="BB55" s="52"/>
      <c r="BC55" s="52"/>
      <c r="BE55" s="52"/>
      <c r="BF55" s="52"/>
      <c r="BH55" s="52"/>
      <c r="BI55" s="52"/>
    </row>
    <row r="56" spans="3:61" ht="15.75" customHeight="1">
      <c r="C56" s="52"/>
      <c r="D56" s="8"/>
      <c r="F56" s="52"/>
      <c r="G56" s="8"/>
      <c r="I56" s="52"/>
      <c r="J56" s="8"/>
      <c r="L56" s="52"/>
      <c r="M56" s="8"/>
      <c r="O56" s="52"/>
      <c r="P56" s="52"/>
      <c r="R56" s="52"/>
      <c r="S56" s="52"/>
      <c r="U56" s="52"/>
      <c r="V56" s="52"/>
      <c r="X56" s="52"/>
      <c r="Y56" s="52"/>
      <c r="AA56" s="52"/>
      <c r="AB56" s="52"/>
      <c r="AD56" s="52"/>
      <c r="AE56" s="52"/>
      <c r="AG56" s="52"/>
      <c r="AH56" s="52"/>
      <c r="AJ56" s="52"/>
      <c r="AK56" s="52"/>
      <c r="AM56" s="52"/>
      <c r="AN56" s="52"/>
      <c r="AP56" s="52"/>
      <c r="AQ56" s="52"/>
      <c r="AS56" s="52"/>
      <c r="AT56" s="52"/>
      <c r="AV56" s="52"/>
      <c r="AW56" s="52"/>
      <c r="AY56" s="52"/>
      <c r="AZ56" s="52"/>
      <c r="BB56" s="52"/>
      <c r="BC56" s="52"/>
      <c r="BE56" s="52"/>
      <c r="BF56" s="52"/>
      <c r="BH56" s="52"/>
      <c r="BI56" s="52"/>
    </row>
    <row r="57" ht="15.75" customHeight="1">
      <c r="C57" s="5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2"/>
  <sheetViews>
    <sheetView zoomScale="75" zoomScaleNormal="75" zoomScalePageLayoutView="0" workbookViewId="0" topLeftCell="A1">
      <pane xSplit="2" ySplit="11" topLeftCell="BN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R19" sqref="BR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4.28125" style="0" customWidth="1"/>
    <col min="6" max="6" width="15.140625" style="0" customWidth="1"/>
    <col min="7" max="7" width="13.28125" style="0" customWidth="1"/>
    <col min="8" max="8" width="5.7109375" style="0" customWidth="1"/>
    <col min="9" max="10" width="13.28125" style="0" customWidth="1"/>
    <col min="11" max="11" width="6.421875" style="0" customWidth="1"/>
    <col min="12" max="13" width="13.28125" style="0" customWidth="1"/>
    <col min="14" max="14" width="5.71093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421875" style="0" customWidth="1"/>
    <col min="21" max="22" width="13.28125" style="0" customWidth="1"/>
    <col min="23" max="23" width="5.574218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5.7109375" style="0" customWidth="1"/>
    <col min="63" max="64" width="13.28125" style="0" customWidth="1"/>
    <col min="65" max="65" width="6.421875" style="0" customWidth="1"/>
    <col min="66" max="66" width="16.57421875" style="0" customWidth="1"/>
    <col min="67" max="67" width="16.140625" style="0" customWidth="1"/>
    <col min="68" max="68" width="2.57421875" style="0" customWidth="1"/>
    <col min="69" max="69" width="17.140625" style="0" customWidth="1"/>
    <col min="70" max="70" width="16.28125" style="0" customWidth="1"/>
  </cols>
  <sheetData>
    <row r="1" spans="1:68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 t="s">
        <v>1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7"/>
      <c r="BL1" s="7"/>
      <c r="BM1" s="7"/>
      <c r="BN1" s="7"/>
      <c r="BO1" s="8"/>
      <c r="BP1" s="8"/>
    </row>
    <row r="2" spans="1:68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7"/>
      <c r="BL2" s="7"/>
      <c r="BM2" s="7"/>
      <c r="BN2" s="7"/>
      <c r="BO2" s="8"/>
      <c r="BP2" s="8"/>
    </row>
    <row r="3" spans="1:68" ht="15.75" customHeight="1">
      <c r="A3" s="5"/>
      <c r="B3" s="3" t="s">
        <v>111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9"/>
      <c r="BL3" s="9"/>
      <c r="BM3" s="9"/>
      <c r="BN3" s="9"/>
      <c r="BO3" s="8"/>
      <c r="BP3" s="8"/>
    </row>
    <row r="4" spans="1:71" ht="15.75" customHeight="1">
      <c r="A4" s="6" t="s">
        <v>2</v>
      </c>
      <c r="B4" s="5"/>
      <c r="C4" s="4" t="s">
        <v>112</v>
      </c>
      <c r="D4" s="4"/>
      <c r="E4" s="4"/>
      <c r="F4" s="4" t="s">
        <v>113</v>
      </c>
      <c r="G4" s="4"/>
      <c r="H4" s="10"/>
      <c r="I4" s="4" t="s">
        <v>114</v>
      </c>
      <c r="J4" s="4"/>
      <c r="K4" s="10"/>
      <c r="L4" s="4" t="s">
        <v>115</v>
      </c>
      <c r="M4" s="4"/>
      <c r="N4" s="10"/>
      <c r="O4" s="4" t="s">
        <v>116</v>
      </c>
      <c r="P4" s="4"/>
      <c r="Q4" s="10"/>
      <c r="R4" s="4" t="s">
        <v>117</v>
      </c>
      <c r="S4" s="4"/>
      <c r="T4" s="10"/>
      <c r="U4" s="4" t="s">
        <v>118</v>
      </c>
      <c r="V4" s="4"/>
      <c r="W4" s="10"/>
      <c r="X4" s="4" t="s">
        <v>119</v>
      </c>
      <c r="Y4" s="4"/>
      <c r="Z4" s="10"/>
      <c r="AA4" s="4" t="s">
        <v>120</v>
      </c>
      <c r="AB4" s="4"/>
      <c r="AC4" s="10"/>
      <c r="AD4" s="4" t="s">
        <v>121</v>
      </c>
      <c r="AE4" s="4"/>
      <c r="AF4" s="10"/>
      <c r="AG4" s="4" t="s">
        <v>122</v>
      </c>
      <c r="AH4" s="4"/>
      <c r="AI4" s="10"/>
      <c r="AJ4" s="4" t="s">
        <v>123</v>
      </c>
      <c r="AK4" s="4"/>
      <c r="AL4" s="10"/>
      <c r="AM4" s="4" t="s">
        <v>124</v>
      </c>
      <c r="AN4" s="4"/>
      <c r="AO4" s="10"/>
      <c r="AP4" s="4" t="s">
        <v>125</v>
      </c>
      <c r="AQ4" s="4"/>
      <c r="AR4" s="10"/>
      <c r="AS4" s="4" t="s">
        <v>126</v>
      </c>
      <c r="AT4" s="4"/>
      <c r="AU4" s="10"/>
      <c r="AV4" s="4" t="s">
        <v>127</v>
      </c>
      <c r="AW4" s="4"/>
      <c r="AX4" s="10"/>
      <c r="AY4" s="4" t="s">
        <v>128</v>
      </c>
      <c r="AZ4" s="4"/>
      <c r="BA4" s="10"/>
      <c r="BB4" s="4" t="s">
        <v>129</v>
      </c>
      <c r="BC4" s="4"/>
      <c r="BD4" s="10"/>
      <c r="BE4" s="4" t="s">
        <v>130</v>
      </c>
      <c r="BF4" s="4"/>
      <c r="BG4" s="10"/>
      <c r="BH4" s="4" t="s">
        <v>131</v>
      </c>
      <c r="BI4" s="4"/>
      <c r="BJ4" s="10"/>
      <c r="BK4" s="4" t="s">
        <v>132</v>
      </c>
      <c r="BL4" s="4"/>
      <c r="BM4" s="26"/>
      <c r="BN4" s="4" t="s">
        <v>133</v>
      </c>
      <c r="BO4" s="4"/>
      <c r="BP4" s="26"/>
      <c r="BQ4" s="4" t="s">
        <v>3</v>
      </c>
      <c r="BR4" s="4"/>
      <c r="BS4" s="26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6"/>
      <c r="BL5" s="26"/>
      <c r="BM5" s="26"/>
      <c r="BN5" s="26"/>
      <c r="BO5" s="26"/>
      <c r="BP5" s="26"/>
      <c r="BQ5" s="26"/>
      <c r="BR5" s="26"/>
      <c r="BS5" s="26"/>
    </row>
    <row r="6" spans="1:71" ht="15" customHeight="1" thickTop="1">
      <c r="A6" s="7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69"/>
      <c r="BR6" s="74"/>
      <c r="BS6" s="76"/>
    </row>
    <row r="7" spans="1:71" ht="15.75" customHeight="1">
      <c r="A7" s="75"/>
      <c r="B7" s="9"/>
      <c r="C7" s="39" t="s">
        <v>4</v>
      </c>
      <c r="D7" s="39" t="s">
        <v>4</v>
      </c>
      <c r="E7" s="39"/>
      <c r="F7" s="39" t="s">
        <v>4</v>
      </c>
      <c r="G7" s="39" t="s">
        <v>4</v>
      </c>
      <c r="H7" s="39"/>
      <c r="I7" s="39" t="s">
        <v>4</v>
      </c>
      <c r="J7" s="39" t="s">
        <v>4</v>
      </c>
      <c r="K7" s="39"/>
      <c r="L7" s="39" t="s">
        <v>4</v>
      </c>
      <c r="M7" s="39" t="s">
        <v>4</v>
      </c>
      <c r="N7" s="39"/>
      <c r="O7" s="39" t="s">
        <v>4</v>
      </c>
      <c r="P7" s="39" t="s">
        <v>4</v>
      </c>
      <c r="Q7" s="39"/>
      <c r="R7" s="39" t="s">
        <v>4</v>
      </c>
      <c r="S7" s="39" t="s">
        <v>4</v>
      </c>
      <c r="T7" s="39"/>
      <c r="U7" s="39" t="s">
        <v>4</v>
      </c>
      <c r="V7" s="39" t="s">
        <v>4</v>
      </c>
      <c r="W7" s="39"/>
      <c r="X7" s="39" t="s">
        <v>4</v>
      </c>
      <c r="Y7" s="39" t="s">
        <v>4</v>
      </c>
      <c r="Z7" s="39"/>
      <c r="AA7" s="39" t="s">
        <v>4</v>
      </c>
      <c r="AB7" s="39" t="s">
        <v>4</v>
      </c>
      <c r="AC7" s="39"/>
      <c r="AD7" s="39" t="s">
        <v>4</v>
      </c>
      <c r="AE7" s="39" t="s">
        <v>4</v>
      </c>
      <c r="AF7" s="39"/>
      <c r="AG7" s="39" t="s">
        <v>4</v>
      </c>
      <c r="AH7" s="39" t="s">
        <v>4</v>
      </c>
      <c r="AI7" s="39"/>
      <c r="AJ7" s="39" t="s">
        <v>4</v>
      </c>
      <c r="AK7" s="39" t="s">
        <v>4</v>
      </c>
      <c r="AL7" s="39"/>
      <c r="AM7" s="39" t="s">
        <v>4</v>
      </c>
      <c r="AN7" s="39" t="s">
        <v>4</v>
      </c>
      <c r="AO7" s="39"/>
      <c r="AP7" s="39" t="s">
        <v>4</v>
      </c>
      <c r="AQ7" s="39" t="s">
        <v>4</v>
      </c>
      <c r="AR7" s="39"/>
      <c r="AS7" s="39" t="s">
        <v>4</v>
      </c>
      <c r="AT7" s="39" t="s">
        <v>4</v>
      </c>
      <c r="AU7" s="39"/>
      <c r="AV7" s="39" t="s">
        <v>4</v>
      </c>
      <c r="AW7" s="39" t="s">
        <v>4</v>
      </c>
      <c r="AX7" s="39"/>
      <c r="AY7" s="39" t="s">
        <v>4</v>
      </c>
      <c r="AZ7" s="39" t="s">
        <v>4</v>
      </c>
      <c r="BA7" s="39"/>
      <c r="BB7" s="39" t="s">
        <v>4</v>
      </c>
      <c r="BC7" s="39" t="s">
        <v>4</v>
      </c>
      <c r="BD7" s="39"/>
      <c r="BE7" s="39" t="s">
        <v>4</v>
      </c>
      <c r="BF7" s="39" t="s">
        <v>4</v>
      </c>
      <c r="BG7" s="39"/>
      <c r="BH7" s="39" t="s">
        <v>4</v>
      </c>
      <c r="BI7" s="39" t="s">
        <v>4</v>
      </c>
      <c r="BJ7" s="39"/>
      <c r="BK7" s="39" t="s">
        <v>5</v>
      </c>
      <c r="BL7" s="39" t="s">
        <v>5</v>
      </c>
      <c r="BM7" s="39"/>
      <c r="BN7" s="39" t="s">
        <v>5</v>
      </c>
      <c r="BO7" s="39" t="s">
        <v>5</v>
      </c>
      <c r="BP7" s="39"/>
      <c r="BQ7" s="96" t="s">
        <v>5</v>
      </c>
      <c r="BR7" s="97" t="s">
        <v>5</v>
      </c>
      <c r="BS7" s="86"/>
    </row>
    <row r="8" spans="1:71" ht="15.75" customHeight="1">
      <c r="A8" s="76"/>
      <c r="B8" s="71" t="s">
        <v>6</v>
      </c>
      <c r="C8" s="39" t="s">
        <v>7</v>
      </c>
      <c r="D8" s="39" t="s">
        <v>7</v>
      </c>
      <c r="E8" s="39"/>
      <c r="F8" s="39" t="s">
        <v>7</v>
      </c>
      <c r="G8" s="39" t="s">
        <v>7</v>
      </c>
      <c r="H8" s="39"/>
      <c r="I8" s="39" t="s">
        <v>7</v>
      </c>
      <c r="J8" s="39" t="s">
        <v>7</v>
      </c>
      <c r="K8" s="39"/>
      <c r="L8" s="39" t="s">
        <v>7</v>
      </c>
      <c r="M8" s="39" t="s">
        <v>7</v>
      </c>
      <c r="N8" s="39"/>
      <c r="O8" s="39" t="s">
        <v>7</v>
      </c>
      <c r="P8" s="39" t="s">
        <v>7</v>
      </c>
      <c r="Q8" s="39"/>
      <c r="R8" s="39" t="s">
        <v>7</v>
      </c>
      <c r="S8" s="39" t="s">
        <v>7</v>
      </c>
      <c r="T8" s="39"/>
      <c r="U8" s="39" t="s">
        <v>7</v>
      </c>
      <c r="V8" s="39" t="s">
        <v>7</v>
      </c>
      <c r="W8" s="39"/>
      <c r="X8" s="39" t="s">
        <v>7</v>
      </c>
      <c r="Y8" s="39" t="s">
        <v>7</v>
      </c>
      <c r="Z8" s="39"/>
      <c r="AA8" s="39" t="s">
        <v>7</v>
      </c>
      <c r="AB8" s="39" t="s">
        <v>7</v>
      </c>
      <c r="AC8" s="39"/>
      <c r="AD8" s="39" t="s">
        <v>7</v>
      </c>
      <c r="AE8" s="39" t="s">
        <v>7</v>
      </c>
      <c r="AF8" s="39"/>
      <c r="AG8" s="39" t="s">
        <v>7</v>
      </c>
      <c r="AH8" s="39" t="s">
        <v>7</v>
      </c>
      <c r="AI8" s="39"/>
      <c r="AJ8" s="39" t="s">
        <v>7</v>
      </c>
      <c r="AK8" s="39" t="s">
        <v>7</v>
      </c>
      <c r="AL8" s="39"/>
      <c r="AM8" s="39" t="s">
        <v>7</v>
      </c>
      <c r="AN8" s="39" t="s">
        <v>7</v>
      </c>
      <c r="AO8" s="39"/>
      <c r="AP8" s="39" t="s">
        <v>7</v>
      </c>
      <c r="AQ8" s="39" t="s">
        <v>7</v>
      </c>
      <c r="AR8" s="39"/>
      <c r="AS8" s="39" t="s">
        <v>7</v>
      </c>
      <c r="AT8" s="39" t="s">
        <v>7</v>
      </c>
      <c r="AU8" s="39"/>
      <c r="AV8" s="39" t="s">
        <v>7</v>
      </c>
      <c r="AW8" s="39" t="s">
        <v>7</v>
      </c>
      <c r="AX8" s="39"/>
      <c r="AY8" s="39" t="s">
        <v>7</v>
      </c>
      <c r="AZ8" s="39" t="s">
        <v>7</v>
      </c>
      <c r="BA8" s="39"/>
      <c r="BB8" s="39" t="s">
        <v>7</v>
      </c>
      <c r="BC8" s="39" t="s">
        <v>7</v>
      </c>
      <c r="BD8" s="39"/>
      <c r="BE8" s="39" t="s">
        <v>7</v>
      </c>
      <c r="BF8" s="39" t="s">
        <v>7</v>
      </c>
      <c r="BG8" s="39"/>
      <c r="BH8" s="39" t="s">
        <v>7</v>
      </c>
      <c r="BI8" s="39" t="s">
        <v>7</v>
      </c>
      <c r="BJ8" s="39"/>
      <c r="BK8" s="39" t="s">
        <v>8</v>
      </c>
      <c r="BL8" s="39" t="s">
        <v>9</v>
      </c>
      <c r="BM8" s="39"/>
      <c r="BN8" s="39" t="s">
        <v>8</v>
      </c>
      <c r="BO8" s="39" t="s">
        <v>9</v>
      </c>
      <c r="BP8" s="39"/>
      <c r="BQ8" s="96" t="s">
        <v>8</v>
      </c>
      <c r="BR8" s="97" t="s">
        <v>9</v>
      </c>
      <c r="BS8" s="86"/>
    </row>
    <row r="9" spans="1:71" ht="15.75" customHeight="1">
      <c r="A9" s="76"/>
      <c r="B9" s="9"/>
      <c r="C9" s="39" t="s">
        <v>10</v>
      </c>
      <c r="D9" s="39" t="s">
        <v>9</v>
      </c>
      <c r="E9" s="39"/>
      <c r="F9" s="39" t="s">
        <v>10</v>
      </c>
      <c r="G9" s="39" t="s">
        <v>9</v>
      </c>
      <c r="H9" s="39"/>
      <c r="I9" s="39" t="s">
        <v>10</v>
      </c>
      <c r="J9" s="39" t="s">
        <v>9</v>
      </c>
      <c r="K9" s="39"/>
      <c r="L9" s="39" t="s">
        <v>10</v>
      </c>
      <c r="M9" s="39" t="s">
        <v>9</v>
      </c>
      <c r="N9" s="39"/>
      <c r="O9" s="39" t="s">
        <v>10</v>
      </c>
      <c r="P9" s="39" t="s">
        <v>9</v>
      </c>
      <c r="Q9" s="39"/>
      <c r="R9" s="39" t="s">
        <v>10</v>
      </c>
      <c r="S9" s="39" t="s">
        <v>9</v>
      </c>
      <c r="T9" s="39"/>
      <c r="U9" s="39" t="s">
        <v>10</v>
      </c>
      <c r="V9" s="39" t="s">
        <v>9</v>
      </c>
      <c r="W9" s="39"/>
      <c r="X9" s="39" t="s">
        <v>10</v>
      </c>
      <c r="Y9" s="39" t="s">
        <v>9</v>
      </c>
      <c r="Z9" s="39"/>
      <c r="AA9" s="39" t="s">
        <v>10</v>
      </c>
      <c r="AB9" s="39" t="s">
        <v>9</v>
      </c>
      <c r="AC9" s="39"/>
      <c r="AD9" s="39" t="s">
        <v>10</v>
      </c>
      <c r="AE9" s="39" t="s">
        <v>9</v>
      </c>
      <c r="AF9" s="39"/>
      <c r="AG9" s="39" t="s">
        <v>10</v>
      </c>
      <c r="AH9" s="39" t="s">
        <v>9</v>
      </c>
      <c r="AI9" s="39"/>
      <c r="AJ9" s="39" t="s">
        <v>10</v>
      </c>
      <c r="AK9" s="39" t="s">
        <v>9</v>
      </c>
      <c r="AL9" s="39"/>
      <c r="AM9" s="39" t="s">
        <v>10</v>
      </c>
      <c r="AN9" s="39" t="s">
        <v>9</v>
      </c>
      <c r="AO9" s="39"/>
      <c r="AP9" s="39" t="s">
        <v>10</v>
      </c>
      <c r="AQ9" s="39" t="s">
        <v>9</v>
      </c>
      <c r="AR9" s="39"/>
      <c r="AS9" s="39" t="s">
        <v>10</v>
      </c>
      <c r="AT9" s="39" t="s">
        <v>9</v>
      </c>
      <c r="AU9" s="39"/>
      <c r="AV9" s="39" t="s">
        <v>10</v>
      </c>
      <c r="AW9" s="39" t="s">
        <v>9</v>
      </c>
      <c r="AX9" s="39"/>
      <c r="AY9" s="39" t="s">
        <v>10</v>
      </c>
      <c r="AZ9" s="39" t="s">
        <v>9</v>
      </c>
      <c r="BA9" s="39"/>
      <c r="BB9" s="39" t="s">
        <v>10</v>
      </c>
      <c r="BC9" s="39" t="s">
        <v>9</v>
      </c>
      <c r="BD9" s="39"/>
      <c r="BE9" s="39" t="s">
        <v>10</v>
      </c>
      <c r="BF9" s="39" t="s">
        <v>9</v>
      </c>
      <c r="BG9" s="39"/>
      <c r="BH9" s="39" t="s">
        <v>10</v>
      </c>
      <c r="BI9" s="39" t="s">
        <v>9</v>
      </c>
      <c r="BJ9" s="39"/>
      <c r="BK9" s="39" t="s">
        <v>7</v>
      </c>
      <c r="BL9" s="39" t="s">
        <v>11</v>
      </c>
      <c r="BM9" s="39"/>
      <c r="BN9" s="39" t="s">
        <v>7</v>
      </c>
      <c r="BO9" s="39" t="s">
        <v>11</v>
      </c>
      <c r="BP9" s="39"/>
      <c r="BQ9" s="96" t="s">
        <v>7</v>
      </c>
      <c r="BR9" s="97" t="s">
        <v>11</v>
      </c>
      <c r="BS9" s="86"/>
    </row>
    <row r="10" spans="1:71" ht="15.75" customHeight="1">
      <c r="A10" s="76"/>
      <c r="B10" s="9"/>
      <c r="C10" s="9"/>
      <c r="D10" s="39" t="s">
        <v>12</v>
      </c>
      <c r="E10" s="39"/>
      <c r="F10" s="9"/>
      <c r="G10" s="39" t="s">
        <v>12</v>
      </c>
      <c r="H10" s="39"/>
      <c r="I10" s="9"/>
      <c r="J10" s="39" t="s">
        <v>12</v>
      </c>
      <c r="K10" s="39"/>
      <c r="L10" s="9"/>
      <c r="M10" s="39" t="s">
        <v>12</v>
      </c>
      <c r="N10" s="39"/>
      <c r="O10" s="9"/>
      <c r="P10" s="39" t="s">
        <v>12</v>
      </c>
      <c r="Q10" s="39"/>
      <c r="R10" s="9"/>
      <c r="S10" s="39" t="s">
        <v>12</v>
      </c>
      <c r="T10" s="39"/>
      <c r="U10" s="9"/>
      <c r="V10" s="39" t="s">
        <v>12</v>
      </c>
      <c r="W10" s="39"/>
      <c r="X10" s="9"/>
      <c r="Y10" s="39" t="s">
        <v>12</v>
      </c>
      <c r="Z10" s="39"/>
      <c r="AA10" s="70" t="s">
        <v>13</v>
      </c>
      <c r="AB10" s="39" t="s">
        <v>12</v>
      </c>
      <c r="AC10" s="39"/>
      <c r="AD10" s="70" t="s">
        <v>13</v>
      </c>
      <c r="AE10" s="39" t="s">
        <v>12</v>
      </c>
      <c r="AF10" s="39"/>
      <c r="AG10" s="9"/>
      <c r="AH10" s="39" t="s">
        <v>12</v>
      </c>
      <c r="AI10" s="39"/>
      <c r="AJ10" s="9"/>
      <c r="AK10" s="39" t="s">
        <v>12</v>
      </c>
      <c r="AL10" s="39"/>
      <c r="AM10" s="9"/>
      <c r="AN10" s="39" t="s">
        <v>12</v>
      </c>
      <c r="AO10" s="39"/>
      <c r="AP10" s="9"/>
      <c r="AQ10" s="39" t="s">
        <v>12</v>
      </c>
      <c r="AR10" s="39"/>
      <c r="AS10" s="9"/>
      <c r="AT10" s="39" t="s">
        <v>12</v>
      </c>
      <c r="AU10" s="39"/>
      <c r="AV10" s="9"/>
      <c r="AW10" s="39" t="s">
        <v>12</v>
      </c>
      <c r="AX10" s="39"/>
      <c r="AY10" s="9"/>
      <c r="AZ10" s="39" t="s">
        <v>12</v>
      </c>
      <c r="BA10" s="39"/>
      <c r="BB10" s="9"/>
      <c r="BC10" s="39" t="s">
        <v>12</v>
      </c>
      <c r="BD10" s="39"/>
      <c r="BE10" s="9"/>
      <c r="BF10" s="39" t="s">
        <v>12</v>
      </c>
      <c r="BG10" s="39"/>
      <c r="BH10" s="9"/>
      <c r="BI10" s="39" t="s">
        <v>12</v>
      </c>
      <c r="BJ10" s="39"/>
      <c r="BK10" s="39" t="s">
        <v>10</v>
      </c>
      <c r="BL10" s="39" t="s">
        <v>12</v>
      </c>
      <c r="BM10" s="39"/>
      <c r="BN10" s="39" t="s">
        <v>10</v>
      </c>
      <c r="BO10" s="39" t="s">
        <v>12</v>
      </c>
      <c r="BP10" s="39"/>
      <c r="BQ10" s="96" t="s">
        <v>10</v>
      </c>
      <c r="BR10" s="97" t="s">
        <v>12</v>
      </c>
      <c r="BS10" s="86"/>
    </row>
    <row r="11" spans="1:86" ht="15.75" customHeight="1" thickBot="1">
      <c r="A11" s="77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98"/>
      <c r="BR11" s="99"/>
      <c r="BS11" s="76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</row>
    <row r="12" spans="1:86" ht="15.75" customHeight="1">
      <c r="A12" s="78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100"/>
      <c r="BR12" s="101"/>
      <c r="BS12" s="76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</row>
    <row r="13" spans="1:71" ht="15.75" customHeight="1">
      <c r="A13" s="79">
        <v>1</v>
      </c>
      <c r="B13" s="30" t="s">
        <v>14</v>
      </c>
      <c r="C13" s="31">
        <v>120.03</v>
      </c>
      <c r="D13" s="32">
        <v>77.52</v>
      </c>
      <c r="E13" s="32"/>
      <c r="F13" s="31">
        <v>120.1</v>
      </c>
      <c r="G13" s="32">
        <v>77.31</v>
      </c>
      <c r="H13" s="9"/>
      <c r="I13" s="31">
        <v>120.3</v>
      </c>
      <c r="J13" s="32">
        <v>77.37</v>
      </c>
      <c r="K13" s="9"/>
      <c r="L13" s="31">
        <v>119.94</v>
      </c>
      <c r="M13" s="32">
        <v>77.32</v>
      </c>
      <c r="N13" s="9"/>
      <c r="O13" s="31">
        <v>119.83</v>
      </c>
      <c r="P13" s="32">
        <v>77.47</v>
      </c>
      <c r="Q13" s="9"/>
      <c r="R13" s="31">
        <v>119.94</v>
      </c>
      <c r="S13" s="32">
        <v>77.47</v>
      </c>
      <c r="T13" s="9"/>
      <c r="U13" s="31">
        <v>120.44</v>
      </c>
      <c r="V13" s="32">
        <v>77.04</v>
      </c>
      <c r="W13" s="9"/>
      <c r="X13" s="31">
        <v>119.61</v>
      </c>
      <c r="Y13" s="32">
        <v>77.59</v>
      </c>
      <c r="Z13" s="9"/>
      <c r="AA13" s="31">
        <v>120.22</v>
      </c>
      <c r="AB13" s="32">
        <v>77.03</v>
      </c>
      <c r="AC13" s="9"/>
      <c r="AD13" s="31">
        <v>120.42</v>
      </c>
      <c r="AE13" s="32">
        <v>76.88</v>
      </c>
      <c r="AF13" s="9"/>
      <c r="AG13" s="31">
        <v>120.44</v>
      </c>
      <c r="AH13" s="32">
        <v>76.63</v>
      </c>
      <c r="AI13" s="9"/>
      <c r="AJ13" s="31">
        <v>120.95</v>
      </c>
      <c r="AK13" s="32">
        <v>76.58</v>
      </c>
      <c r="AL13" s="9"/>
      <c r="AM13" s="31">
        <v>121.33</v>
      </c>
      <c r="AN13" s="32">
        <v>76.46</v>
      </c>
      <c r="AO13" s="9"/>
      <c r="AP13" s="31">
        <v>121.33</v>
      </c>
      <c r="AQ13" s="32">
        <v>76.39</v>
      </c>
      <c r="AR13" s="9"/>
      <c r="AS13" s="31">
        <v>121.51</v>
      </c>
      <c r="AT13" s="32">
        <v>76.32</v>
      </c>
      <c r="AU13" s="9"/>
      <c r="AV13" s="31">
        <v>121.73</v>
      </c>
      <c r="AW13" s="32">
        <v>76.27</v>
      </c>
      <c r="AX13" s="9"/>
      <c r="AY13" s="31">
        <v>121.29</v>
      </c>
      <c r="AZ13" s="32">
        <v>76.52</v>
      </c>
      <c r="BA13" s="9"/>
      <c r="BB13" s="31">
        <v>121.48</v>
      </c>
      <c r="BC13" s="32">
        <v>76.37</v>
      </c>
      <c r="BD13" s="9"/>
      <c r="BE13" s="31">
        <v>121.69</v>
      </c>
      <c r="BF13" s="32">
        <v>76.04</v>
      </c>
      <c r="BG13" s="9"/>
      <c r="BH13" s="31">
        <v>121.35</v>
      </c>
      <c r="BI13" s="32">
        <v>76.04</v>
      </c>
      <c r="BJ13" s="9"/>
      <c r="BK13" s="31">
        <v>121.63</v>
      </c>
      <c r="BL13" s="32">
        <v>76.04</v>
      </c>
      <c r="BM13" s="9"/>
      <c r="BN13" s="31">
        <v>121.66</v>
      </c>
      <c r="BO13" s="32">
        <v>75.99</v>
      </c>
      <c r="BP13" s="9"/>
      <c r="BQ13" s="102">
        <v>120.78272727272729</v>
      </c>
      <c r="BR13" s="104">
        <v>76.75681818181818</v>
      </c>
      <c r="BS13" s="76"/>
    </row>
    <row r="14" spans="1:71" ht="15.75" customHeight="1">
      <c r="A14" s="79">
        <v>2</v>
      </c>
      <c r="B14" s="30" t="s">
        <v>15</v>
      </c>
      <c r="C14" s="31">
        <f>1/1.9943</f>
        <v>0.5014290728576443</v>
      </c>
      <c r="D14" s="32">
        <v>185.56</v>
      </c>
      <c r="E14" s="32"/>
      <c r="F14" s="31">
        <f>1/1.9934</f>
        <v>0.5016554630279924</v>
      </c>
      <c r="G14" s="32">
        <v>185.09</v>
      </c>
      <c r="H14" s="9"/>
      <c r="I14" s="31">
        <f>1/1.9857</f>
        <v>0.503600745329103</v>
      </c>
      <c r="J14" s="32">
        <v>184.82</v>
      </c>
      <c r="K14" s="9"/>
      <c r="L14" s="31">
        <f>1/1.9966</f>
        <v>0.5008514474606832</v>
      </c>
      <c r="M14" s="32">
        <v>185.17</v>
      </c>
      <c r="N14" s="9"/>
      <c r="O14" s="31">
        <f>1/1.9929</f>
        <v>0.501781323699132</v>
      </c>
      <c r="P14" s="32">
        <v>185</v>
      </c>
      <c r="Q14" s="9"/>
      <c r="R14" s="31">
        <f>1/1.9903</f>
        <v>0.5024368185700648</v>
      </c>
      <c r="S14" s="32">
        <v>184.95</v>
      </c>
      <c r="T14" s="9"/>
      <c r="U14" s="31">
        <f>1/1.9868</f>
        <v>0.50332192470304</v>
      </c>
      <c r="V14" s="32">
        <v>184.36</v>
      </c>
      <c r="W14" s="9"/>
      <c r="X14" s="31">
        <f>1/1.9784</f>
        <v>0.5054589567327133</v>
      </c>
      <c r="Y14" s="32">
        <v>183.61</v>
      </c>
      <c r="Z14" s="9"/>
      <c r="AA14" s="31">
        <f>1/1.9817</f>
        <v>0.5046172478175304</v>
      </c>
      <c r="AB14" s="32">
        <v>183.52</v>
      </c>
      <c r="AC14" s="9"/>
      <c r="AD14" s="31">
        <f>1/1.9758</f>
        <v>0.5061241016297197</v>
      </c>
      <c r="AE14" s="32">
        <v>182.92</v>
      </c>
      <c r="AF14" s="9"/>
      <c r="AG14" s="31">
        <f>1/1.9841</f>
        <v>0.5040068544932211</v>
      </c>
      <c r="AH14" s="32">
        <v>183.12</v>
      </c>
      <c r="AI14" s="9"/>
      <c r="AJ14" s="31">
        <f>1/1.9774</f>
        <v>0.5057145746940427</v>
      </c>
      <c r="AK14" s="32">
        <v>183.16</v>
      </c>
      <c r="AL14" s="9"/>
      <c r="AM14" s="31">
        <f>1/1.9727</f>
        <v>0.5069194504993156</v>
      </c>
      <c r="AN14" s="32">
        <v>183.01</v>
      </c>
      <c r="AO14" s="9"/>
      <c r="AP14" s="31">
        <f>1/1.9715</f>
        <v>0.507227998985544</v>
      </c>
      <c r="AQ14" s="32">
        <v>182.74</v>
      </c>
      <c r="AR14" s="9"/>
      <c r="AS14" s="31">
        <f>1/1.9717</f>
        <v>0.5071765481564132</v>
      </c>
      <c r="AT14" s="32">
        <v>182.84</v>
      </c>
      <c r="AU14" s="9"/>
      <c r="AV14" s="31">
        <f>1/1.9774</f>
        <v>0.5057145746940427</v>
      </c>
      <c r="AW14" s="32">
        <v>183.59</v>
      </c>
      <c r="AX14" s="9"/>
      <c r="AY14" s="31">
        <f>1/1.9856</f>
        <v>0.5036261079774376</v>
      </c>
      <c r="AZ14" s="32">
        <v>184.29</v>
      </c>
      <c r="BA14" s="9"/>
      <c r="BB14" s="31">
        <f>1/1.9854</f>
        <v>0.5036768409388536</v>
      </c>
      <c r="BC14" s="32">
        <v>184.18</v>
      </c>
      <c r="BD14" s="9"/>
      <c r="BE14" s="31">
        <f>1/1.9827</f>
        <v>0.5043627376809402</v>
      </c>
      <c r="BF14" s="32">
        <v>183.47</v>
      </c>
      <c r="BG14" s="9"/>
      <c r="BH14" s="31">
        <f>1/1.9885</f>
        <v>0.5028916268544129</v>
      </c>
      <c r="BI14" s="32">
        <v>183.49</v>
      </c>
      <c r="BJ14" s="9"/>
      <c r="BK14" s="31">
        <f>1/1.9765</f>
        <v>0.5059448520111308</v>
      </c>
      <c r="BL14" s="32">
        <v>182.8</v>
      </c>
      <c r="BM14" s="9"/>
      <c r="BN14" s="31">
        <f>1/1.9754</f>
        <v>0.5062265870203503</v>
      </c>
      <c r="BO14" s="32">
        <v>182.63</v>
      </c>
      <c r="BP14" s="9"/>
      <c r="BQ14" s="102">
        <v>0.504307538901515</v>
      </c>
      <c r="BR14" s="104">
        <v>183.83272727272725</v>
      </c>
      <c r="BS14" s="76"/>
    </row>
    <row r="15" spans="1:71" ht="15.75" customHeight="1">
      <c r="A15" s="79">
        <v>3</v>
      </c>
      <c r="B15" s="30" t="s">
        <v>16</v>
      </c>
      <c r="C15" s="31">
        <v>1.2167</v>
      </c>
      <c r="D15" s="32">
        <v>76.47</v>
      </c>
      <c r="E15" s="32"/>
      <c r="F15" s="31">
        <v>1.211</v>
      </c>
      <c r="G15" s="32">
        <v>76.67</v>
      </c>
      <c r="H15" s="9"/>
      <c r="I15" s="31">
        <v>1.2148</v>
      </c>
      <c r="J15" s="32">
        <v>76.62</v>
      </c>
      <c r="K15" s="9"/>
      <c r="L15" s="31">
        <v>1.2094</v>
      </c>
      <c r="M15" s="32">
        <v>76.68</v>
      </c>
      <c r="N15" s="9"/>
      <c r="O15" s="31">
        <v>1.2154</v>
      </c>
      <c r="P15" s="32">
        <v>76.38</v>
      </c>
      <c r="Q15" s="9"/>
      <c r="R15" s="31">
        <v>1.2183</v>
      </c>
      <c r="S15" s="32">
        <v>76.27</v>
      </c>
      <c r="T15" s="9"/>
      <c r="U15" s="31">
        <v>1.2188</v>
      </c>
      <c r="V15" s="32">
        <v>76.13</v>
      </c>
      <c r="W15" s="9"/>
      <c r="X15" s="31">
        <v>1.2182</v>
      </c>
      <c r="Y15" s="32">
        <v>76.19</v>
      </c>
      <c r="Z15" s="9"/>
      <c r="AA15" s="31">
        <v>1.2196</v>
      </c>
      <c r="AB15" s="32">
        <v>75.93</v>
      </c>
      <c r="AC15" s="9"/>
      <c r="AD15" s="31">
        <v>1.2195</v>
      </c>
      <c r="AE15" s="32">
        <v>75.92</v>
      </c>
      <c r="AF15" s="9"/>
      <c r="AG15" s="31">
        <v>1.2149</v>
      </c>
      <c r="AH15" s="32">
        <v>75.97</v>
      </c>
      <c r="AI15" s="9"/>
      <c r="AJ15" s="31">
        <v>1.2227</v>
      </c>
      <c r="AK15" s="32">
        <v>75.76</v>
      </c>
      <c r="AL15" s="9"/>
      <c r="AM15" s="31">
        <v>1.2257</v>
      </c>
      <c r="AN15" s="32">
        <v>75.69</v>
      </c>
      <c r="AO15" s="9"/>
      <c r="AP15" s="31">
        <v>1.2279</v>
      </c>
      <c r="AQ15" s="32">
        <v>75.49</v>
      </c>
      <c r="AR15" s="9"/>
      <c r="AS15" s="31">
        <v>1.2303</v>
      </c>
      <c r="AT15" s="32">
        <v>75.37</v>
      </c>
      <c r="AU15" s="9"/>
      <c r="AV15" s="31">
        <v>1.229</v>
      </c>
      <c r="AW15" s="32">
        <v>75.54</v>
      </c>
      <c r="AX15" s="9"/>
      <c r="AY15" s="31">
        <v>1.2287</v>
      </c>
      <c r="AZ15" s="32">
        <v>75.54</v>
      </c>
      <c r="BA15" s="9"/>
      <c r="BB15" s="31">
        <v>1.2271</v>
      </c>
      <c r="BC15" s="32">
        <v>75.6</v>
      </c>
      <c r="BD15" s="9"/>
      <c r="BE15" s="31">
        <v>1.2282</v>
      </c>
      <c r="BF15" s="32">
        <v>75.34</v>
      </c>
      <c r="BG15" s="9"/>
      <c r="BH15" s="31">
        <v>1.2223</v>
      </c>
      <c r="BI15" s="32">
        <v>75.49</v>
      </c>
      <c r="BJ15" s="9"/>
      <c r="BK15" s="31">
        <v>1.225</v>
      </c>
      <c r="BL15" s="32">
        <v>75.5</v>
      </c>
      <c r="BM15" s="9"/>
      <c r="BN15" s="31">
        <v>1.2255</v>
      </c>
      <c r="BO15" s="32">
        <v>75.44</v>
      </c>
      <c r="BP15" s="9"/>
      <c r="BQ15" s="102">
        <v>1.221318181818182</v>
      </c>
      <c r="BR15" s="104">
        <v>75.90863636363635</v>
      </c>
      <c r="BS15" s="76"/>
    </row>
    <row r="16" spans="1:71" ht="15.75" customHeight="1">
      <c r="A16" s="79">
        <v>4</v>
      </c>
      <c r="B16" s="30" t="s">
        <v>17</v>
      </c>
      <c r="C16" s="31">
        <f>1/1.3578</f>
        <v>0.7364854912358227</v>
      </c>
      <c r="D16" s="32">
        <v>126.32</v>
      </c>
      <c r="E16" s="32"/>
      <c r="F16" s="31">
        <f>1/1.3609</f>
        <v>0.7348078477478139</v>
      </c>
      <c r="G16" s="32">
        <v>126.31</v>
      </c>
      <c r="H16" s="9"/>
      <c r="I16" s="31">
        <f>1/1.3561</f>
        <v>0.7374087456677235</v>
      </c>
      <c r="J16" s="32">
        <v>126.2</v>
      </c>
      <c r="K16" s="9"/>
      <c r="L16" s="31">
        <f>1/1.3608</f>
        <v>0.7348618459729571</v>
      </c>
      <c r="M16" s="32">
        <v>126.17</v>
      </c>
      <c r="N16" s="9"/>
      <c r="O16" s="31">
        <f>1/1.3572</f>
        <v>0.7368110816386678</v>
      </c>
      <c r="P16" s="32">
        <v>125.99</v>
      </c>
      <c r="Q16" s="9"/>
      <c r="R16" s="31">
        <f>1/1.3536</f>
        <v>0.7387706855791962</v>
      </c>
      <c r="S16" s="32">
        <v>125.81</v>
      </c>
      <c r="T16" s="9"/>
      <c r="U16" s="31">
        <f>1/1.3525</f>
        <v>0.7393715341959335</v>
      </c>
      <c r="V16" s="32">
        <v>125.6</v>
      </c>
      <c r="W16" s="9"/>
      <c r="X16" s="31">
        <f>1/1.3477</f>
        <v>0.7420048972323218</v>
      </c>
      <c r="Y16" s="32">
        <v>125.09</v>
      </c>
      <c r="Z16" s="9"/>
      <c r="AA16" s="31">
        <f>1/1.3537</f>
        <v>0.7387161113983897</v>
      </c>
      <c r="AB16" s="32">
        <v>125.28</v>
      </c>
      <c r="AC16" s="9"/>
      <c r="AD16" s="31">
        <f>1/1.3534</f>
        <v>0.7388798581350673</v>
      </c>
      <c r="AE16" s="32">
        <v>125.28</v>
      </c>
      <c r="AF16" s="9"/>
      <c r="AG16" s="31">
        <f>1/1.3594</f>
        <v>0.7356186552890982</v>
      </c>
      <c r="AH16" s="32">
        <v>125.41</v>
      </c>
      <c r="AI16" s="9"/>
      <c r="AJ16" s="31">
        <f>1/1.3528</f>
        <v>0.7392075694855116</v>
      </c>
      <c r="AK16" s="32">
        <v>125.36</v>
      </c>
      <c r="AL16" s="9"/>
      <c r="AM16" s="31">
        <f>1/1.3496</f>
        <v>0.7409602845287493</v>
      </c>
      <c r="AN16" s="32">
        <v>125.25</v>
      </c>
      <c r="AO16" s="9"/>
      <c r="AP16" s="31">
        <f>1/1.3501</f>
        <v>0.7406858751203614</v>
      </c>
      <c r="AQ16" s="32">
        <v>125.16</v>
      </c>
      <c r="AR16" s="9"/>
      <c r="AS16" s="31">
        <f>1/1.3454</f>
        <v>0.7432733759476736</v>
      </c>
      <c r="AT16" s="32">
        <v>124.78</v>
      </c>
      <c r="AU16" s="9"/>
      <c r="AV16" s="31">
        <f>1/1.3439</f>
        <v>0.7441029838529652</v>
      </c>
      <c r="AW16" s="32">
        <v>124.75</v>
      </c>
      <c r="AX16" s="9"/>
      <c r="AY16" s="31">
        <f>1/1.3438</f>
        <v>0.7441583568983479</v>
      </c>
      <c r="AZ16" s="32">
        <v>124.75</v>
      </c>
      <c r="BA16" s="9"/>
      <c r="BB16" s="31">
        <f>1/1.343</f>
        <v>0.7446016381236039</v>
      </c>
      <c r="BC16" s="32">
        <v>124.63</v>
      </c>
      <c r="BD16" s="9"/>
      <c r="BE16" s="31">
        <f>1/1.3452</f>
        <v>0.7433838834374071</v>
      </c>
      <c r="BF16" s="32">
        <v>124.46</v>
      </c>
      <c r="BG16" s="9"/>
      <c r="BH16" s="31">
        <f>1/1.3491</f>
        <v>0.7412348973389667</v>
      </c>
      <c r="BI16" s="32">
        <v>124.34</v>
      </c>
      <c r="BJ16" s="9"/>
      <c r="BK16" s="31">
        <f>1/1.3437</f>
        <v>0.744213738185607</v>
      </c>
      <c r="BL16" s="32">
        <v>124.3</v>
      </c>
      <c r="BM16" s="9"/>
      <c r="BN16" s="31">
        <f>1/1.344</f>
        <v>0.744047619047619</v>
      </c>
      <c r="BO16" s="32">
        <v>124.26</v>
      </c>
      <c r="BP16" s="9"/>
      <c r="BQ16" s="102">
        <v>0.7401639534572637</v>
      </c>
      <c r="BR16" s="104">
        <v>125.25</v>
      </c>
      <c r="BS16" s="76"/>
    </row>
    <row r="17" spans="1:71" ht="15.75" customHeight="1">
      <c r="A17" s="79">
        <v>5</v>
      </c>
      <c r="B17" s="30" t="s">
        <v>18</v>
      </c>
      <c r="C17" s="31">
        <v>673.15</v>
      </c>
      <c r="D17" s="32">
        <v>62633.24</v>
      </c>
      <c r="E17" s="32"/>
      <c r="F17" s="31">
        <v>675.9</v>
      </c>
      <c r="G17" s="32">
        <v>62759</v>
      </c>
      <c r="H17" s="9"/>
      <c r="I17" s="31">
        <v>680.6</v>
      </c>
      <c r="J17" s="32">
        <v>63348.12</v>
      </c>
      <c r="K17" s="9"/>
      <c r="L17" s="31">
        <v>689.1</v>
      </c>
      <c r="M17" s="32">
        <v>63908.86</v>
      </c>
      <c r="N17" s="9"/>
      <c r="O17" s="31">
        <v>686.4</v>
      </c>
      <c r="P17" s="32">
        <v>63716.8</v>
      </c>
      <c r="Q17" s="9"/>
      <c r="R17" s="31">
        <v>686.2</v>
      </c>
      <c r="S17" s="32">
        <v>63764.28</v>
      </c>
      <c r="T17" s="9"/>
      <c r="U17" s="31">
        <v>677.75</v>
      </c>
      <c r="V17" s="32">
        <v>62888.85</v>
      </c>
      <c r="W17" s="9"/>
      <c r="X17" s="31">
        <v>667.75</v>
      </c>
      <c r="Y17" s="32">
        <v>61973.04</v>
      </c>
      <c r="Z17" s="9"/>
      <c r="AA17" s="31">
        <v>673.95</v>
      </c>
      <c r="AB17" s="32">
        <v>62412.82</v>
      </c>
      <c r="AC17" s="9"/>
      <c r="AD17" s="31">
        <v>667.25</v>
      </c>
      <c r="AE17" s="32">
        <v>61774.42</v>
      </c>
      <c r="AF17" s="9"/>
      <c r="AG17" s="31">
        <v>670.55</v>
      </c>
      <c r="AH17" s="32">
        <v>61888.83</v>
      </c>
      <c r="AI17" s="9"/>
      <c r="AJ17" s="31">
        <v>662.8</v>
      </c>
      <c r="AK17" s="32">
        <v>61394.34</v>
      </c>
      <c r="AL17" s="9"/>
      <c r="AM17" s="31">
        <v>660.45</v>
      </c>
      <c r="AN17" s="32">
        <v>61269.53</v>
      </c>
      <c r="AO17" s="9"/>
      <c r="AP17" s="31">
        <v>661.7</v>
      </c>
      <c r="AQ17" s="32">
        <v>61332.97</v>
      </c>
      <c r="AR17" s="9"/>
      <c r="AS17" s="31">
        <v>663.4</v>
      </c>
      <c r="AT17" s="32">
        <v>61517.91</v>
      </c>
      <c r="AU17" s="9"/>
      <c r="AV17" s="31">
        <v>658.4</v>
      </c>
      <c r="AW17" s="32">
        <v>61127.91</v>
      </c>
      <c r="AX17" s="9"/>
      <c r="AY17" s="31">
        <v>661.45</v>
      </c>
      <c r="AZ17" s="32">
        <v>61390.83</v>
      </c>
      <c r="BA17" s="9"/>
      <c r="BB17" s="31">
        <v>654.7</v>
      </c>
      <c r="BC17" s="32">
        <v>60735.7</v>
      </c>
      <c r="BD17" s="9"/>
      <c r="BE17" s="31">
        <v>655.8</v>
      </c>
      <c r="BF17" s="32">
        <v>60686.09</v>
      </c>
      <c r="BG17" s="9"/>
      <c r="BH17" s="31">
        <v>657.35</v>
      </c>
      <c r="BI17" s="32">
        <v>60657.38</v>
      </c>
      <c r="BJ17" s="9"/>
      <c r="BK17" s="31">
        <v>657.35</v>
      </c>
      <c r="BL17" s="32">
        <v>60796.25</v>
      </c>
      <c r="BM17" s="9"/>
      <c r="BN17" s="31">
        <v>657.05</v>
      </c>
      <c r="BO17" s="32">
        <v>60746.33</v>
      </c>
      <c r="BP17" s="9"/>
      <c r="BQ17" s="102">
        <v>668.1386363636365</v>
      </c>
      <c r="BR17" s="104">
        <v>61941.97727272727</v>
      </c>
      <c r="BS17" s="76"/>
    </row>
    <row r="18" spans="1:71" ht="15.75" customHeight="1">
      <c r="A18" s="79">
        <v>6</v>
      </c>
      <c r="B18" s="80" t="s">
        <v>19</v>
      </c>
      <c r="C18" s="31">
        <v>13.25</v>
      </c>
      <c r="D18" s="32">
        <v>1232.85</v>
      </c>
      <c r="E18" s="32"/>
      <c r="F18" s="31">
        <v>13.34</v>
      </c>
      <c r="G18" s="32">
        <v>1238.65</v>
      </c>
      <c r="H18" s="9"/>
      <c r="I18" s="31">
        <v>13.38</v>
      </c>
      <c r="J18" s="32">
        <v>1245.37</v>
      </c>
      <c r="K18" s="9"/>
      <c r="L18" s="31">
        <v>13.51</v>
      </c>
      <c r="M18" s="32">
        <v>1252.95</v>
      </c>
      <c r="N18" s="9"/>
      <c r="O18" s="31">
        <v>13.47</v>
      </c>
      <c r="P18" s="32">
        <v>1250.39</v>
      </c>
      <c r="Q18" s="9"/>
      <c r="R18" s="31">
        <v>13.5</v>
      </c>
      <c r="S18" s="32">
        <v>1254.47</v>
      </c>
      <c r="T18" s="9"/>
      <c r="U18" s="31">
        <v>13.28</v>
      </c>
      <c r="V18" s="32">
        <v>1232.26</v>
      </c>
      <c r="W18" s="9"/>
      <c r="X18" s="31">
        <v>13.02</v>
      </c>
      <c r="Y18" s="32">
        <v>1208.37</v>
      </c>
      <c r="Z18" s="9"/>
      <c r="AA18" s="31">
        <v>13.17</v>
      </c>
      <c r="AB18" s="32">
        <v>1219.64</v>
      </c>
      <c r="AC18" s="9"/>
      <c r="AD18" s="31">
        <v>13.04</v>
      </c>
      <c r="AE18" s="32">
        <v>1207.25</v>
      </c>
      <c r="AF18" s="9"/>
      <c r="AG18" s="31">
        <v>13.15</v>
      </c>
      <c r="AH18" s="32">
        <v>1213.69</v>
      </c>
      <c r="AI18" s="9"/>
      <c r="AJ18" s="31">
        <v>12.89</v>
      </c>
      <c r="AK18" s="32">
        <v>1193.98</v>
      </c>
      <c r="AL18" s="9"/>
      <c r="AM18" s="31">
        <v>12.89</v>
      </c>
      <c r="AN18" s="32">
        <v>1195.8</v>
      </c>
      <c r="AO18" s="9"/>
      <c r="AP18" s="31">
        <v>12.95</v>
      </c>
      <c r="AQ18" s="32">
        <v>1200.34</v>
      </c>
      <c r="AR18" s="9"/>
      <c r="AS18" s="31">
        <v>13.08</v>
      </c>
      <c r="AT18" s="32">
        <v>1212.92</v>
      </c>
      <c r="AU18" s="9"/>
      <c r="AV18" s="31">
        <v>12.91</v>
      </c>
      <c r="AW18" s="32">
        <v>1198.6</v>
      </c>
      <c r="AX18" s="9"/>
      <c r="AY18" s="31">
        <v>13.05</v>
      </c>
      <c r="AZ18" s="32">
        <v>1211.2</v>
      </c>
      <c r="BA18" s="9"/>
      <c r="BB18" s="31">
        <v>12.87</v>
      </c>
      <c r="BC18" s="32">
        <v>1193.93</v>
      </c>
      <c r="BD18" s="9"/>
      <c r="BE18" s="31">
        <v>12.94</v>
      </c>
      <c r="BF18" s="32">
        <v>1197.44</v>
      </c>
      <c r="BG18" s="9"/>
      <c r="BH18" s="31">
        <v>13</v>
      </c>
      <c r="BI18" s="32">
        <v>1199.58</v>
      </c>
      <c r="BJ18" s="9"/>
      <c r="BK18" s="31">
        <v>13.15</v>
      </c>
      <c r="BL18" s="32">
        <v>1216.2</v>
      </c>
      <c r="BM18" s="9"/>
      <c r="BN18" s="31">
        <v>13.25</v>
      </c>
      <c r="BO18" s="32">
        <v>1225</v>
      </c>
      <c r="BP18" s="9"/>
      <c r="BQ18" s="102">
        <v>13.140454545454544</v>
      </c>
      <c r="BR18" s="104">
        <v>1218.2218181818182</v>
      </c>
      <c r="BS18" s="76"/>
    </row>
    <row r="19" spans="1:71" ht="15.75" customHeight="1">
      <c r="A19" s="79">
        <v>7</v>
      </c>
      <c r="B19" s="30" t="s">
        <v>20</v>
      </c>
      <c r="C19" s="31">
        <f>1/0.8253</f>
        <v>1.211680600993578</v>
      </c>
      <c r="D19" s="32">
        <v>76.79</v>
      </c>
      <c r="E19" s="32"/>
      <c r="F19" s="31">
        <f>1/0.8255</f>
        <v>1.2113870381586918</v>
      </c>
      <c r="G19" s="32">
        <v>76.65</v>
      </c>
      <c r="H19" s="9"/>
      <c r="I19" s="31">
        <f>1/0.8188</f>
        <v>1.2212994626282365</v>
      </c>
      <c r="J19" s="32">
        <v>76.21</v>
      </c>
      <c r="K19" s="9"/>
      <c r="L19" s="31">
        <f>1/0.8245</f>
        <v>1.212856276531231</v>
      </c>
      <c r="M19" s="32">
        <v>76.47</v>
      </c>
      <c r="N19" s="9"/>
      <c r="O19" s="31">
        <f>1/0.8292</f>
        <v>1.20598166907863</v>
      </c>
      <c r="P19" s="32">
        <v>76.97</v>
      </c>
      <c r="Q19" s="9"/>
      <c r="R19" s="31">
        <f>1/0.8281</f>
        <v>1.2075836251660428</v>
      </c>
      <c r="S19" s="32">
        <v>76.95</v>
      </c>
      <c r="T19" s="9"/>
      <c r="U19" s="31">
        <f>1/0.8314</f>
        <v>1.2027904738994466</v>
      </c>
      <c r="V19" s="32">
        <v>77.15</v>
      </c>
      <c r="W19" s="9"/>
      <c r="X19" s="31">
        <f>1/0.8281</f>
        <v>1.2075836251660428</v>
      </c>
      <c r="Y19" s="32">
        <v>76.85</v>
      </c>
      <c r="Z19" s="9"/>
      <c r="AA19" s="31">
        <f>1/0.8332</f>
        <v>1.2001920307249159</v>
      </c>
      <c r="AB19" s="32">
        <v>77.16</v>
      </c>
      <c r="AC19" s="9"/>
      <c r="AD19" s="31">
        <f>1/0.832</f>
        <v>1.2019230769230769</v>
      </c>
      <c r="AE19" s="32">
        <v>77.03</v>
      </c>
      <c r="AF19" s="9"/>
      <c r="AG19" s="31">
        <f>1/0.8307</f>
        <v>1.2038040207054292</v>
      </c>
      <c r="AH19" s="32">
        <v>76.67</v>
      </c>
      <c r="AI19" s="9"/>
      <c r="AJ19" s="31">
        <f>1/0.8253</f>
        <v>1.211680600993578</v>
      </c>
      <c r="AK19" s="32">
        <v>76.45</v>
      </c>
      <c r="AL19" s="9"/>
      <c r="AM19" s="31">
        <f>1/0.8229</f>
        <v>1.2152144853566655</v>
      </c>
      <c r="AN19" s="32">
        <v>76.34</v>
      </c>
      <c r="AO19" s="9"/>
      <c r="AP19" s="31">
        <f>1/0.8214</f>
        <v>1.2174336498660823</v>
      </c>
      <c r="AQ19" s="32">
        <v>76.14</v>
      </c>
      <c r="AR19" s="9"/>
      <c r="AS19" s="31">
        <f>1/0.8213</f>
        <v>1.21758188238159</v>
      </c>
      <c r="AT19" s="32">
        <v>76.16</v>
      </c>
      <c r="AU19" s="9"/>
      <c r="AV19" s="31">
        <f>1/0.8235</f>
        <v>1.214329083181542</v>
      </c>
      <c r="AW19" s="32">
        <v>76.46</v>
      </c>
      <c r="AX19" s="9"/>
      <c r="AY19" s="31">
        <f>1/0.8234</f>
        <v>1.2144765606023804</v>
      </c>
      <c r="AZ19" s="32">
        <v>76.42</v>
      </c>
      <c r="BA19" s="9"/>
      <c r="BB19" s="31">
        <f>1/0.818</f>
        <v>1.2224938875305624</v>
      </c>
      <c r="BC19" s="32">
        <v>75.88</v>
      </c>
      <c r="BD19" s="9"/>
      <c r="BE19" s="31">
        <f>1/0.8191</f>
        <v>1.2208521548040532</v>
      </c>
      <c r="BF19" s="32">
        <v>75.8</v>
      </c>
      <c r="BG19" s="9"/>
      <c r="BH19" s="31">
        <f>1/0.8207</f>
        <v>1.2184720360667722</v>
      </c>
      <c r="BI19" s="32">
        <v>75.73</v>
      </c>
      <c r="BJ19" s="9"/>
      <c r="BK19" s="31">
        <f>1/0.8185</f>
        <v>1.2217470983506413</v>
      </c>
      <c r="BL19" s="32">
        <v>75.7</v>
      </c>
      <c r="BM19" s="24"/>
      <c r="BN19" s="31">
        <f>1/0.8241</f>
        <v>1.213444970270598</v>
      </c>
      <c r="BO19" s="32">
        <v>76.19</v>
      </c>
      <c r="BP19" s="24"/>
      <c r="BQ19" s="102">
        <v>1.2124912867899902</v>
      </c>
      <c r="BR19" s="104">
        <v>76.46227272727275</v>
      </c>
      <c r="BS19" s="87"/>
    </row>
    <row r="20" spans="1:71" ht="15.75" customHeight="1">
      <c r="A20" s="79">
        <v>8</v>
      </c>
      <c r="B20" s="30" t="s">
        <v>21</v>
      </c>
      <c r="C20" s="31">
        <v>1.1121</v>
      </c>
      <c r="D20" s="32">
        <v>83.67</v>
      </c>
      <c r="E20" s="32"/>
      <c r="F20" s="31">
        <v>1.1087</v>
      </c>
      <c r="G20" s="32">
        <v>83.75</v>
      </c>
      <c r="H20" s="9"/>
      <c r="I20" s="31">
        <v>1.106</v>
      </c>
      <c r="J20" s="32">
        <v>84.16</v>
      </c>
      <c r="K20" s="9"/>
      <c r="L20" s="31">
        <v>1.1051</v>
      </c>
      <c r="M20" s="32">
        <v>83.92</v>
      </c>
      <c r="N20" s="9"/>
      <c r="O20" s="31">
        <v>1.1012</v>
      </c>
      <c r="P20" s="32">
        <v>84.3</v>
      </c>
      <c r="Q20" s="9"/>
      <c r="R20" s="31">
        <v>1.109</v>
      </c>
      <c r="S20" s="32">
        <v>83.79</v>
      </c>
      <c r="T20" s="9"/>
      <c r="U20" s="31">
        <v>1.1086</v>
      </c>
      <c r="V20" s="32">
        <v>83.7</v>
      </c>
      <c r="W20" s="9"/>
      <c r="X20" s="31">
        <v>1.1128</v>
      </c>
      <c r="Y20" s="32">
        <v>83.4</v>
      </c>
      <c r="Z20" s="9"/>
      <c r="AA20" s="31">
        <v>1.1096</v>
      </c>
      <c r="AB20" s="32">
        <v>83.46</v>
      </c>
      <c r="AC20" s="9"/>
      <c r="AD20" s="31">
        <v>1.1018</v>
      </c>
      <c r="AE20" s="32">
        <v>84.03</v>
      </c>
      <c r="AF20" s="9"/>
      <c r="AG20" s="31">
        <v>1.0992</v>
      </c>
      <c r="AH20" s="32">
        <v>83.97</v>
      </c>
      <c r="AI20" s="9"/>
      <c r="AJ20" s="31">
        <v>1.1031</v>
      </c>
      <c r="AK20" s="32">
        <v>83.97</v>
      </c>
      <c r="AL20" s="9"/>
      <c r="AM20" s="31">
        <v>1.0949</v>
      </c>
      <c r="AN20" s="32">
        <v>84.73</v>
      </c>
      <c r="AO20" s="9"/>
      <c r="AP20" s="31">
        <v>1.0841</v>
      </c>
      <c r="AQ20" s="32">
        <v>85.5</v>
      </c>
      <c r="AR20" s="9"/>
      <c r="AS20" s="31">
        <v>1.0854</v>
      </c>
      <c r="AT20" s="32">
        <v>85.44</v>
      </c>
      <c r="AU20" s="9"/>
      <c r="AV20" s="31">
        <v>1.0866</v>
      </c>
      <c r="AW20" s="32">
        <v>85.44</v>
      </c>
      <c r="AX20" s="9"/>
      <c r="AY20" s="31">
        <v>1.0834</v>
      </c>
      <c r="AZ20" s="32">
        <v>85.67</v>
      </c>
      <c r="BA20" s="9"/>
      <c r="BB20" s="31">
        <v>1.0855</v>
      </c>
      <c r="BC20" s="32">
        <v>85.46</v>
      </c>
      <c r="BD20" s="9"/>
      <c r="BE20" s="31">
        <v>1.0809</v>
      </c>
      <c r="BF20" s="32">
        <v>85.61</v>
      </c>
      <c r="BG20" s="9"/>
      <c r="BH20" s="31">
        <v>1.0805</v>
      </c>
      <c r="BI20" s="32">
        <v>85.4</v>
      </c>
      <c r="BJ20" s="9"/>
      <c r="BK20" s="31">
        <v>1.0699</v>
      </c>
      <c r="BL20" s="32">
        <v>86.44</v>
      </c>
      <c r="BM20" s="9"/>
      <c r="BN20" s="31">
        <v>1.0715</v>
      </c>
      <c r="BO20" s="32">
        <v>86.28</v>
      </c>
      <c r="BP20" s="9"/>
      <c r="BQ20" s="102">
        <v>1.0954500000000003</v>
      </c>
      <c r="BR20" s="104">
        <v>84.64045454545456</v>
      </c>
      <c r="BS20" s="76"/>
    </row>
    <row r="21" spans="1:71" ht="15.75" customHeight="1">
      <c r="A21" s="79">
        <v>9</v>
      </c>
      <c r="B21" s="30" t="s">
        <v>22</v>
      </c>
      <c r="C21" s="31">
        <v>6.7401</v>
      </c>
      <c r="D21" s="32">
        <v>13.8</v>
      </c>
      <c r="E21" s="32"/>
      <c r="F21" s="31">
        <v>6.7193</v>
      </c>
      <c r="G21" s="32">
        <v>13.82</v>
      </c>
      <c r="H21" s="9"/>
      <c r="I21" s="31">
        <v>6.7426</v>
      </c>
      <c r="J21" s="32">
        <v>13.8</v>
      </c>
      <c r="K21" s="9"/>
      <c r="L21" s="31">
        <v>6.7356</v>
      </c>
      <c r="M21" s="32">
        <v>13.77</v>
      </c>
      <c r="N21" s="9"/>
      <c r="O21" s="31">
        <v>6.7592</v>
      </c>
      <c r="P21" s="32">
        <v>13.73</v>
      </c>
      <c r="Q21" s="9"/>
      <c r="R21" s="31">
        <v>6.7925</v>
      </c>
      <c r="S21" s="32">
        <v>13.68</v>
      </c>
      <c r="T21" s="9"/>
      <c r="U21" s="31">
        <v>6.7997</v>
      </c>
      <c r="V21" s="32">
        <v>13.65</v>
      </c>
      <c r="W21" s="9"/>
      <c r="X21" s="31">
        <v>6.8412</v>
      </c>
      <c r="Y21" s="32">
        <v>13.57</v>
      </c>
      <c r="Z21" s="9"/>
      <c r="AA21" s="31">
        <v>6.8148</v>
      </c>
      <c r="AB21" s="32">
        <v>13.59</v>
      </c>
      <c r="AC21" s="9"/>
      <c r="AD21" s="31">
        <v>6.7948</v>
      </c>
      <c r="AE21" s="32">
        <v>13.63</v>
      </c>
      <c r="AF21" s="9"/>
      <c r="AG21" s="31">
        <v>6.7561</v>
      </c>
      <c r="AH21" s="32">
        <v>13.66</v>
      </c>
      <c r="AI21" s="9"/>
      <c r="AJ21" s="31">
        <v>6.8003</v>
      </c>
      <c r="AK21" s="32">
        <v>13.62</v>
      </c>
      <c r="AL21" s="9"/>
      <c r="AM21" s="31">
        <v>6.8259</v>
      </c>
      <c r="AN21" s="32">
        <v>13.59</v>
      </c>
      <c r="AO21" s="9"/>
      <c r="AP21" s="31">
        <v>6.8244</v>
      </c>
      <c r="AQ21" s="32">
        <v>13.58</v>
      </c>
      <c r="AR21" s="9"/>
      <c r="AS21" s="31">
        <v>6.8357</v>
      </c>
      <c r="AT21" s="32">
        <v>13.57</v>
      </c>
      <c r="AU21" s="9"/>
      <c r="AV21" s="31">
        <v>6.8374</v>
      </c>
      <c r="AW21" s="32">
        <v>13.58</v>
      </c>
      <c r="AX21" s="9"/>
      <c r="AY21" s="31">
        <v>6.8378</v>
      </c>
      <c r="AZ21" s="32">
        <v>13.57</v>
      </c>
      <c r="BA21" s="9"/>
      <c r="BB21" s="31">
        <v>6.8436</v>
      </c>
      <c r="BC21" s="32">
        <v>13.56</v>
      </c>
      <c r="BD21" s="9"/>
      <c r="BE21" s="31">
        <v>6.8416</v>
      </c>
      <c r="BF21" s="32">
        <v>13.53</v>
      </c>
      <c r="BG21" s="9"/>
      <c r="BH21" s="31">
        <v>6.8423</v>
      </c>
      <c r="BI21" s="32">
        <v>13.49</v>
      </c>
      <c r="BJ21" s="9"/>
      <c r="BK21" s="31">
        <v>6.9109</v>
      </c>
      <c r="BL21" s="32">
        <v>13.38</v>
      </c>
      <c r="BM21" s="9"/>
      <c r="BN21" s="31">
        <v>6.9017</v>
      </c>
      <c r="BO21" s="32">
        <v>13.4</v>
      </c>
      <c r="BP21" s="9"/>
      <c r="BQ21" s="102">
        <v>6.808977272727273</v>
      </c>
      <c r="BR21" s="104">
        <v>13.616818181818182</v>
      </c>
      <c r="BS21" s="76"/>
    </row>
    <row r="22" spans="1:71" ht="15.75" customHeight="1">
      <c r="A22" s="79">
        <v>10</v>
      </c>
      <c r="B22" s="30" t="s">
        <v>23</v>
      </c>
      <c r="C22" s="31">
        <v>5.9727</v>
      </c>
      <c r="D22" s="32">
        <v>15.58</v>
      </c>
      <c r="E22" s="32"/>
      <c r="F22" s="31">
        <v>5.9678</v>
      </c>
      <c r="G22" s="32">
        <v>15.56</v>
      </c>
      <c r="H22" s="9"/>
      <c r="I22" s="31">
        <v>5.9903</v>
      </c>
      <c r="J22" s="32">
        <v>15.54</v>
      </c>
      <c r="K22" s="9"/>
      <c r="L22" s="31">
        <v>5.9648</v>
      </c>
      <c r="M22" s="32">
        <v>15.55</v>
      </c>
      <c r="N22" s="9"/>
      <c r="O22" s="31">
        <v>5.9836</v>
      </c>
      <c r="P22" s="32">
        <v>15.51</v>
      </c>
      <c r="Q22" s="9"/>
      <c r="R22" s="31">
        <v>6.0101</v>
      </c>
      <c r="S22" s="32">
        <v>15.46</v>
      </c>
      <c r="T22" s="9"/>
      <c r="U22" s="31">
        <v>6.0286</v>
      </c>
      <c r="V22" s="32">
        <v>15.39</v>
      </c>
      <c r="W22" s="9"/>
      <c r="X22" s="31">
        <v>6.0635</v>
      </c>
      <c r="Y22" s="32">
        <v>15.31</v>
      </c>
      <c r="Z22" s="9"/>
      <c r="AA22" s="31">
        <v>6.0469</v>
      </c>
      <c r="AB22" s="32">
        <v>15.31</v>
      </c>
      <c r="AC22" s="9"/>
      <c r="AD22" s="31">
        <v>6.0486</v>
      </c>
      <c r="AE22" s="32">
        <v>15.31</v>
      </c>
      <c r="AF22" s="9"/>
      <c r="AG22" s="31">
        <v>6.008</v>
      </c>
      <c r="AH22" s="32">
        <v>15.36</v>
      </c>
      <c r="AI22" s="9"/>
      <c r="AJ22" s="31">
        <v>6.038</v>
      </c>
      <c r="AK22" s="32">
        <v>15.34</v>
      </c>
      <c r="AL22" s="9"/>
      <c r="AM22" s="31">
        <v>6.0525</v>
      </c>
      <c r="AN22" s="32">
        <v>15.33</v>
      </c>
      <c r="AO22" s="9"/>
      <c r="AP22" s="31">
        <v>6.0455</v>
      </c>
      <c r="AQ22" s="32">
        <v>15.33</v>
      </c>
      <c r="AR22" s="9"/>
      <c r="AS22" s="31">
        <v>6.0485</v>
      </c>
      <c r="AT22" s="32">
        <v>15.33</v>
      </c>
      <c r="AU22" s="9"/>
      <c r="AV22" s="31">
        <v>6.0473</v>
      </c>
      <c r="AW22" s="32">
        <v>15.35</v>
      </c>
      <c r="AX22" s="9"/>
      <c r="AY22" s="31">
        <v>6.0325</v>
      </c>
      <c r="AZ22" s="32">
        <v>15.39</v>
      </c>
      <c r="BA22" s="9"/>
      <c r="BB22" s="31">
        <v>6.0289</v>
      </c>
      <c r="BC22" s="32">
        <v>15.39</v>
      </c>
      <c r="BD22" s="9"/>
      <c r="BE22" s="31">
        <v>6.0131</v>
      </c>
      <c r="BF22" s="32">
        <v>15.39</v>
      </c>
      <c r="BG22" s="9"/>
      <c r="BH22" s="31">
        <v>5.9991</v>
      </c>
      <c r="BI22" s="32">
        <v>15.38</v>
      </c>
      <c r="BJ22" s="9"/>
      <c r="BK22" s="31">
        <v>6.0374</v>
      </c>
      <c r="BL22" s="32">
        <v>15.32</v>
      </c>
      <c r="BM22" s="9"/>
      <c r="BN22" s="31">
        <v>6.0461</v>
      </c>
      <c r="BO22" s="32">
        <v>15.29</v>
      </c>
      <c r="BP22" s="9"/>
      <c r="BQ22" s="102">
        <v>6.021536363636363</v>
      </c>
      <c r="BR22" s="104">
        <v>15.396363636363638</v>
      </c>
      <c r="BS22" s="76"/>
    </row>
    <row r="23" spans="1:71" ht="15.75" customHeight="1">
      <c r="A23" s="79">
        <v>11</v>
      </c>
      <c r="B23" s="30" t="s">
        <v>24</v>
      </c>
      <c r="C23" s="31">
        <v>5.4868</v>
      </c>
      <c r="D23" s="32">
        <v>16.96</v>
      </c>
      <c r="E23" s="32"/>
      <c r="F23" s="31">
        <v>5.4744</v>
      </c>
      <c r="G23" s="32">
        <v>16.96</v>
      </c>
      <c r="H23" s="9"/>
      <c r="I23" s="31">
        <v>5.4941</v>
      </c>
      <c r="J23" s="32">
        <v>16.94</v>
      </c>
      <c r="K23" s="9"/>
      <c r="L23" s="31">
        <v>5.4757</v>
      </c>
      <c r="M23" s="32">
        <v>16.94</v>
      </c>
      <c r="N23" s="9"/>
      <c r="O23" s="31">
        <v>5.4896</v>
      </c>
      <c r="P23" s="32">
        <v>16.91</v>
      </c>
      <c r="Q23" s="9"/>
      <c r="R23" s="31">
        <v>5.5046</v>
      </c>
      <c r="S23" s="32">
        <v>16.88</v>
      </c>
      <c r="T23" s="9"/>
      <c r="U23" s="31">
        <v>5.509</v>
      </c>
      <c r="V23" s="32">
        <v>16.84</v>
      </c>
      <c r="W23" s="9"/>
      <c r="X23" s="31">
        <v>5.5283</v>
      </c>
      <c r="Y23" s="32">
        <v>16.79</v>
      </c>
      <c r="Z23" s="9"/>
      <c r="AA23" s="31">
        <v>5.5022</v>
      </c>
      <c r="AB23" s="32">
        <v>16.83</v>
      </c>
      <c r="AC23" s="9"/>
      <c r="AD23" s="31">
        <v>5.5026</v>
      </c>
      <c r="AE23" s="32">
        <v>16.82</v>
      </c>
      <c r="AF23" s="9"/>
      <c r="AG23" s="31">
        <v>5.4808</v>
      </c>
      <c r="AH23" s="32">
        <v>16.84</v>
      </c>
      <c r="AI23" s="9"/>
      <c r="AJ23" s="31">
        <v>5.508</v>
      </c>
      <c r="AK23" s="32">
        <v>16.82</v>
      </c>
      <c r="AL23" s="9"/>
      <c r="AM23" s="31">
        <v>5.5216</v>
      </c>
      <c r="AN23" s="32">
        <v>16.8</v>
      </c>
      <c r="AO23" s="9"/>
      <c r="AP23" s="31">
        <v>5.5195</v>
      </c>
      <c r="AQ23" s="32">
        <v>16.79</v>
      </c>
      <c r="AR23" s="9"/>
      <c r="AS23" s="31">
        <v>5.5371</v>
      </c>
      <c r="AT23" s="32">
        <v>16.75</v>
      </c>
      <c r="AU23" s="9"/>
      <c r="AV23" s="31">
        <v>5.5438</v>
      </c>
      <c r="AW23" s="32">
        <v>16.75</v>
      </c>
      <c r="AX23" s="9"/>
      <c r="AY23" s="31">
        <v>5.5437</v>
      </c>
      <c r="AZ23" s="32">
        <v>16.74</v>
      </c>
      <c r="BA23" s="9"/>
      <c r="BB23" s="31">
        <v>5.5471</v>
      </c>
      <c r="BC23" s="32">
        <v>16.72</v>
      </c>
      <c r="BD23" s="9"/>
      <c r="BE23" s="31">
        <v>5.5384</v>
      </c>
      <c r="BF23" s="32">
        <v>16.71</v>
      </c>
      <c r="BG23" s="9"/>
      <c r="BH23" s="31">
        <v>5.5209</v>
      </c>
      <c r="BI23" s="32">
        <v>16.71</v>
      </c>
      <c r="BJ23" s="9"/>
      <c r="BK23" s="31">
        <v>5.5412</v>
      </c>
      <c r="BL23" s="32">
        <v>16.69</v>
      </c>
      <c r="BM23" s="9"/>
      <c r="BN23" s="31">
        <v>5.5416</v>
      </c>
      <c r="BO23" s="32">
        <v>16.68</v>
      </c>
      <c r="BP23" s="9"/>
      <c r="BQ23" s="102">
        <v>5.514136363636364</v>
      </c>
      <c r="BR23" s="104">
        <v>16.812272727272727</v>
      </c>
      <c r="BS23" s="76"/>
    </row>
    <row r="24" spans="1:71" ht="15.75" customHeight="1">
      <c r="A24" s="79">
        <v>12</v>
      </c>
      <c r="B24" s="30" t="s">
        <v>25</v>
      </c>
      <c r="C24" s="31">
        <f>1/1.52621</f>
        <v>0.6552178271666416</v>
      </c>
      <c r="D24" s="32">
        <v>142.01</v>
      </c>
      <c r="E24" s="32"/>
      <c r="F24" s="31">
        <f>1/1.52083</f>
        <v>0.6575356877494526</v>
      </c>
      <c r="G24" s="32">
        <v>141.21</v>
      </c>
      <c r="H24" s="9"/>
      <c r="I24" s="31">
        <f>1/1.523</f>
        <v>0.6565988181221274</v>
      </c>
      <c r="J24" s="32">
        <v>141.76</v>
      </c>
      <c r="K24" s="9"/>
      <c r="L24" s="31">
        <f>1/1.52042</f>
        <v>0.657713000355165</v>
      </c>
      <c r="M24" s="32">
        <v>141.01</v>
      </c>
      <c r="N24" s="9"/>
      <c r="O24" s="31">
        <f>1/1.52372</f>
        <v>0.656288556952721</v>
      </c>
      <c r="P24" s="32">
        <v>141.44</v>
      </c>
      <c r="Q24" s="9"/>
      <c r="R24" s="31">
        <f>1/1.52117</f>
        <v>0.6573887205243333</v>
      </c>
      <c r="S24" s="32">
        <v>141.35</v>
      </c>
      <c r="T24" s="9"/>
      <c r="U24" s="31">
        <f>1/1.51993</f>
        <v>0.6579250360213957</v>
      </c>
      <c r="V24" s="32">
        <v>141.04</v>
      </c>
      <c r="W24" s="9"/>
      <c r="X24" s="31">
        <f>1/1.51944</f>
        <v>0.6581372084452167</v>
      </c>
      <c r="Y24" s="32">
        <v>141.02</v>
      </c>
      <c r="Z24" s="9"/>
      <c r="AA24" s="31">
        <f>1/1.51719</f>
        <v>0.6591132290616205</v>
      </c>
      <c r="AB24" s="32">
        <v>140.5</v>
      </c>
      <c r="AC24" s="9"/>
      <c r="AD24" s="31">
        <f>1/1.51951</f>
        <v>0.6581068897210285</v>
      </c>
      <c r="AE24" s="32">
        <v>140.68</v>
      </c>
      <c r="AF24" s="9"/>
      <c r="AG24" s="31">
        <f>1/1.51801</f>
        <v>0.6587571886878215</v>
      </c>
      <c r="AH24" s="32">
        <v>140.11</v>
      </c>
      <c r="AI24" s="9"/>
      <c r="AJ24" s="31">
        <f>1/1.52145</f>
        <v>0.6572677380130797</v>
      </c>
      <c r="AK24" s="32">
        <v>140.93</v>
      </c>
      <c r="AL24" s="9"/>
      <c r="AM24" s="31">
        <f>1/1.51676</f>
        <v>0.6593000870276114</v>
      </c>
      <c r="AN24" s="32">
        <v>140.71</v>
      </c>
      <c r="AO24" s="9"/>
      <c r="AP24" s="31">
        <f>1/1.51473</f>
        <v>0.660183663095073</v>
      </c>
      <c r="AQ24" s="32">
        <v>140.4</v>
      </c>
      <c r="AR24" s="9"/>
      <c r="AS24" s="31">
        <f>1/1.51268</f>
        <v>0.6610783510061612</v>
      </c>
      <c r="AT24" s="32">
        <v>140.27</v>
      </c>
      <c r="AU24" s="9"/>
      <c r="AV24" s="31">
        <f>1/1.51285</f>
        <v>0.6610040651750008</v>
      </c>
      <c r="AW24" s="32">
        <v>140.46</v>
      </c>
      <c r="AX24" s="9"/>
      <c r="AY24" s="31">
        <f>1/1.51372</f>
        <v>0.6606241577041989</v>
      </c>
      <c r="AZ24" s="32">
        <v>140.49</v>
      </c>
      <c r="BA24" s="9"/>
      <c r="BB24" s="31">
        <f>1/1.51393</f>
        <v>0.6605325213186871</v>
      </c>
      <c r="BC24" s="32">
        <v>140.45</v>
      </c>
      <c r="BD24" s="9"/>
      <c r="BE24" s="31">
        <f>1/1.51323</f>
        <v>0.6608380748465204</v>
      </c>
      <c r="BF24" s="32">
        <v>140.03</v>
      </c>
      <c r="BG24" s="9"/>
      <c r="BH24" s="31">
        <f>1/1.51323</f>
        <v>0.6608380748465204</v>
      </c>
      <c r="BI24" s="32">
        <v>139.63</v>
      </c>
      <c r="BJ24" s="9"/>
      <c r="BK24" s="31">
        <f>1/1.51587</f>
        <v>0.6596871763409791</v>
      </c>
      <c r="BL24" s="32">
        <v>140.2</v>
      </c>
      <c r="BM24" s="9"/>
      <c r="BN24" s="31">
        <f>1/1.51199</f>
        <v>0.6613800355822459</v>
      </c>
      <c r="BO24" s="32">
        <v>139.79</v>
      </c>
      <c r="BP24" s="9"/>
      <c r="BQ24" s="102">
        <v>0.6588870958074365</v>
      </c>
      <c r="BR24" s="104">
        <v>140.70409090909092</v>
      </c>
      <c r="BS24" s="76"/>
    </row>
    <row r="25" spans="1:74" ht="15.75" customHeight="1" thickBot="1">
      <c r="A25" s="81">
        <v>13</v>
      </c>
      <c r="B25" s="82" t="s">
        <v>26</v>
      </c>
      <c r="C25" s="83">
        <v>1</v>
      </c>
      <c r="D25" s="84">
        <v>93.05</v>
      </c>
      <c r="E25" s="84"/>
      <c r="F25" s="83">
        <v>1</v>
      </c>
      <c r="G25" s="84">
        <v>92.85</v>
      </c>
      <c r="H25" s="85"/>
      <c r="I25" s="83">
        <v>1</v>
      </c>
      <c r="J25" s="84">
        <v>93.08</v>
      </c>
      <c r="K25" s="85"/>
      <c r="L25" s="83">
        <v>1</v>
      </c>
      <c r="M25" s="84">
        <v>92.74</v>
      </c>
      <c r="N25" s="85"/>
      <c r="O25" s="83">
        <v>1</v>
      </c>
      <c r="P25" s="84">
        <v>92.83</v>
      </c>
      <c r="Q25" s="85"/>
      <c r="R25" s="83">
        <v>1</v>
      </c>
      <c r="S25" s="84">
        <v>92.92</v>
      </c>
      <c r="T25" s="85"/>
      <c r="U25" s="83">
        <v>1</v>
      </c>
      <c r="V25" s="84">
        <v>92.79</v>
      </c>
      <c r="W25" s="85"/>
      <c r="X25" s="83">
        <v>1</v>
      </c>
      <c r="Y25" s="84">
        <v>92.81</v>
      </c>
      <c r="Z25" s="85"/>
      <c r="AA25" s="83">
        <v>1</v>
      </c>
      <c r="AB25" s="84">
        <v>92.61</v>
      </c>
      <c r="AC25" s="85"/>
      <c r="AD25" s="83">
        <v>1</v>
      </c>
      <c r="AE25" s="84">
        <v>92.58</v>
      </c>
      <c r="AF25" s="85"/>
      <c r="AG25" s="83">
        <v>1</v>
      </c>
      <c r="AH25" s="84">
        <v>92.3</v>
      </c>
      <c r="AI25" s="85"/>
      <c r="AJ25" s="83">
        <v>1</v>
      </c>
      <c r="AK25" s="84">
        <v>92.63</v>
      </c>
      <c r="AL25" s="85"/>
      <c r="AM25" s="83">
        <v>1</v>
      </c>
      <c r="AN25" s="84">
        <v>92.77</v>
      </c>
      <c r="AO25" s="85"/>
      <c r="AP25" s="83">
        <v>1</v>
      </c>
      <c r="AQ25" s="84">
        <v>92.69</v>
      </c>
      <c r="AR25" s="85"/>
      <c r="AS25" s="83">
        <v>1</v>
      </c>
      <c r="AT25" s="84">
        <v>92.73</v>
      </c>
      <c r="AU25" s="85"/>
      <c r="AV25" s="83">
        <v>1</v>
      </c>
      <c r="AW25" s="84">
        <v>92.84</v>
      </c>
      <c r="AX25" s="85"/>
      <c r="AY25" s="83">
        <v>1</v>
      </c>
      <c r="AZ25" s="84">
        <v>92.81</v>
      </c>
      <c r="BA25" s="85"/>
      <c r="BB25" s="83">
        <v>1</v>
      </c>
      <c r="BC25" s="84">
        <v>92.77</v>
      </c>
      <c r="BD25" s="85"/>
      <c r="BE25" s="83">
        <v>1</v>
      </c>
      <c r="BF25" s="84">
        <v>92.54</v>
      </c>
      <c r="BG25" s="85"/>
      <c r="BH25" s="83">
        <v>1</v>
      </c>
      <c r="BI25" s="84">
        <v>92.28</v>
      </c>
      <c r="BJ25" s="85"/>
      <c r="BK25" s="83">
        <v>1</v>
      </c>
      <c r="BL25" s="84">
        <v>92.49</v>
      </c>
      <c r="BM25" s="85"/>
      <c r="BN25" s="83">
        <v>1</v>
      </c>
      <c r="BO25" s="84">
        <v>92.45</v>
      </c>
      <c r="BP25" s="85"/>
      <c r="BQ25" s="103">
        <v>1</v>
      </c>
      <c r="BR25" s="84">
        <v>92.70727272727272</v>
      </c>
      <c r="BS25" s="76"/>
      <c r="BV25" s="95"/>
    </row>
    <row r="26" spans="1:71" ht="15.75" customHeight="1" thickTop="1">
      <c r="A26" s="29"/>
      <c r="B26" s="30"/>
      <c r="C26" s="31"/>
      <c r="D26" s="32"/>
      <c r="E26" s="32"/>
      <c r="F26" s="32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  <c r="BQ26" s="31"/>
      <c r="BR26" s="32"/>
      <c r="BS26" s="9"/>
    </row>
    <row r="27" spans="1:68" ht="15.75" customHeight="1">
      <c r="A27" s="29"/>
      <c r="B27" s="30"/>
      <c r="C27" s="31"/>
      <c r="D27" s="32"/>
      <c r="E27" s="32"/>
      <c r="F27" s="32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N27" s="31"/>
      <c r="BO27" s="32"/>
      <c r="BP27" s="9"/>
    </row>
    <row r="28" spans="1:68" ht="15.75" customHeight="1">
      <c r="A28" s="29"/>
      <c r="B28" s="30"/>
      <c r="C28" s="31"/>
      <c r="D28" s="32"/>
      <c r="E28" s="32"/>
      <c r="F28" s="32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  <c r="BN28" s="31"/>
      <c r="BO28" s="32"/>
      <c r="BP28" s="9"/>
    </row>
    <row r="29" spans="1:68" ht="15.75" customHeight="1">
      <c r="A29" s="29"/>
      <c r="B29" s="30"/>
      <c r="C29" s="31"/>
      <c r="D29" s="32"/>
      <c r="E29" s="32"/>
      <c r="F29" s="32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  <c r="BN29" s="31"/>
      <c r="BO29" s="32"/>
      <c r="BP29" s="9"/>
    </row>
    <row r="30" spans="1:68" ht="15.75" customHeight="1">
      <c r="A30" s="29"/>
      <c r="B30" s="30"/>
      <c r="C30" s="31"/>
      <c r="D30" s="32"/>
      <c r="E30" s="32"/>
      <c r="F30" s="32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  <c r="BN30" s="31"/>
      <c r="BO30" s="32"/>
      <c r="BP30" s="9"/>
    </row>
    <row r="31" spans="1:68" ht="15.75" customHeight="1">
      <c r="A31" s="29"/>
      <c r="B31" s="30"/>
      <c r="C31" s="31"/>
      <c r="D31" s="32"/>
      <c r="E31" s="32"/>
      <c r="F31" s="32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  <c r="BN31" s="31"/>
      <c r="BO31" s="32"/>
      <c r="BP31" s="9"/>
    </row>
    <row r="32" spans="1:68" ht="15.75" customHeight="1">
      <c r="A32" s="29"/>
      <c r="B32" s="30"/>
      <c r="C32" s="31"/>
      <c r="D32" s="32"/>
      <c r="E32" s="32"/>
      <c r="F32" s="32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  <c r="BN32" s="31"/>
      <c r="BO32" s="32"/>
      <c r="BP32" s="9"/>
    </row>
    <row r="33" spans="1:68" ht="15.75" customHeight="1">
      <c r="A33" s="29"/>
      <c r="B33" s="33"/>
      <c r="C33" s="31"/>
      <c r="D33" s="32"/>
      <c r="E33" s="32"/>
      <c r="F33" s="32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4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  <c r="BN33" s="31"/>
      <c r="BO33" s="32"/>
      <c r="BP33" s="9"/>
    </row>
    <row r="34" spans="1:68" ht="15.75" customHeight="1">
      <c r="A34" s="29"/>
      <c r="B34" s="33"/>
      <c r="C34" s="31"/>
      <c r="D34" s="32"/>
      <c r="E34" s="32"/>
      <c r="F34" s="32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9"/>
      <c r="U34" s="31"/>
      <c r="V34" s="32"/>
      <c r="W34" s="34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9"/>
      <c r="BN34" s="31"/>
      <c r="BO34" s="32"/>
      <c r="BP34" s="24"/>
    </row>
    <row r="35" spans="1:68" ht="15.75" customHeight="1">
      <c r="A35" s="29"/>
      <c r="B35" s="33"/>
      <c r="C35" s="31"/>
      <c r="D35" s="32"/>
      <c r="E35" s="32"/>
      <c r="F35" s="32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9"/>
      <c r="BN35" s="31"/>
      <c r="BO35" s="32"/>
      <c r="BP35" s="24"/>
    </row>
    <row r="36" spans="1:68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3"/>
      <c r="BK36" s="9"/>
      <c r="BL36" s="9"/>
      <c r="BM36" s="9"/>
      <c r="BN36" s="25"/>
      <c r="BO36" s="25"/>
      <c r="BP36" s="23"/>
    </row>
    <row r="37" spans="1:6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</sheetData>
  <sheetProtection/>
  <printOptions/>
  <pageMargins left="0.75" right="0.75" top="1" bottom="1" header="0.5" footer="0.5"/>
  <pageSetup fitToHeight="14" fitToWidth="1" horizontalDpi="600" verticalDpi="600" orientation="landscape" paperSize="9" scale="14" r:id="rId1"/>
  <headerFooter alignWithMargins="0">
    <oddHeader>&amp;LBanka e Shqiperise
Sektori i Informacionit
Kurset mujore</oddHeader>
  </headerFooter>
  <colBreaks count="1" manualBreakCount="1">
    <brk id="5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O30" sqref="BO29:BO30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hidden="1" customWidth="1"/>
    <col min="5" max="5" width="5.7109375" style="0" hidden="1" customWidth="1"/>
    <col min="6" max="7" width="13.28125" style="0" hidden="1" customWidth="1"/>
    <col min="8" max="8" width="6.421875" style="0" hidden="1" customWidth="1"/>
    <col min="9" max="10" width="13.28125" style="0" hidden="1" customWidth="1"/>
    <col min="11" max="11" width="5.7109375" style="0" hidden="1" customWidth="1"/>
    <col min="12" max="13" width="13.28125" style="0" hidden="1" customWidth="1"/>
    <col min="14" max="14" width="5.421875" style="0" hidden="1" customWidth="1"/>
    <col min="15" max="16" width="13.28125" style="0" hidden="1" customWidth="1"/>
    <col min="17" max="17" width="5.421875" style="0" hidden="1" customWidth="1"/>
    <col min="18" max="19" width="13.28125" style="0" hidden="1" customWidth="1"/>
    <col min="20" max="20" width="5.57421875" style="0" hidden="1" customWidth="1"/>
    <col min="21" max="22" width="13.28125" style="0" hidden="1" customWidth="1"/>
    <col min="23" max="23" width="5.7109375" style="0" hidden="1" customWidth="1"/>
    <col min="24" max="25" width="13.28125" style="0" hidden="1" customWidth="1"/>
    <col min="26" max="26" width="5.7109375" style="0" hidden="1" customWidth="1"/>
    <col min="27" max="28" width="13.28125" style="0" hidden="1" customWidth="1"/>
    <col min="29" max="29" width="5.7109375" style="0" hidden="1" customWidth="1"/>
    <col min="30" max="31" width="13.28125" style="0" hidden="1" customWidth="1"/>
    <col min="32" max="32" width="5.7109375" style="0" hidden="1" customWidth="1"/>
    <col min="33" max="34" width="13.28125" style="0" hidden="1" customWidth="1"/>
    <col min="35" max="35" width="5.7109375" style="0" hidden="1" customWidth="1"/>
    <col min="36" max="37" width="13.28125" style="0" hidden="1" customWidth="1"/>
    <col min="38" max="38" width="5.7109375" style="0" hidden="1" customWidth="1"/>
    <col min="39" max="40" width="13.28125" style="0" hidden="1" customWidth="1"/>
    <col min="41" max="41" width="5.7109375" style="0" hidden="1" customWidth="1"/>
    <col min="42" max="43" width="13.28125" style="0" hidden="1" customWidth="1"/>
    <col min="44" max="44" width="5.7109375" style="0" hidden="1" customWidth="1"/>
    <col min="45" max="46" width="13.28125" style="0" hidden="1" customWidth="1"/>
    <col min="47" max="47" width="5.7109375" style="0" hidden="1" customWidth="1"/>
    <col min="48" max="49" width="13.28125" style="0" hidden="1" customWidth="1"/>
    <col min="50" max="50" width="5.7109375" style="0" hidden="1" customWidth="1"/>
    <col min="51" max="52" width="13.28125" style="0" hidden="1" customWidth="1"/>
    <col min="53" max="53" width="5.7109375" style="0" hidden="1" customWidth="1"/>
    <col min="54" max="55" width="13.28125" style="0" hidden="1" customWidth="1"/>
    <col min="56" max="56" width="5.7109375" style="0" hidden="1" customWidth="1"/>
    <col min="57" max="58" width="13.28125" style="0" hidden="1" customWidth="1"/>
    <col min="59" max="59" width="5.7109375" style="0" hidden="1" customWidth="1"/>
    <col min="60" max="61" width="13.28125" style="0" hidden="1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7" ht="15.75" customHeight="1">
      <c r="A4" s="6" t="s">
        <v>2</v>
      </c>
      <c r="B4" s="5"/>
      <c r="C4" s="4" t="s">
        <v>135</v>
      </c>
      <c r="D4" s="4"/>
      <c r="E4" s="10"/>
      <c r="F4" s="4" t="s">
        <v>136</v>
      </c>
      <c r="G4" s="4"/>
      <c r="H4" s="10"/>
      <c r="I4" s="4" t="s">
        <v>137</v>
      </c>
      <c r="J4" s="4"/>
      <c r="K4" s="10"/>
      <c r="L4" s="4" t="s">
        <v>138</v>
      </c>
      <c r="M4" s="4"/>
      <c r="N4" s="10"/>
      <c r="O4" s="4" t="s">
        <v>139</v>
      </c>
      <c r="P4" s="4"/>
      <c r="Q4" s="10"/>
      <c r="R4" s="4" t="s">
        <v>140</v>
      </c>
      <c r="S4" s="4"/>
      <c r="T4" s="10"/>
      <c r="U4" s="4" t="s">
        <v>141</v>
      </c>
      <c r="V4" s="4"/>
      <c r="W4" s="10"/>
      <c r="X4" s="4" t="s">
        <v>142</v>
      </c>
      <c r="Y4" s="4"/>
      <c r="Z4" s="10"/>
      <c r="AA4" s="4" t="s">
        <v>143</v>
      </c>
      <c r="AB4" s="4"/>
      <c r="AC4" s="10"/>
      <c r="AD4" s="4" t="s">
        <v>144</v>
      </c>
      <c r="AE4" s="4"/>
      <c r="AF4" s="10"/>
      <c r="AG4" s="4" t="s">
        <v>145</v>
      </c>
      <c r="AH4" s="4"/>
      <c r="AI4" s="10"/>
      <c r="AJ4" s="4" t="s">
        <v>146</v>
      </c>
      <c r="AK4" s="4"/>
      <c r="AL4" s="10"/>
      <c r="AM4" s="4" t="s">
        <v>147</v>
      </c>
      <c r="AN4" s="4"/>
      <c r="AO4" s="10"/>
      <c r="AP4" s="4" t="s">
        <v>148</v>
      </c>
      <c r="AQ4" s="4"/>
      <c r="AR4" s="10"/>
      <c r="AS4" s="4" t="s">
        <v>149</v>
      </c>
      <c r="AT4" s="4"/>
      <c r="AU4" s="10"/>
      <c r="AV4" s="4" t="s">
        <v>150</v>
      </c>
      <c r="AW4" s="4"/>
      <c r="AX4" s="10"/>
      <c r="AY4" s="4" t="s">
        <v>151</v>
      </c>
      <c r="AZ4" s="4"/>
      <c r="BA4" s="10"/>
      <c r="BB4" s="4" t="s">
        <v>152</v>
      </c>
      <c r="BC4" s="4"/>
      <c r="BD4" s="10"/>
      <c r="BE4" s="4" t="s">
        <v>153</v>
      </c>
      <c r="BF4" s="4"/>
      <c r="BG4" s="10"/>
      <c r="BH4" s="4" t="s">
        <v>154</v>
      </c>
      <c r="BI4" s="4"/>
      <c r="BJ4" s="26"/>
      <c r="BK4" s="4" t="s">
        <v>155</v>
      </c>
      <c r="BL4" s="4"/>
      <c r="BM4" s="26"/>
      <c r="BN4" s="4" t="s">
        <v>3</v>
      </c>
      <c r="BO4" s="4"/>
    </row>
    <row r="5" spans="1:67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105"/>
      <c r="BO5" s="105"/>
    </row>
    <row r="6" spans="1:67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64"/>
      <c r="BO6" s="64"/>
    </row>
    <row r="7" spans="1:67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65" t="s">
        <v>5</v>
      </c>
      <c r="BO7" s="65" t="s">
        <v>5</v>
      </c>
    </row>
    <row r="8" spans="1:67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65" t="s">
        <v>8</v>
      </c>
      <c r="BO8" s="65" t="s">
        <v>9</v>
      </c>
    </row>
    <row r="9" spans="1:67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65" t="s">
        <v>7</v>
      </c>
      <c r="BO9" s="65" t="s">
        <v>11</v>
      </c>
    </row>
    <row r="10" spans="1:67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65" t="s">
        <v>10</v>
      </c>
      <c r="BO10" s="65" t="s">
        <v>12</v>
      </c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66"/>
      <c r="BO11" s="66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64"/>
      <c r="BO12" s="64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7" ht="15.75" customHeight="1">
      <c r="A13" s="16">
        <v>1</v>
      </c>
      <c r="B13" s="17" t="s">
        <v>14</v>
      </c>
      <c r="C13" s="31">
        <v>121.89</v>
      </c>
      <c r="D13" s="32">
        <v>75.8</v>
      </c>
      <c r="E13" s="5"/>
      <c r="F13" s="31">
        <v>121.97</v>
      </c>
      <c r="G13" s="32">
        <v>75.53</v>
      </c>
      <c r="H13" s="5"/>
      <c r="I13" s="31">
        <v>121.72</v>
      </c>
      <c r="J13" s="32">
        <v>75.47</v>
      </c>
      <c r="K13" s="5"/>
      <c r="L13" s="31">
        <v>121.26</v>
      </c>
      <c r="M13" s="32">
        <v>75.8</v>
      </c>
      <c r="N13" s="5"/>
      <c r="O13" s="31">
        <v>121.28</v>
      </c>
      <c r="P13" s="32">
        <v>75.96</v>
      </c>
      <c r="Q13" s="5"/>
      <c r="R13" s="31">
        <v>121.21</v>
      </c>
      <c r="S13" s="32">
        <v>76.45</v>
      </c>
      <c r="T13" s="5"/>
      <c r="U13" s="31">
        <v>121.66</v>
      </c>
      <c r="V13" s="32">
        <v>76.46</v>
      </c>
      <c r="W13" s="5"/>
      <c r="X13" s="31">
        <v>121.81</v>
      </c>
      <c r="Y13" s="32">
        <v>76.35</v>
      </c>
      <c r="Z13" s="5"/>
      <c r="AA13" s="31">
        <v>122.32</v>
      </c>
      <c r="AB13" s="32">
        <v>75.82</v>
      </c>
      <c r="AC13" s="5"/>
      <c r="AD13" s="31">
        <v>122.93</v>
      </c>
      <c r="AE13" s="32">
        <v>74.87</v>
      </c>
      <c r="AF13" s="5"/>
      <c r="AG13" s="31">
        <v>123.44</v>
      </c>
      <c r="AH13" s="32">
        <v>74.38</v>
      </c>
      <c r="AI13" s="5"/>
      <c r="AJ13" s="31">
        <v>123.39</v>
      </c>
      <c r="AK13" s="32">
        <v>74.49</v>
      </c>
      <c r="AL13" s="5"/>
      <c r="AM13" s="31">
        <v>123.67</v>
      </c>
      <c r="AN13" s="32">
        <v>74.31</v>
      </c>
      <c r="AO13" s="5"/>
      <c r="AP13" s="31">
        <v>123.37</v>
      </c>
      <c r="AQ13" s="32">
        <v>74.15</v>
      </c>
      <c r="AR13" s="5"/>
      <c r="AS13" s="31">
        <v>123.6</v>
      </c>
      <c r="AT13" s="32">
        <v>73.89</v>
      </c>
      <c r="AU13" s="5"/>
      <c r="AV13" s="31">
        <v>123.98</v>
      </c>
      <c r="AW13" s="32">
        <v>73.47</v>
      </c>
      <c r="AX13" s="5"/>
      <c r="AY13" s="31">
        <v>123.45</v>
      </c>
      <c r="AZ13" s="32">
        <v>73.57</v>
      </c>
      <c r="BA13" s="5"/>
      <c r="BB13" s="31">
        <v>122.85</v>
      </c>
      <c r="BC13" s="32">
        <v>74.03</v>
      </c>
      <c r="BD13" s="5"/>
      <c r="BE13" s="31">
        <v>122.52</v>
      </c>
      <c r="BF13" s="32">
        <v>74.2</v>
      </c>
      <c r="BG13" s="5"/>
      <c r="BH13" s="31">
        <v>123.09</v>
      </c>
      <c r="BI13" s="32">
        <v>73.46</v>
      </c>
      <c r="BJ13" s="5"/>
      <c r="BK13" s="31">
        <v>123.42</v>
      </c>
      <c r="BL13" s="32">
        <v>73.34</v>
      </c>
      <c r="BM13" s="5"/>
      <c r="BN13" s="45">
        <v>122.61095238095238</v>
      </c>
      <c r="BO13" s="46">
        <v>74.84761904761905</v>
      </c>
    </row>
    <row r="14" spans="1:67" ht="15.75" customHeight="1">
      <c r="A14" s="16">
        <v>2</v>
      </c>
      <c r="B14" s="17" t="s">
        <v>15</v>
      </c>
      <c r="C14" s="31">
        <f>1/1.9776</f>
        <v>0.5056634304207119</v>
      </c>
      <c r="D14" s="32">
        <v>182.72</v>
      </c>
      <c r="E14" s="5"/>
      <c r="F14" s="31">
        <f>1/1.9866</f>
        <v>0.5033725963958522</v>
      </c>
      <c r="G14" s="32">
        <v>183.01</v>
      </c>
      <c r="H14" s="5"/>
      <c r="I14" s="31">
        <f>1/1.994</f>
        <v>0.5015045135406219</v>
      </c>
      <c r="J14" s="32">
        <v>183.16</v>
      </c>
      <c r="K14" s="5"/>
      <c r="L14" s="31">
        <f>1/1.9914</f>
        <v>0.5021592849251783</v>
      </c>
      <c r="M14" s="32">
        <v>183.05</v>
      </c>
      <c r="N14" s="5"/>
      <c r="O14" s="31">
        <f>1/1.9922</f>
        <v>0.5019576347756249</v>
      </c>
      <c r="P14" s="32">
        <v>183.53</v>
      </c>
      <c r="Q14" s="5"/>
      <c r="R14" s="31">
        <f>1/1.9658</f>
        <v>0.5086987486010784</v>
      </c>
      <c r="S14" s="32">
        <v>182.16</v>
      </c>
      <c r="T14" s="5"/>
      <c r="U14" s="31">
        <f>1/1.9671</f>
        <v>0.5083625641807737</v>
      </c>
      <c r="V14" s="32">
        <v>182.99</v>
      </c>
      <c r="W14" s="5"/>
      <c r="X14" s="31">
        <f>1/1.9721</f>
        <v>0.5070736778053851</v>
      </c>
      <c r="Y14" s="32">
        <v>183.4</v>
      </c>
      <c r="Z14" s="5"/>
      <c r="AA14" s="31">
        <f>1/1.9705</f>
        <v>0.5074854097944684</v>
      </c>
      <c r="AB14" s="32">
        <v>182.76</v>
      </c>
      <c r="AC14" s="5"/>
      <c r="AD14" s="31">
        <f>1/1.9706</f>
        <v>0.5074596569572719</v>
      </c>
      <c r="AE14" s="32">
        <v>181.37</v>
      </c>
      <c r="AF14" s="5"/>
      <c r="AG14" s="31">
        <f>1/1.9703</f>
        <v>0.507536923311171</v>
      </c>
      <c r="AH14" s="32">
        <v>180.91</v>
      </c>
      <c r="AI14" s="5"/>
      <c r="AJ14" s="31">
        <f>1/1.9822</f>
        <v>0.5044899606497831</v>
      </c>
      <c r="AK14" s="32">
        <v>182.19</v>
      </c>
      <c r="AL14" s="5"/>
      <c r="AM14" s="31">
        <f>1/1.9833</f>
        <v>0.5042101547925175</v>
      </c>
      <c r="AN14" s="32">
        <v>182.25</v>
      </c>
      <c r="AO14" s="5"/>
      <c r="AP14" s="31">
        <f>1/1.9913</f>
        <v>0.5021845025862501</v>
      </c>
      <c r="AQ14" s="32">
        <v>182.16</v>
      </c>
      <c r="AR14" s="5"/>
      <c r="AS14" s="31">
        <f>1/1.9909</f>
        <v>0.5022853985634638</v>
      </c>
      <c r="AT14" s="32">
        <v>181.83</v>
      </c>
      <c r="AU14" s="5"/>
      <c r="AV14" s="31">
        <f>1/1.9961</f>
        <v>0.5009769049646812</v>
      </c>
      <c r="AW14" s="32">
        <v>181.82</v>
      </c>
      <c r="AX14" s="5"/>
      <c r="AY14" s="31">
        <f>1/1.9999</f>
        <v>0.5000250012500626</v>
      </c>
      <c r="AZ14" s="32">
        <v>181.64</v>
      </c>
      <c r="BA14" s="5"/>
      <c r="BB14" s="31">
        <f>1/1.9971</f>
        <v>0.5007260527765259</v>
      </c>
      <c r="BC14" s="32">
        <v>181.63</v>
      </c>
      <c r="BD14" s="5"/>
      <c r="BE14" s="31">
        <f>1/1.9948</f>
        <v>0.5013033888109084</v>
      </c>
      <c r="BF14" s="32">
        <v>181.33</v>
      </c>
      <c r="BG14" s="5"/>
      <c r="BH14" s="31">
        <f>1/2.0016</f>
        <v>0.49960031974420466</v>
      </c>
      <c r="BI14" s="32">
        <v>180.98</v>
      </c>
      <c r="BJ14" s="5"/>
      <c r="BK14" s="31">
        <f>1/2.0023</f>
        <v>0.499425660490436</v>
      </c>
      <c r="BL14" s="32">
        <v>181.25</v>
      </c>
      <c r="BM14" s="5"/>
      <c r="BN14" s="45">
        <v>0.5036429421589034</v>
      </c>
      <c r="BO14" s="46">
        <v>182.19714285714286</v>
      </c>
    </row>
    <row r="15" spans="1:67" ht="15.75" customHeight="1">
      <c r="A15" s="16">
        <v>3</v>
      </c>
      <c r="B15" s="17" t="s">
        <v>16</v>
      </c>
      <c r="C15" s="31">
        <v>1.2286</v>
      </c>
      <c r="D15" s="32">
        <v>75.2</v>
      </c>
      <c r="E15" s="5"/>
      <c r="F15" s="31">
        <v>1.2262</v>
      </c>
      <c r="G15" s="32">
        <v>75.13</v>
      </c>
      <c r="H15" s="5"/>
      <c r="I15" s="31">
        <v>1.2213</v>
      </c>
      <c r="J15" s="32">
        <v>75.21</v>
      </c>
      <c r="K15" s="5"/>
      <c r="L15" s="31">
        <v>1.2178</v>
      </c>
      <c r="M15" s="32">
        <v>75.48</v>
      </c>
      <c r="N15" s="5"/>
      <c r="O15" s="31">
        <v>1.2218</v>
      </c>
      <c r="P15" s="32">
        <v>75.4</v>
      </c>
      <c r="Q15" s="5"/>
      <c r="R15" s="31">
        <v>1.2306</v>
      </c>
      <c r="S15" s="32">
        <v>75.3</v>
      </c>
      <c r="T15" s="5"/>
      <c r="U15" s="31">
        <v>1.2375</v>
      </c>
      <c r="V15" s="32">
        <v>75.17</v>
      </c>
      <c r="W15" s="5"/>
      <c r="X15" s="31">
        <v>1.2401</v>
      </c>
      <c r="Y15" s="32">
        <v>74.99</v>
      </c>
      <c r="Z15" s="5"/>
      <c r="AA15" s="31">
        <v>1.2456</v>
      </c>
      <c r="AB15" s="32">
        <v>74.46</v>
      </c>
      <c r="AC15" s="5"/>
      <c r="AD15" s="31">
        <v>1.2438</v>
      </c>
      <c r="AE15" s="32">
        <v>74</v>
      </c>
      <c r="AF15" s="5"/>
      <c r="AG15" s="31">
        <v>1.2449</v>
      </c>
      <c r="AH15" s="32">
        <v>73.76</v>
      </c>
      <c r="AI15" s="5"/>
      <c r="AJ15" s="31">
        <v>1.24</v>
      </c>
      <c r="AK15" s="32">
        <v>74.12</v>
      </c>
      <c r="AL15" s="5"/>
      <c r="AM15" s="31">
        <v>1.2425</v>
      </c>
      <c r="AN15" s="32">
        <v>73.96</v>
      </c>
      <c r="AO15" s="5"/>
      <c r="AP15" s="31">
        <v>1.2375</v>
      </c>
      <c r="AQ15" s="32">
        <v>73.92</v>
      </c>
      <c r="AR15" s="5"/>
      <c r="AS15" s="31">
        <v>1.2411</v>
      </c>
      <c r="AT15" s="32">
        <v>73.59</v>
      </c>
      <c r="AU15" s="5"/>
      <c r="AV15" s="31">
        <v>1.2339</v>
      </c>
      <c r="AW15" s="32">
        <v>73.82</v>
      </c>
      <c r="AX15" s="5"/>
      <c r="AY15" s="31">
        <v>1.2275</v>
      </c>
      <c r="AZ15" s="32">
        <v>73.99</v>
      </c>
      <c r="BA15" s="5"/>
      <c r="BB15" s="31">
        <v>1.2293</v>
      </c>
      <c r="BC15" s="32">
        <v>73.98</v>
      </c>
      <c r="BD15" s="5"/>
      <c r="BE15" s="31">
        <v>1.2292</v>
      </c>
      <c r="BF15" s="32">
        <v>73.95</v>
      </c>
      <c r="BG15" s="5"/>
      <c r="BH15" s="31">
        <v>1.2283</v>
      </c>
      <c r="BI15" s="32">
        <v>73.61</v>
      </c>
      <c r="BJ15" s="5"/>
      <c r="BK15" s="31">
        <v>1.2301</v>
      </c>
      <c r="BL15" s="32">
        <v>73.59</v>
      </c>
      <c r="BM15" s="5"/>
      <c r="BN15" s="45">
        <v>1.2332190476190474</v>
      </c>
      <c r="BO15" s="46">
        <v>74.41095238095238</v>
      </c>
    </row>
    <row r="16" spans="1:67" ht="15.75" customHeight="1">
      <c r="A16" s="16">
        <v>4</v>
      </c>
      <c r="B16" s="17" t="s">
        <v>17</v>
      </c>
      <c r="C16" s="31">
        <f>1/1.3435</f>
        <v>0.744324525493115</v>
      </c>
      <c r="D16" s="32">
        <v>124.19</v>
      </c>
      <c r="E16" s="5"/>
      <c r="F16" s="31">
        <f>1/1.3463</f>
        <v>0.7427764985515858</v>
      </c>
      <c r="G16" s="32">
        <v>123.93</v>
      </c>
      <c r="H16" s="5"/>
      <c r="I16" s="31">
        <f>1/1.3507</f>
        <v>0.7403568520026653</v>
      </c>
      <c r="J16" s="32">
        <v>124.08</v>
      </c>
      <c r="K16" s="5"/>
      <c r="L16" s="31">
        <f>1/1.3522</f>
        <v>0.7395355716609968</v>
      </c>
      <c r="M16" s="32">
        <v>124.22</v>
      </c>
      <c r="N16" s="5"/>
      <c r="O16" s="31">
        <f>1/1.3492</f>
        <v>0.7411799584939224</v>
      </c>
      <c r="P16" s="32">
        <v>124.3</v>
      </c>
      <c r="Q16" s="5"/>
      <c r="R16" s="31">
        <f>1/1.3362</f>
        <v>0.74839095943721</v>
      </c>
      <c r="S16" s="32">
        <v>124.12</v>
      </c>
      <c r="T16" s="5"/>
      <c r="U16" s="31">
        <f>1/1.3348</f>
        <v>0.7491759065028468</v>
      </c>
      <c r="V16" s="32">
        <v>124.19</v>
      </c>
      <c r="W16" s="5"/>
      <c r="X16" s="31">
        <f>1/1.3346</f>
        <v>0.749288176232579</v>
      </c>
      <c r="Y16" s="32">
        <v>124.16</v>
      </c>
      <c r="Z16" s="5"/>
      <c r="AA16" s="31">
        <f>1/1.3277</f>
        <v>0.7531821947729155</v>
      </c>
      <c r="AB16" s="32">
        <v>123.21</v>
      </c>
      <c r="AC16" s="5"/>
      <c r="AD16" s="31">
        <f>1/1.3308</f>
        <v>0.7514277126540427</v>
      </c>
      <c r="AE16" s="32">
        <v>122.44</v>
      </c>
      <c r="AF16" s="5"/>
      <c r="AG16" s="31">
        <f>1/1.331</f>
        <v>0.7513148009015778</v>
      </c>
      <c r="AH16" s="32">
        <v>122.2</v>
      </c>
      <c r="AI16" s="5"/>
      <c r="AJ16" s="31">
        <f>1/1.3405</f>
        <v>0.7459903021260723</v>
      </c>
      <c r="AK16" s="32">
        <v>123.16</v>
      </c>
      <c r="AL16" s="5"/>
      <c r="AM16" s="31">
        <f>1/1.3387</f>
        <v>0.7469933517591694</v>
      </c>
      <c r="AN16" s="32">
        <v>123.02</v>
      </c>
      <c r="AO16" s="5"/>
      <c r="AP16" s="31">
        <f>1/1.3426</f>
        <v>0.7448234768359898</v>
      </c>
      <c r="AQ16" s="32">
        <v>122.69</v>
      </c>
      <c r="AR16" s="5"/>
      <c r="AS16" s="31">
        <f>1/1.3383</f>
        <v>0.7472166180975864</v>
      </c>
      <c r="AT16" s="32">
        <v>122.23</v>
      </c>
      <c r="AU16" s="5"/>
      <c r="AV16" s="31">
        <f>1/1.3429</f>
        <v>0.7446570854121677</v>
      </c>
      <c r="AW16" s="32">
        <v>122.19</v>
      </c>
      <c r="AX16" s="5"/>
      <c r="AY16" s="31">
        <f>1/1.346</f>
        <v>0.7429420505200593</v>
      </c>
      <c r="AZ16" s="32">
        <v>122.18</v>
      </c>
      <c r="BA16" s="5"/>
      <c r="BB16" s="31">
        <f>1/1.3443</f>
        <v>0.7438815740534107</v>
      </c>
      <c r="BC16" s="32">
        <v>122.26</v>
      </c>
      <c r="BD16" s="5"/>
      <c r="BE16" s="31">
        <f>1/1.3437</f>
        <v>0.744213738185607</v>
      </c>
      <c r="BF16" s="32">
        <v>122.04</v>
      </c>
      <c r="BG16" s="5"/>
      <c r="BH16" s="31">
        <f>1/1.3462</f>
        <v>0.7428316743425939</v>
      </c>
      <c r="BI16" s="32">
        <v>121.68</v>
      </c>
      <c r="BJ16" s="5"/>
      <c r="BK16" s="31">
        <f>1/1.3466</f>
        <v>0.7426110203475419</v>
      </c>
      <c r="BL16" s="32">
        <v>121.83</v>
      </c>
      <c r="BM16" s="5"/>
      <c r="BN16" s="45">
        <v>0.7455768594468408</v>
      </c>
      <c r="BO16" s="46">
        <v>123.06285714285715</v>
      </c>
    </row>
    <row r="17" spans="1:67" ht="15.75" customHeight="1">
      <c r="A17" s="16">
        <v>5</v>
      </c>
      <c r="B17" s="17" t="s">
        <v>18</v>
      </c>
      <c r="C17" s="31">
        <v>661.85</v>
      </c>
      <c r="D17" s="32">
        <v>61152.46</v>
      </c>
      <c r="E17" s="5"/>
      <c r="F17" s="31">
        <v>671.1</v>
      </c>
      <c r="G17" s="32">
        <v>61824.25</v>
      </c>
      <c r="H17" s="5"/>
      <c r="I17" s="31">
        <v>670.3</v>
      </c>
      <c r="J17" s="32">
        <v>61571.24</v>
      </c>
      <c r="K17" s="5"/>
      <c r="L17" s="31">
        <v>669.35</v>
      </c>
      <c r="M17" s="32">
        <v>61525.4</v>
      </c>
      <c r="N17" s="5"/>
      <c r="O17" s="31">
        <v>670</v>
      </c>
      <c r="P17" s="32">
        <v>61721.66</v>
      </c>
      <c r="Q17" s="5"/>
      <c r="R17" s="31">
        <v>654.95</v>
      </c>
      <c r="S17" s="32">
        <v>60690.94</v>
      </c>
      <c r="T17" s="5"/>
      <c r="U17" s="31">
        <v>652.75</v>
      </c>
      <c r="V17" s="32">
        <v>60722.07</v>
      </c>
      <c r="W17" s="5"/>
      <c r="X17" s="31">
        <v>652.05</v>
      </c>
      <c r="Y17" s="32">
        <v>60639.83</v>
      </c>
      <c r="Z17" s="5"/>
      <c r="AA17" s="31">
        <v>643.7</v>
      </c>
      <c r="AB17" s="32">
        <v>59700.36</v>
      </c>
      <c r="AC17" s="5"/>
      <c r="AD17" s="31">
        <v>650.75</v>
      </c>
      <c r="AE17" s="32">
        <v>59893.4</v>
      </c>
      <c r="AF17" s="5"/>
      <c r="AG17" s="31">
        <v>650.3</v>
      </c>
      <c r="AH17" s="32">
        <v>59710.55</v>
      </c>
      <c r="AI17" s="5"/>
      <c r="AJ17" s="31">
        <v>657.6</v>
      </c>
      <c r="AK17" s="32">
        <v>60442.07</v>
      </c>
      <c r="AL17" s="5"/>
      <c r="AM17" s="31">
        <v>654.7</v>
      </c>
      <c r="AN17" s="32">
        <v>60162.84</v>
      </c>
      <c r="AO17" s="5"/>
      <c r="AP17" s="31">
        <v>659.5</v>
      </c>
      <c r="AQ17" s="32">
        <v>60329.82</v>
      </c>
      <c r="AR17" s="5"/>
      <c r="AS17" s="31">
        <v>654.55</v>
      </c>
      <c r="AT17" s="32">
        <v>59779.23</v>
      </c>
      <c r="AU17" s="5"/>
      <c r="AV17" s="31">
        <v>651.6</v>
      </c>
      <c r="AW17" s="32">
        <v>59352.62</v>
      </c>
      <c r="AX17" s="5"/>
      <c r="AY17" s="31">
        <v>650.95</v>
      </c>
      <c r="AZ17" s="32">
        <v>59121.31</v>
      </c>
      <c r="BA17" s="5"/>
      <c r="BB17" s="31">
        <v>649.3</v>
      </c>
      <c r="BC17" s="32">
        <v>59050.99</v>
      </c>
      <c r="BD17" s="5"/>
      <c r="BE17" s="31">
        <v>642</v>
      </c>
      <c r="BF17" s="32">
        <v>58360.21</v>
      </c>
      <c r="BG17" s="5"/>
      <c r="BH17" s="31">
        <v>645.85</v>
      </c>
      <c r="BI17" s="32">
        <v>58397.76</v>
      </c>
      <c r="BJ17" s="5"/>
      <c r="BK17" s="31">
        <v>648.35</v>
      </c>
      <c r="BL17" s="32">
        <v>58689.86</v>
      </c>
      <c r="BM17" s="5"/>
      <c r="BN17" s="45">
        <v>655.3095238095239</v>
      </c>
      <c r="BO17" s="46">
        <v>60135.18428571429</v>
      </c>
    </row>
    <row r="18" spans="1:67" ht="15.75" customHeight="1">
      <c r="A18" s="16">
        <v>6</v>
      </c>
      <c r="B18" s="20" t="s">
        <v>19</v>
      </c>
      <c r="C18" s="31">
        <v>13.46</v>
      </c>
      <c r="D18" s="32">
        <v>1243.65</v>
      </c>
      <c r="E18" s="5"/>
      <c r="F18" s="31">
        <v>13.67</v>
      </c>
      <c r="G18" s="32">
        <v>1259.33</v>
      </c>
      <c r="H18" s="5"/>
      <c r="I18" s="31">
        <v>13.67</v>
      </c>
      <c r="J18" s="32">
        <v>1255.67</v>
      </c>
      <c r="K18" s="5"/>
      <c r="L18" s="31">
        <v>13.67</v>
      </c>
      <c r="M18" s="32">
        <v>1256.52</v>
      </c>
      <c r="N18" s="5"/>
      <c r="O18" s="31">
        <v>13.66</v>
      </c>
      <c r="P18" s="32">
        <v>1258.38</v>
      </c>
      <c r="Q18" s="5"/>
      <c r="R18" s="31">
        <v>13.3</v>
      </c>
      <c r="S18" s="32">
        <v>1232.44</v>
      </c>
      <c r="T18" s="5"/>
      <c r="U18" s="31">
        <v>13.18</v>
      </c>
      <c r="V18" s="32">
        <v>1226.07</v>
      </c>
      <c r="W18" s="5"/>
      <c r="X18" s="31">
        <v>13.11</v>
      </c>
      <c r="Y18" s="32">
        <v>1219.21</v>
      </c>
      <c r="Z18" s="5"/>
      <c r="AA18" s="31">
        <v>12.83</v>
      </c>
      <c r="AB18" s="32">
        <v>1189.93</v>
      </c>
      <c r="AC18" s="5"/>
      <c r="AD18" s="31">
        <v>13.08</v>
      </c>
      <c r="AE18" s="32">
        <v>1203.85</v>
      </c>
      <c r="AF18" s="5"/>
      <c r="AG18" s="31">
        <v>13.05</v>
      </c>
      <c r="AH18" s="32">
        <v>1198.25</v>
      </c>
      <c r="AI18" s="5"/>
      <c r="AJ18" s="31">
        <v>13.3</v>
      </c>
      <c r="AK18" s="32">
        <v>1222.44</v>
      </c>
      <c r="AL18" s="5"/>
      <c r="AM18" s="31">
        <v>13.16</v>
      </c>
      <c r="AN18" s="32">
        <v>1209.32</v>
      </c>
      <c r="AO18" s="5"/>
      <c r="AP18" s="31">
        <v>13.25</v>
      </c>
      <c r="AQ18" s="32">
        <v>1212.09</v>
      </c>
      <c r="AR18" s="5"/>
      <c r="AS18" s="31">
        <v>13.15</v>
      </c>
      <c r="AT18" s="32">
        <v>1200.97</v>
      </c>
      <c r="AU18" s="5"/>
      <c r="AV18" s="31">
        <v>13.08</v>
      </c>
      <c r="AW18" s="32">
        <v>1191.42</v>
      </c>
      <c r="AX18" s="5"/>
      <c r="AY18" s="31">
        <v>12.97</v>
      </c>
      <c r="AZ18" s="32">
        <v>1177.98</v>
      </c>
      <c r="BA18" s="5"/>
      <c r="BB18" s="31">
        <v>12.79</v>
      </c>
      <c r="BC18" s="32">
        <v>1163.19</v>
      </c>
      <c r="BD18" s="5"/>
      <c r="BE18" s="31">
        <v>12.265</v>
      </c>
      <c r="BF18" s="32">
        <v>1114.93</v>
      </c>
      <c r="BG18" s="5"/>
      <c r="BH18" s="31">
        <v>12.44</v>
      </c>
      <c r="BI18" s="32">
        <v>1124.82</v>
      </c>
      <c r="BJ18" s="5"/>
      <c r="BK18" s="31">
        <v>12.48</v>
      </c>
      <c r="BL18" s="32">
        <v>1129.71</v>
      </c>
      <c r="BM18" s="5"/>
      <c r="BN18" s="45">
        <v>13.12214285714286</v>
      </c>
      <c r="BO18" s="46">
        <v>1204.2938095238094</v>
      </c>
    </row>
    <row r="19" spans="1:67" ht="15.75" customHeight="1">
      <c r="A19" s="16">
        <v>7</v>
      </c>
      <c r="B19" s="17" t="s">
        <v>20</v>
      </c>
      <c r="C19" s="31">
        <f>1/0.828</f>
        <v>1.2077294685990339</v>
      </c>
      <c r="D19" s="32">
        <v>76.5</v>
      </c>
      <c r="E19" s="5"/>
      <c r="F19" s="31">
        <f>1/0.8327</f>
        <v>1.200912693647172</v>
      </c>
      <c r="G19" s="32">
        <v>76.71</v>
      </c>
      <c r="H19" s="5"/>
      <c r="I19" s="31">
        <f>1/0.8377</f>
        <v>1.193744777366599</v>
      </c>
      <c r="J19" s="32">
        <v>76.95</v>
      </c>
      <c r="K19" s="5"/>
      <c r="L19" s="31">
        <f>1/0.8415</f>
        <v>1.1883541295306002</v>
      </c>
      <c r="M19" s="32">
        <v>77.35</v>
      </c>
      <c r="N19" s="5"/>
      <c r="O19" s="31">
        <f>1/0.8471</f>
        <v>1.180498170227836</v>
      </c>
      <c r="P19" s="32">
        <v>78.04</v>
      </c>
      <c r="Q19" s="5"/>
      <c r="R19" s="31">
        <f>1/0.839</f>
        <v>1.1918951132300357</v>
      </c>
      <c r="S19" s="32">
        <v>77.75</v>
      </c>
      <c r="T19" s="5"/>
      <c r="U19" s="31">
        <f>1/0.8437</f>
        <v>1.185255422543558</v>
      </c>
      <c r="V19" s="32">
        <v>78.49</v>
      </c>
      <c r="W19" s="5"/>
      <c r="X19" s="31">
        <f>1/0.8421</f>
        <v>1.187507421921387</v>
      </c>
      <c r="Y19" s="32">
        <v>78.31</v>
      </c>
      <c r="Z19" s="5"/>
      <c r="AA19" s="31">
        <f>1/0.8387</f>
        <v>1.1923214498628831</v>
      </c>
      <c r="AB19" s="32">
        <v>77.79</v>
      </c>
      <c r="AC19" s="5"/>
      <c r="AD19" s="31">
        <f>1/0.8382</f>
        <v>1.1930326890956813</v>
      </c>
      <c r="AE19" s="32">
        <v>77.15</v>
      </c>
      <c r="AF19" s="5"/>
      <c r="AG19" s="31">
        <f>1/0.8363</f>
        <v>1.195743154370441</v>
      </c>
      <c r="AH19" s="32">
        <v>76.79</v>
      </c>
      <c r="AI19" s="5"/>
      <c r="AJ19" s="31">
        <f>1/0.8425</f>
        <v>1.1869436201780414</v>
      </c>
      <c r="AK19" s="32">
        <v>77.44</v>
      </c>
      <c r="AL19" s="5"/>
      <c r="AM19" s="31">
        <f>1/0.842</f>
        <v>1.187648456057007</v>
      </c>
      <c r="AN19" s="32">
        <v>77.37</v>
      </c>
      <c r="AO19" s="5"/>
      <c r="AP19" s="31">
        <f>1/0.8468</f>
        <v>1.1809163911195086</v>
      </c>
      <c r="AQ19" s="32">
        <v>77.46</v>
      </c>
      <c r="AR19" s="5"/>
      <c r="AS19" s="31">
        <f>1/0.8457</f>
        <v>1.1824524062906467</v>
      </c>
      <c r="AT19" s="32">
        <v>77.24</v>
      </c>
      <c r="AU19" s="5"/>
      <c r="AV19" s="31">
        <f>1/0.8485</f>
        <v>1.1785503830288744</v>
      </c>
      <c r="AW19" s="32">
        <v>77.29</v>
      </c>
      <c r="AX19" s="5"/>
      <c r="AY19" s="31">
        <f>1/0.8481</f>
        <v>1.1791062374719963</v>
      </c>
      <c r="AZ19" s="32">
        <v>77.03</v>
      </c>
      <c r="BA19" s="5"/>
      <c r="BB19" s="31">
        <f>1/0.8471</f>
        <v>1.180498170227836</v>
      </c>
      <c r="BC19" s="32">
        <v>77.04</v>
      </c>
      <c r="BD19" s="5"/>
      <c r="BE19" s="31">
        <f>1/0.8393</f>
        <v>1.191469081377338</v>
      </c>
      <c r="BF19" s="32">
        <v>76.3</v>
      </c>
      <c r="BG19" s="5"/>
      <c r="BH19" s="31">
        <f>1/0.8448</f>
        <v>1.1837121212121213</v>
      </c>
      <c r="BI19" s="32">
        <v>76.39</v>
      </c>
      <c r="BJ19" s="18"/>
      <c r="BK19" s="31">
        <f>1/0.85</f>
        <v>1.1764705882352942</v>
      </c>
      <c r="BL19" s="32">
        <v>76.94</v>
      </c>
      <c r="BM19" s="18"/>
      <c r="BN19" s="45">
        <v>1.1878458069330422</v>
      </c>
      <c r="BO19" s="46">
        <v>77.25380952380951</v>
      </c>
    </row>
    <row r="20" spans="1:67" ht="15.75" customHeight="1">
      <c r="A20" s="16">
        <v>8</v>
      </c>
      <c r="B20" s="17" t="s">
        <v>21</v>
      </c>
      <c r="C20" s="31">
        <v>1.0691</v>
      </c>
      <c r="D20" s="32">
        <v>86.42</v>
      </c>
      <c r="E20" s="5"/>
      <c r="F20" s="31">
        <v>1.0561</v>
      </c>
      <c r="G20" s="32">
        <v>87.23</v>
      </c>
      <c r="H20" s="5"/>
      <c r="I20" s="31">
        <v>1.0584</v>
      </c>
      <c r="J20" s="32">
        <v>86.79</v>
      </c>
      <c r="K20" s="5"/>
      <c r="L20" s="31">
        <v>1.0608</v>
      </c>
      <c r="M20" s="32">
        <v>86.65</v>
      </c>
      <c r="N20" s="5"/>
      <c r="O20" s="31">
        <v>1.059</v>
      </c>
      <c r="P20" s="32">
        <v>86.99</v>
      </c>
      <c r="Q20" s="5"/>
      <c r="R20" s="31">
        <v>1.0654</v>
      </c>
      <c r="S20" s="32">
        <v>86.98</v>
      </c>
      <c r="T20" s="5"/>
      <c r="U20" s="31">
        <v>1.0621</v>
      </c>
      <c r="V20" s="32">
        <v>87.59</v>
      </c>
      <c r="W20" s="5"/>
      <c r="X20" s="31">
        <v>1.0611</v>
      </c>
      <c r="Y20" s="32">
        <v>87.64</v>
      </c>
      <c r="Z20" s="5"/>
      <c r="AA20" s="31">
        <v>1.072</v>
      </c>
      <c r="AB20" s="32">
        <v>86.52</v>
      </c>
      <c r="AC20" s="5"/>
      <c r="AD20" s="31">
        <v>1.065</v>
      </c>
      <c r="AE20" s="32">
        <v>86.42</v>
      </c>
      <c r="AF20" s="5"/>
      <c r="AG20" s="31">
        <v>1.0658</v>
      </c>
      <c r="AH20" s="32">
        <v>86.15</v>
      </c>
      <c r="AI20" s="5"/>
      <c r="AJ20" s="31">
        <v>1.0695</v>
      </c>
      <c r="AK20" s="32">
        <v>85.94</v>
      </c>
      <c r="AL20" s="5"/>
      <c r="AM20" s="31">
        <v>1.0708</v>
      </c>
      <c r="AN20" s="32">
        <v>85.82</v>
      </c>
      <c r="AO20" s="5"/>
      <c r="AP20" s="31">
        <v>1.0648</v>
      </c>
      <c r="AQ20" s="32">
        <v>85.91</v>
      </c>
      <c r="AR20" s="5"/>
      <c r="AS20" s="31">
        <v>1.0656</v>
      </c>
      <c r="AT20" s="32">
        <v>85.71</v>
      </c>
      <c r="AU20" s="5"/>
      <c r="AV20" s="31">
        <v>1.0716</v>
      </c>
      <c r="AW20" s="32">
        <v>85</v>
      </c>
      <c r="AX20" s="5"/>
      <c r="AY20" s="31">
        <v>1.0715</v>
      </c>
      <c r="AZ20" s="32">
        <v>84.76</v>
      </c>
      <c r="BA20" s="5"/>
      <c r="BB20" s="31">
        <v>1.0706</v>
      </c>
      <c r="BC20" s="32">
        <v>84.95</v>
      </c>
      <c r="BD20" s="5"/>
      <c r="BE20" s="31">
        <v>1.0722</v>
      </c>
      <c r="BF20" s="32">
        <v>84.78</v>
      </c>
      <c r="BG20" s="5"/>
      <c r="BH20" s="31">
        <v>1.065</v>
      </c>
      <c r="BI20" s="32">
        <v>84.9</v>
      </c>
      <c r="BJ20" s="5"/>
      <c r="BK20" s="31">
        <v>1.0547</v>
      </c>
      <c r="BL20" s="32">
        <v>85.83</v>
      </c>
      <c r="BM20" s="5"/>
      <c r="BN20" s="45">
        <v>1.065290476190476</v>
      </c>
      <c r="BO20" s="46">
        <v>86.14190476190477</v>
      </c>
    </row>
    <row r="21" spans="1:67" ht="15.75" customHeight="1">
      <c r="A21" s="16">
        <v>9</v>
      </c>
      <c r="B21" s="17" t="s">
        <v>22</v>
      </c>
      <c r="C21" s="31">
        <v>6.9301</v>
      </c>
      <c r="D21" s="32">
        <v>13.33</v>
      </c>
      <c r="E21" s="5"/>
      <c r="F21" s="31">
        <v>6.9266</v>
      </c>
      <c r="G21" s="32">
        <v>13.3</v>
      </c>
      <c r="H21" s="5"/>
      <c r="I21" s="31">
        <v>6.8997</v>
      </c>
      <c r="J21" s="32">
        <v>13.31</v>
      </c>
      <c r="K21" s="5"/>
      <c r="L21" s="31">
        <v>6.9045</v>
      </c>
      <c r="M21" s="32">
        <v>13.31</v>
      </c>
      <c r="N21" s="5"/>
      <c r="O21" s="31">
        <v>6.9011</v>
      </c>
      <c r="P21" s="32">
        <v>13.35</v>
      </c>
      <c r="Q21" s="5"/>
      <c r="R21" s="31">
        <v>6.991</v>
      </c>
      <c r="S21" s="32">
        <v>13.25</v>
      </c>
      <c r="T21" s="5"/>
      <c r="U21" s="31">
        <v>6.9977</v>
      </c>
      <c r="V21" s="32">
        <v>13.29</v>
      </c>
      <c r="W21" s="5"/>
      <c r="X21" s="31">
        <v>7.0315</v>
      </c>
      <c r="Y21" s="32">
        <v>13.23</v>
      </c>
      <c r="Z21" s="5"/>
      <c r="AA21" s="31">
        <v>7.0934</v>
      </c>
      <c r="AB21" s="32">
        <v>13.07</v>
      </c>
      <c r="AC21" s="5"/>
      <c r="AD21" s="31">
        <v>7.0718</v>
      </c>
      <c r="AE21" s="32">
        <v>13.01</v>
      </c>
      <c r="AF21" s="5"/>
      <c r="AG21" s="31">
        <v>7.084</v>
      </c>
      <c r="AH21" s="32">
        <v>12.96</v>
      </c>
      <c r="AI21" s="5"/>
      <c r="AJ21" s="31">
        <v>7.0362</v>
      </c>
      <c r="AK21" s="32">
        <v>13.06</v>
      </c>
      <c r="AL21" s="5"/>
      <c r="AM21" s="31">
        <v>7.0332</v>
      </c>
      <c r="AN21" s="32">
        <v>13.07</v>
      </c>
      <c r="AO21" s="5"/>
      <c r="AP21" s="31">
        <v>6.9277</v>
      </c>
      <c r="AQ21" s="32">
        <v>13.2</v>
      </c>
      <c r="AR21" s="5"/>
      <c r="AS21" s="31">
        <v>6.9086</v>
      </c>
      <c r="AT21" s="32">
        <v>13.22</v>
      </c>
      <c r="AU21" s="5"/>
      <c r="AV21" s="31">
        <v>6.8831</v>
      </c>
      <c r="AW21" s="32">
        <v>13.23</v>
      </c>
      <c r="AX21" s="5"/>
      <c r="AY21" s="31">
        <v>6.8706</v>
      </c>
      <c r="AZ21" s="32">
        <v>13.22</v>
      </c>
      <c r="BA21" s="5"/>
      <c r="BB21" s="31">
        <v>6.8957</v>
      </c>
      <c r="BC21" s="32">
        <v>13.19</v>
      </c>
      <c r="BD21" s="5"/>
      <c r="BE21" s="31">
        <v>6.9111</v>
      </c>
      <c r="BF21" s="32">
        <v>13.15</v>
      </c>
      <c r="BG21" s="5"/>
      <c r="BH21" s="31">
        <v>6.8471</v>
      </c>
      <c r="BI21" s="32">
        <v>13.21</v>
      </c>
      <c r="BJ21" s="5"/>
      <c r="BK21" s="31">
        <v>6.8659</v>
      </c>
      <c r="BL21" s="32">
        <v>13.18</v>
      </c>
      <c r="BM21" s="5"/>
      <c r="BN21" s="45">
        <v>6.952885714285715</v>
      </c>
      <c r="BO21" s="46">
        <v>13.197142857142856</v>
      </c>
    </row>
    <row r="22" spans="1:67" ht="15.75" customHeight="1">
      <c r="A22" s="16">
        <v>10</v>
      </c>
      <c r="B22" s="17" t="s">
        <v>23</v>
      </c>
      <c r="C22" s="31">
        <v>6.0313</v>
      </c>
      <c r="D22" s="32">
        <v>15.32</v>
      </c>
      <c r="E22" s="5"/>
      <c r="F22" s="31">
        <v>6.02</v>
      </c>
      <c r="G22" s="32">
        <v>15.3</v>
      </c>
      <c r="H22" s="5"/>
      <c r="I22" s="31">
        <v>5.9805</v>
      </c>
      <c r="J22" s="32">
        <v>15.36</v>
      </c>
      <c r="K22" s="5"/>
      <c r="L22" s="31">
        <v>5.965</v>
      </c>
      <c r="M22" s="32">
        <v>15.41</v>
      </c>
      <c r="N22" s="5"/>
      <c r="O22" s="31">
        <v>5.98</v>
      </c>
      <c r="P22" s="32">
        <v>15.4</v>
      </c>
      <c r="Q22" s="5"/>
      <c r="R22" s="31">
        <v>6.0481</v>
      </c>
      <c r="S22" s="32">
        <v>15.32</v>
      </c>
      <c r="T22" s="5"/>
      <c r="U22" s="31">
        <v>6.0836</v>
      </c>
      <c r="V22" s="32">
        <v>15.29</v>
      </c>
      <c r="W22" s="5"/>
      <c r="X22" s="31">
        <v>6.0708</v>
      </c>
      <c r="Y22" s="32">
        <v>15.32</v>
      </c>
      <c r="Z22" s="5"/>
      <c r="AA22" s="31">
        <v>6.095</v>
      </c>
      <c r="AB22" s="32">
        <v>15.22</v>
      </c>
      <c r="AC22" s="5"/>
      <c r="AD22" s="31">
        <v>6.0927</v>
      </c>
      <c r="AE22" s="32">
        <v>15.11</v>
      </c>
      <c r="AF22" s="5"/>
      <c r="AG22" s="31">
        <v>6.0795</v>
      </c>
      <c r="AH22" s="32">
        <v>15.1</v>
      </c>
      <c r="AI22" s="5"/>
      <c r="AJ22" s="31">
        <v>6.0217</v>
      </c>
      <c r="AK22" s="32">
        <v>15.26</v>
      </c>
      <c r="AL22" s="5"/>
      <c r="AM22" s="31">
        <v>6.0377</v>
      </c>
      <c r="AN22" s="32">
        <v>15.22</v>
      </c>
      <c r="AO22" s="5"/>
      <c r="AP22" s="31">
        <v>5.9961</v>
      </c>
      <c r="AQ22" s="32">
        <v>15.26</v>
      </c>
      <c r="AR22" s="5"/>
      <c r="AS22" s="31">
        <v>5.9995</v>
      </c>
      <c r="AT22" s="32">
        <v>15.22</v>
      </c>
      <c r="AU22" s="5"/>
      <c r="AV22" s="31">
        <v>5.9426</v>
      </c>
      <c r="AW22" s="32">
        <v>15.33</v>
      </c>
      <c r="AX22" s="5"/>
      <c r="AY22" s="31">
        <v>5.9403</v>
      </c>
      <c r="AZ22" s="32">
        <v>15.29</v>
      </c>
      <c r="BA22" s="5"/>
      <c r="BB22" s="31">
        <v>5.956</v>
      </c>
      <c r="BC22" s="32">
        <v>15.27</v>
      </c>
      <c r="BD22" s="5"/>
      <c r="BE22" s="31">
        <v>5.9796</v>
      </c>
      <c r="BF22" s="32">
        <v>15.2</v>
      </c>
      <c r="BG22" s="5"/>
      <c r="BH22" s="31">
        <v>5.9001</v>
      </c>
      <c r="BI22" s="32">
        <v>15.33</v>
      </c>
      <c r="BJ22" s="5"/>
      <c r="BK22" s="31">
        <v>5.917</v>
      </c>
      <c r="BL22" s="32">
        <v>15.3</v>
      </c>
      <c r="BM22" s="5"/>
      <c r="BN22" s="45">
        <v>6.0065285714285706</v>
      </c>
      <c r="BO22" s="46">
        <v>15.277619047619046</v>
      </c>
    </row>
    <row r="23" spans="1:67" ht="15.75" customHeight="1">
      <c r="A23" s="16">
        <v>11</v>
      </c>
      <c r="B23" s="17" t="s">
        <v>24</v>
      </c>
      <c r="C23" s="31">
        <v>5.5429</v>
      </c>
      <c r="D23" s="32">
        <v>16.67</v>
      </c>
      <c r="E23" s="5"/>
      <c r="F23" s="31">
        <v>5.5324</v>
      </c>
      <c r="G23" s="32">
        <v>16.65</v>
      </c>
      <c r="H23" s="5"/>
      <c r="I23" s="31">
        <v>5.5111</v>
      </c>
      <c r="J23" s="32">
        <v>16.67</v>
      </c>
      <c r="K23" s="5"/>
      <c r="L23" s="31">
        <v>5.5067</v>
      </c>
      <c r="M23" s="32">
        <v>16.69</v>
      </c>
      <c r="N23" s="5"/>
      <c r="O23" s="31">
        <v>5.5185</v>
      </c>
      <c r="P23" s="32">
        <v>16.69</v>
      </c>
      <c r="Q23" s="5"/>
      <c r="R23" s="31">
        <v>5.5707</v>
      </c>
      <c r="S23" s="32">
        <v>16.63</v>
      </c>
      <c r="T23" s="5"/>
      <c r="U23" s="31">
        <v>5.5771</v>
      </c>
      <c r="V23" s="32">
        <v>16.68</v>
      </c>
      <c r="W23" s="5"/>
      <c r="X23" s="31">
        <v>5.5796</v>
      </c>
      <c r="Y23" s="32">
        <v>16.67</v>
      </c>
      <c r="Z23" s="5"/>
      <c r="AA23" s="31">
        <v>5.607</v>
      </c>
      <c r="AB23" s="32">
        <v>16.54</v>
      </c>
      <c r="AC23" s="5"/>
      <c r="AD23" s="31">
        <v>5.5926</v>
      </c>
      <c r="AE23" s="32">
        <v>16.46</v>
      </c>
      <c r="AF23" s="5"/>
      <c r="AG23" s="31">
        <v>5.591</v>
      </c>
      <c r="AH23" s="32">
        <v>16.42</v>
      </c>
      <c r="AI23" s="5"/>
      <c r="AJ23" s="31">
        <v>5.5529</v>
      </c>
      <c r="AK23" s="32">
        <v>16.55</v>
      </c>
      <c r="AL23" s="5"/>
      <c r="AM23" s="31">
        <v>5.5612</v>
      </c>
      <c r="AN23" s="32">
        <v>16.52</v>
      </c>
      <c r="AO23" s="5"/>
      <c r="AP23" s="31">
        <v>5.544</v>
      </c>
      <c r="AQ23" s="32">
        <v>16.5</v>
      </c>
      <c r="AR23" s="5"/>
      <c r="AS23" s="31">
        <v>5.5613</v>
      </c>
      <c r="AT23" s="32">
        <v>16.42</v>
      </c>
      <c r="AU23" s="5"/>
      <c r="AV23" s="31">
        <v>5.542</v>
      </c>
      <c r="AW23" s="32">
        <v>16.44</v>
      </c>
      <c r="AX23" s="5"/>
      <c r="AY23" s="31">
        <v>5.5288</v>
      </c>
      <c r="AZ23" s="32">
        <v>16.43</v>
      </c>
      <c r="BA23" s="5"/>
      <c r="BB23" s="31">
        <v>5.5345</v>
      </c>
      <c r="BC23" s="32">
        <v>16.43</v>
      </c>
      <c r="BD23" s="5"/>
      <c r="BE23" s="31">
        <v>5.5363</v>
      </c>
      <c r="BF23" s="32">
        <v>16.42</v>
      </c>
      <c r="BG23" s="5"/>
      <c r="BH23" s="31">
        <v>5.5278</v>
      </c>
      <c r="BI23" s="32">
        <v>16.36</v>
      </c>
      <c r="BJ23" s="5"/>
      <c r="BK23" s="31">
        <v>5.5264</v>
      </c>
      <c r="BL23" s="32">
        <v>16.38</v>
      </c>
      <c r="BM23" s="5"/>
      <c r="BN23" s="45">
        <v>5.54975238095238</v>
      </c>
      <c r="BO23" s="46">
        <v>16.53428571428572</v>
      </c>
    </row>
    <row r="24" spans="1:67" ht="15.75" customHeight="1">
      <c r="A24" s="16">
        <v>12</v>
      </c>
      <c r="B24" s="17" t="s">
        <v>25</v>
      </c>
      <c r="C24" s="31">
        <f>1/1.51286</f>
        <v>0.6609996959401399</v>
      </c>
      <c r="D24" s="32">
        <v>139.78</v>
      </c>
      <c r="E24" s="5"/>
      <c r="F24" s="31">
        <f>1/1.51233</f>
        <v>0.6612313450106789</v>
      </c>
      <c r="G24" s="32">
        <v>139.32</v>
      </c>
      <c r="H24" s="5"/>
      <c r="I24" s="31">
        <f>1/1.51436</f>
        <v>0.660344964209303</v>
      </c>
      <c r="J24" s="32">
        <v>139.1</v>
      </c>
      <c r="K24" s="5"/>
      <c r="L24" s="31">
        <f>1/1.51722</f>
        <v>0.6591001964118586</v>
      </c>
      <c r="M24" s="32">
        <v>139.46</v>
      </c>
      <c r="N24" s="5"/>
      <c r="O24" s="31">
        <f>1/1.51808</f>
        <v>0.6587268128161888</v>
      </c>
      <c r="P24" s="32">
        <v>139.85</v>
      </c>
      <c r="Q24" s="5"/>
      <c r="R24" s="31">
        <f>1/1.51559</f>
        <v>0.6598090512605652</v>
      </c>
      <c r="S24" s="32">
        <v>140.44</v>
      </c>
      <c r="T24" s="5"/>
      <c r="U24" s="31">
        <f>1/1.50785</f>
        <v>0.6631959412408397</v>
      </c>
      <c r="V24" s="32">
        <v>140.27</v>
      </c>
      <c r="W24" s="5"/>
      <c r="X24" s="31">
        <f>1/1.50779</f>
        <v>0.6632223320223639</v>
      </c>
      <c r="Y24" s="32">
        <v>140.22</v>
      </c>
      <c r="Z24" s="5"/>
      <c r="AA24" s="31">
        <f>1/1.50849</f>
        <v>0.6629145701993384</v>
      </c>
      <c r="AB24" s="32">
        <v>139.91</v>
      </c>
      <c r="AC24" s="5"/>
      <c r="AD24" s="31">
        <f>1/1.50418</f>
        <v>0.6648140515097927</v>
      </c>
      <c r="AE24" s="32">
        <v>138.44</v>
      </c>
      <c r="AF24" s="5"/>
      <c r="AG24" s="31">
        <f>1/1.50509</f>
        <v>0.6644120949577766</v>
      </c>
      <c r="AH24" s="32">
        <v>138.2</v>
      </c>
      <c r="AI24" s="5"/>
      <c r="AJ24" s="31">
        <f>1/1.50476</f>
        <v>0.6645578032377256</v>
      </c>
      <c r="AK24" s="32">
        <v>138.31</v>
      </c>
      <c r="AL24" s="5"/>
      <c r="AM24" s="31">
        <f>1/1.5095</f>
        <v>0.6624710168930109</v>
      </c>
      <c r="AN24" s="32">
        <v>138.71</v>
      </c>
      <c r="AO24" s="5"/>
      <c r="AP24" s="31">
        <f>1/1.5096</f>
        <v>0.6624271330153683</v>
      </c>
      <c r="AQ24" s="32">
        <v>138.1</v>
      </c>
      <c r="AR24" s="5"/>
      <c r="AS24" s="31">
        <f>1/1.51176</f>
        <v>0.6614806583055511</v>
      </c>
      <c r="AT24" s="32">
        <v>138.07</v>
      </c>
      <c r="AU24" s="5"/>
      <c r="AV24" s="31">
        <f>1/1.50919</f>
        <v>0.6626070938715469</v>
      </c>
      <c r="AW24" s="32">
        <v>137.47</v>
      </c>
      <c r="AX24" s="5"/>
      <c r="AY24" s="31">
        <f>1/1.51109</f>
        <v>0.6617739512537307</v>
      </c>
      <c r="AZ24" s="32">
        <v>137.24</v>
      </c>
      <c r="BA24" s="5"/>
      <c r="BB24" s="31">
        <f>1/1.51341</f>
        <v>0.6607594769427981</v>
      </c>
      <c r="BC24" s="32">
        <v>137.64</v>
      </c>
      <c r="BD24" s="5"/>
      <c r="BE24" s="31">
        <f>1/1.51415</f>
        <v>0.6604365485585972</v>
      </c>
      <c r="BF24" s="32">
        <v>137.64</v>
      </c>
      <c r="BG24" s="5"/>
      <c r="BH24" s="31">
        <f>1/1.51355</f>
        <v>0.66069835816458</v>
      </c>
      <c r="BI24" s="32">
        <v>136.86</v>
      </c>
      <c r="BJ24" s="5"/>
      <c r="BK24" s="31">
        <f>1/1.51434</f>
        <v>0.6603536854339184</v>
      </c>
      <c r="BL24" s="32">
        <v>137.08</v>
      </c>
      <c r="BM24" s="9"/>
      <c r="BN24" s="45">
        <v>0.6617303229169368</v>
      </c>
      <c r="BO24" s="46">
        <v>138.67190476190476</v>
      </c>
    </row>
    <row r="25" spans="1:67" ht="15.75" customHeight="1" thickBot="1">
      <c r="A25" s="35">
        <v>13</v>
      </c>
      <c r="B25" s="36" t="s">
        <v>26</v>
      </c>
      <c r="C25" s="83">
        <v>1</v>
      </c>
      <c r="D25" s="84">
        <v>92.4</v>
      </c>
      <c r="E25" s="21"/>
      <c r="F25" s="83">
        <v>1</v>
      </c>
      <c r="G25" s="84">
        <v>92.12</v>
      </c>
      <c r="H25" s="21"/>
      <c r="I25" s="83">
        <v>1</v>
      </c>
      <c r="J25" s="84">
        <v>91.86</v>
      </c>
      <c r="K25" s="21"/>
      <c r="L25" s="83">
        <v>1</v>
      </c>
      <c r="M25" s="84">
        <v>91.92</v>
      </c>
      <c r="N25" s="21"/>
      <c r="O25" s="83">
        <v>1</v>
      </c>
      <c r="P25" s="84">
        <v>92.12</v>
      </c>
      <c r="Q25" s="21"/>
      <c r="R25" s="83">
        <v>1</v>
      </c>
      <c r="S25" s="84">
        <v>92.67</v>
      </c>
      <c r="T25" s="21"/>
      <c r="U25" s="83">
        <v>1</v>
      </c>
      <c r="V25" s="84">
        <v>93.03</v>
      </c>
      <c r="W25" s="21"/>
      <c r="X25" s="83">
        <v>1</v>
      </c>
      <c r="Y25" s="84">
        <v>93</v>
      </c>
      <c r="Z25" s="21"/>
      <c r="AA25" s="83">
        <v>1</v>
      </c>
      <c r="AB25" s="84">
        <v>92.75</v>
      </c>
      <c r="AC25" s="21"/>
      <c r="AD25" s="83">
        <v>1</v>
      </c>
      <c r="AE25" s="84">
        <v>92.04</v>
      </c>
      <c r="AF25" s="21"/>
      <c r="AG25" s="83">
        <v>1</v>
      </c>
      <c r="AH25" s="84">
        <v>91.82</v>
      </c>
      <c r="AI25" s="21"/>
      <c r="AJ25" s="83">
        <v>1</v>
      </c>
      <c r="AK25" s="84">
        <v>91.91</v>
      </c>
      <c r="AL25" s="21"/>
      <c r="AM25" s="83">
        <v>1</v>
      </c>
      <c r="AN25" s="84">
        <v>91.89</v>
      </c>
      <c r="AO25" s="21"/>
      <c r="AP25" s="83">
        <v>1</v>
      </c>
      <c r="AQ25" s="84">
        <v>91.48</v>
      </c>
      <c r="AR25" s="21"/>
      <c r="AS25" s="83">
        <v>1</v>
      </c>
      <c r="AT25" s="84">
        <v>91.33</v>
      </c>
      <c r="AU25" s="21"/>
      <c r="AV25" s="83">
        <v>1</v>
      </c>
      <c r="AW25" s="84">
        <v>91.09</v>
      </c>
      <c r="AX25" s="21"/>
      <c r="AY25" s="83">
        <v>1</v>
      </c>
      <c r="AZ25" s="84">
        <v>90.82</v>
      </c>
      <c r="BA25" s="21"/>
      <c r="BB25" s="83">
        <v>1</v>
      </c>
      <c r="BC25" s="84">
        <v>90.95</v>
      </c>
      <c r="BD25" s="21"/>
      <c r="BE25" s="83">
        <v>1</v>
      </c>
      <c r="BF25" s="84">
        <v>90.9</v>
      </c>
      <c r="BG25" s="21"/>
      <c r="BH25" s="83">
        <v>1</v>
      </c>
      <c r="BI25" s="84">
        <v>90.42</v>
      </c>
      <c r="BJ25" s="21"/>
      <c r="BK25" s="28">
        <v>1</v>
      </c>
      <c r="BL25" s="22">
        <v>90.52</v>
      </c>
      <c r="BM25" s="21"/>
      <c r="BN25" s="68">
        <v>1</v>
      </c>
      <c r="BO25" s="94">
        <v>91.76380952380953</v>
      </c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&amp;LBanka e Shqiperise
Sektori i Informacionit
Kurset mujore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2"/>
  <sheetViews>
    <sheetView zoomScale="75" zoomScaleNormal="75" zoomScalePageLayoutView="0" workbookViewId="0" topLeftCell="A1">
      <pane xSplit="2" ySplit="11" topLeftCell="BH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9" sqref="BK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5.7109375" style="0" customWidth="1"/>
    <col min="9" max="10" width="13.28125" style="0" customWidth="1"/>
    <col min="11" max="11" width="6.421875" style="0" customWidth="1"/>
    <col min="12" max="13" width="13.28125" style="0" customWidth="1"/>
    <col min="14" max="14" width="5.71093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421875" style="0" customWidth="1"/>
    <col min="21" max="22" width="13.28125" style="0" customWidth="1"/>
    <col min="23" max="23" width="5.574218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5.7109375" style="0" customWidth="1"/>
    <col min="63" max="64" width="13.28125" style="0" customWidth="1"/>
    <col min="65" max="65" width="6.421875" style="0" customWidth="1"/>
    <col min="66" max="67" width="13.28125" style="0" customWidth="1"/>
    <col min="68" max="68" width="4.8515625" style="0" customWidth="1"/>
    <col min="69" max="70" width="13.28125" style="0" customWidth="1"/>
    <col min="71" max="71" width="4.28125" style="0" customWidth="1"/>
  </cols>
  <sheetData>
    <row r="1" spans="1:68" ht="15.75" customHeight="1">
      <c r="A1" s="4" t="s">
        <v>0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 t="s">
        <v>1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7"/>
      <c r="BL1" s="7"/>
      <c r="BM1" s="7"/>
      <c r="BN1" s="7"/>
      <c r="BO1" s="8"/>
      <c r="BP1" s="8"/>
    </row>
    <row r="2" spans="1:68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7"/>
      <c r="BL2" s="7"/>
      <c r="BM2" s="7"/>
      <c r="BN2" s="7"/>
      <c r="BO2" s="8"/>
      <c r="BP2" s="8"/>
    </row>
    <row r="3" spans="1:68" ht="15.75" customHeight="1">
      <c r="A3" s="5"/>
      <c r="B3" s="3" t="s">
        <v>178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9"/>
      <c r="BL3" s="9"/>
      <c r="BM3" s="9"/>
      <c r="BN3" s="9"/>
      <c r="BO3" s="8"/>
      <c r="BP3" s="8"/>
    </row>
    <row r="4" spans="1:80" ht="15.75" customHeight="1">
      <c r="A4" s="6" t="s">
        <v>2</v>
      </c>
      <c r="B4" s="5"/>
      <c r="C4" s="4" t="s">
        <v>156</v>
      </c>
      <c r="D4" s="4"/>
      <c r="E4" s="10"/>
      <c r="F4" s="4" t="s">
        <v>157</v>
      </c>
      <c r="G4" s="4"/>
      <c r="H4" s="10"/>
      <c r="I4" s="4" t="s">
        <v>158</v>
      </c>
      <c r="J4" s="4"/>
      <c r="K4" s="10"/>
      <c r="L4" s="4" t="s">
        <v>159</v>
      </c>
      <c r="M4" s="4"/>
      <c r="N4" s="10"/>
      <c r="O4" s="4" t="s">
        <v>160</v>
      </c>
      <c r="P4" s="4"/>
      <c r="Q4" s="10"/>
      <c r="R4" s="4" t="s">
        <v>161</v>
      </c>
      <c r="S4" s="4"/>
      <c r="T4" s="10"/>
      <c r="U4" s="4" t="s">
        <v>162</v>
      </c>
      <c r="V4" s="4"/>
      <c r="W4" s="10"/>
      <c r="X4" s="4" t="s">
        <v>163</v>
      </c>
      <c r="Y4" s="4"/>
      <c r="Z4" s="10"/>
      <c r="AA4" s="4" t="s">
        <v>164</v>
      </c>
      <c r="AB4" s="4"/>
      <c r="AC4" s="10"/>
      <c r="AD4" s="4" t="s">
        <v>165</v>
      </c>
      <c r="AE4" s="4"/>
      <c r="AF4" s="10"/>
      <c r="AG4" s="4" t="s">
        <v>166</v>
      </c>
      <c r="AH4" s="4"/>
      <c r="AI4" s="10"/>
      <c r="AJ4" s="4" t="s">
        <v>167</v>
      </c>
      <c r="AK4" s="4"/>
      <c r="AL4" s="10"/>
      <c r="AM4" s="4" t="s">
        <v>168</v>
      </c>
      <c r="AN4" s="4"/>
      <c r="AO4" s="10"/>
      <c r="AP4" s="4" t="s">
        <v>169</v>
      </c>
      <c r="AQ4" s="4"/>
      <c r="AR4" s="10"/>
      <c r="AS4" s="4" t="s">
        <v>170</v>
      </c>
      <c r="AT4" s="4"/>
      <c r="AU4" s="10"/>
      <c r="AV4" s="4" t="s">
        <v>171</v>
      </c>
      <c r="AW4" s="4"/>
      <c r="AX4" s="10"/>
      <c r="AY4" s="4" t="s">
        <v>172</v>
      </c>
      <c r="AZ4" s="4"/>
      <c r="BA4" s="10"/>
      <c r="BB4" s="4" t="s">
        <v>173</v>
      </c>
      <c r="BC4" s="4"/>
      <c r="BD4" s="10"/>
      <c r="BE4" s="4" t="s">
        <v>174</v>
      </c>
      <c r="BF4" s="4"/>
      <c r="BG4" s="10"/>
      <c r="BH4" s="4" t="s">
        <v>175</v>
      </c>
      <c r="BI4" s="4"/>
      <c r="BJ4" s="10"/>
      <c r="BK4" s="4" t="s">
        <v>176</v>
      </c>
      <c r="BL4" s="4"/>
      <c r="BM4" s="26"/>
      <c r="BN4" s="4" t="s">
        <v>177</v>
      </c>
      <c r="BO4" s="4"/>
      <c r="BP4" s="26"/>
      <c r="BQ4" s="4" t="s">
        <v>3</v>
      </c>
      <c r="BR4" s="4"/>
      <c r="BS4" s="26"/>
      <c r="BT4" s="4"/>
      <c r="BU4" s="4"/>
      <c r="BV4" s="37"/>
      <c r="BW4" s="37"/>
      <c r="BZ4" s="38"/>
      <c r="CA4" s="37"/>
      <c r="CB4" s="37"/>
    </row>
    <row r="5" spans="1:80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  <c r="BV5" s="38"/>
      <c r="BW5" s="38"/>
      <c r="BZ5" s="38"/>
      <c r="CA5" s="38"/>
      <c r="CB5" s="38"/>
    </row>
    <row r="6" spans="1:80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  <c r="BV6" s="9"/>
      <c r="BW6" s="9"/>
      <c r="BZ6" s="9"/>
      <c r="CA6" s="9"/>
      <c r="CB6" s="9"/>
    </row>
    <row r="7" spans="1:80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65" t="s">
        <v>5</v>
      </c>
      <c r="BR7" s="65" t="s">
        <v>5</v>
      </c>
      <c r="BS7" s="39"/>
      <c r="BT7" s="39"/>
      <c r="BU7" s="39"/>
      <c r="BV7" s="39"/>
      <c r="BW7" s="39"/>
      <c r="BZ7" s="39"/>
      <c r="CA7" s="39"/>
      <c r="CB7" s="39"/>
    </row>
    <row r="8" spans="1:80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65" t="s">
        <v>8</v>
      </c>
      <c r="BR8" s="65" t="s">
        <v>9</v>
      </c>
      <c r="BS8" s="39"/>
      <c r="BT8" s="39"/>
      <c r="BU8" s="39"/>
      <c r="BV8" s="39"/>
      <c r="BW8" s="39"/>
      <c r="BZ8" s="39"/>
      <c r="CA8" s="39"/>
      <c r="CB8" s="39"/>
    </row>
    <row r="9" spans="1:80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65" t="s">
        <v>7</v>
      </c>
      <c r="BR9" s="65" t="s">
        <v>11</v>
      </c>
      <c r="BS9" s="39"/>
      <c r="BT9" s="39"/>
      <c r="BU9" s="39"/>
      <c r="BV9" s="39"/>
      <c r="BW9" s="39"/>
      <c r="BZ9" s="39"/>
      <c r="CA9" s="39"/>
      <c r="CB9" s="39"/>
    </row>
    <row r="10" spans="1:80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5"/>
      <c r="Y10" s="12" t="s">
        <v>12</v>
      </c>
      <c r="Z10" s="12"/>
      <c r="AA10" s="6" t="s">
        <v>13</v>
      </c>
      <c r="AB10" s="12" t="s">
        <v>12</v>
      </c>
      <c r="AC10" s="12"/>
      <c r="AD10" s="6" t="s">
        <v>13</v>
      </c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65" t="s">
        <v>10</v>
      </c>
      <c r="BR10" s="65" t="s">
        <v>12</v>
      </c>
      <c r="BS10" s="39"/>
      <c r="BT10" s="39"/>
      <c r="BU10" s="39"/>
      <c r="BV10" s="39"/>
      <c r="BW10" s="39"/>
      <c r="BZ10" s="39"/>
      <c r="CA10" s="39"/>
      <c r="CB10" s="39"/>
    </row>
    <row r="11" spans="1:86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6"/>
      <c r="BR11" s="66"/>
      <c r="BS11" s="9"/>
      <c r="BT11" s="9"/>
      <c r="BU11" s="9"/>
      <c r="BV11" s="9"/>
      <c r="BW11" s="9"/>
      <c r="BX11" s="40"/>
      <c r="BY11" s="40"/>
      <c r="BZ11" s="9"/>
      <c r="CA11" s="9"/>
      <c r="CB11" s="9"/>
      <c r="CC11" s="40"/>
      <c r="CD11" s="40"/>
      <c r="CE11" s="40"/>
      <c r="CF11" s="40"/>
      <c r="CG11" s="40"/>
      <c r="CH11" s="40"/>
    </row>
    <row r="12" spans="1:86" ht="15.75" customHeight="1" thickTop="1">
      <c r="A12" s="14" t="s">
        <v>2</v>
      </c>
      <c r="B12" s="11"/>
      <c r="C12" s="15"/>
      <c r="D12" s="11"/>
      <c r="E12" s="11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64"/>
      <c r="BR12" s="64"/>
      <c r="BS12" s="9"/>
      <c r="BT12" s="9"/>
      <c r="BU12" s="9"/>
      <c r="BV12" s="9"/>
      <c r="BW12" s="9"/>
      <c r="BX12" s="40"/>
      <c r="BY12" s="40"/>
      <c r="BZ12" s="9"/>
      <c r="CA12" s="9"/>
      <c r="CB12" s="9"/>
      <c r="CC12" s="40"/>
      <c r="CD12" s="40"/>
      <c r="CE12" s="40"/>
      <c r="CF12" s="40"/>
      <c r="CG12" s="40"/>
      <c r="CH12" s="40"/>
    </row>
    <row r="13" spans="1:80" ht="15.75" customHeight="1">
      <c r="A13" s="16">
        <v>1</v>
      </c>
      <c r="B13" s="17" t="s">
        <v>14</v>
      </c>
      <c r="C13" s="27">
        <v>122.6</v>
      </c>
      <c r="D13" s="19">
        <v>73.53</v>
      </c>
      <c r="E13" s="5"/>
      <c r="F13" s="27">
        <v>122.35</v>
      </c>
      <c r="G13" s="19">
        <v>73.56</v>
      </c>
      <c r="H13" s="5"/>
      <c r="I13" s="27">
        <v>122.44</v>
      </c>
      <c r="J13" s="19">
        <v>73.5</v>
      </c>
      <c r="K13" s="5"/>
      <c r="L13" s="27">
        <v>122.52</v>
      </c>
      <c r="M13" s="19">
        <v>73.41</v>
      </c>
      <c r="N13" s="5"/>
      <c r="O13" s="27">
        <v>123.18</v>
      </c>
      <c r="P13" s="19">
        <v>73.22</v>
      </c>
      <c r="Q13" s="5"/>
      <c r="R13" s="27">
        <v>123.25</v>
      </c>
      <c r="S13" s="19">
        <v>72.92</v>
      </c>
      <c r="T13" s="5"/>
      <c r="U13" s="27">
        <v>123.22</v>
      </c>
      <c r="V13" s="19">
        <v>72.81</v>
      </c>
      <c r="W13" s="5"/>
      <c r="X13" s="27">
        <v>121.6</v>
      </c>
      <c r="Y13" s="19">
        <v>73.36</v>
      </c>
      <c r="Z13" s="5"/>
      <c r="AA13" s="27">
        <v>122.06</v>
      </c>
      <c r="AB13" s="19">
        <v>72.85</v>
      </c>
      <c r="AC13" s="5"/>
      <c r="AD13" s="27">
        <v>122.31</v>
      </c>
      <c r="AE13" s="19">
        <v>72.69</v>
      </c>
      <c r="AF13" s="5"/>
      <c r="AG13" s="27">
        <v>121.65</v>
      </c>
      <c r="AH13" s="19">
        <v>73.02</v>
      </c>
      <c r="AI13" s="5"/>
      <c r="AJ13" s="27">
        <v>121.82</v>
      </c>
      <c r="AK13" s="19">
        <v>72.91</v>
      </c>
      <c r="AL13" s="5"/>
      <c r="AM13" s="27">
        <v>122.03</v>
      </c>
      <c r="AN13" s="19">
        <v>72.7</v>
      </c>
      <c r="AO13" s="5"/>
      <c r="AP13" s="27">
        <v>121.98</v>
      </c>
      <c r="AQ13" s="19">
        <v>72.61</v>
      </c>
      <c r="AR13" s="5"/>
      <c r="AS13" s="27">
        <v>122.32</v>
      </c>
      <c r="AT13" s="19">
        <v>72.45</v>
      </c>
      <c r="AU13" s="5"/>
      <c r="AV13" s="27">
        <v>121.31</v>
      </c>
      <c r="AW13" s="19">
        <v>72.81</v>
      </c>
      <c r="AX13" s="5"/>
      <c r="AY13" s="27">
        <v>120.67</v>
      </c>
      <c r="AZ13" s="19">
        <v>73.24</v>
      </c>
      <c r="BA13" s="5"/>
      <c r="BB13" s="27">
        <v>120.18</v>
      </c>
      <c r="BC13" s="19">
        <v>73.84</v>
      </c>
      <c r="BD13" s="5"/>
      <c r="BE13" s="27">
        <v>120.38</v>
      </c>
      <c r="BF13" s="19">
        <v>73.89</v>
      </c>
      <c r="BG13" s="5"/>
      <c r="BH13" s="27">
        <v>118.98</v>
      </c>
      <c r="BI13" s="19">
        <v>74.95</v>
      </c>
      <c r="BJ13" s="5"/>
      <c r="BK13" s="27">
        <v>118.59</v>
      </c>
      <c r="BL13" s="19">
        <v>75.15</v>
      </c>
      <c r="BM13" s="5"/>
      <c r="BN13" s="27">
        <v>119.11</v>
      </c>
      <c r="BO13" s="19">
        <v>74.59</v>
      </c>
      <c r="BP13" s="5"/>
      <c r="BQ13" s="67">
        <v>121.57045454545455</v>
      </c>
      <c r="BR13" s="67">
        <v>73.36409090909092</v>
      </c>
      <c r="BS13" s="9"/>
      <c r="BT13" s="31"/>
      <c r="BU13" s="32"/>
      <c r="BV13" s="31"/>
      <c r="BW13" s="32"/>
      <c r="BZ13" s="9"/>
      <c r="CA13" s="31"/>
      <c r="CB13" s="32"/>
    </row>
    <row r="14" spans="1:80" ht="15.75" customHeight="1">
      <c r="A14" s="16">
        <v>2</v>
      </c>
      <c r="B14" s="17" t="s">
        <v>15</v>
      </c>
      <c r="C14" s="27">
        <f>1/2.0104</f>
        <v>0.49741345005968957</v>
      </c>
      <c r="D14" s="19">
        <v>181.24</v>
      </c>
      <c r="E14" s="5"/>
      <c r="F14" s="27">
        <f>1/2.0165</f>
        <v>0.4959087527894867</v>
      </c>
      <c r="G14" s="19">
        <v>181.48</v>
      </c>
      <c r="H14" s="5"/>
      <c r="I14" s="27">
        <f>1/2.0179</f>
        <v>0.495564695971059</v>
      </c>
      <c r="J14" s="19">
        <v>181.59</v>
      </c>
      <c r="K14" s="5"/>
      <c r="L14" s="27">
        <f>1/2.016</f>
        <v>0.49603174603174605</v>
      </c>
      <c r="M14" s="19">
        <v>181.32</v>
      </c>
      <c r="N14" s="5"/>
      <c r="O14" s="27">
        <f>1/2.0099</f>
        <v>0.49753719090502013</v>
      </c>
      <c r="P14" s="19">
        <v>181.27</v>
      </c>
      <c r="Q14" s="5"/>
      <c r="R14" s="27">
        <f>1/2.015</f>
        <v>0.4962779156327543</v>
      </c>
      <c r="S14" s="19">
        <v>181.1</v>
      </c>
      <c r="T14" s="5"/>
      <c r="U14" s="27">
        <f>1/2.0155</f>
        <v>0.49615480029769293</v>
      </c>
      <c r="V14" s="19">
        <v>180.83</v>
      </c>
      <c r="W14" s="5"/>
      <c r="X14" s="27">
        <f>1/2.0293</f>
        <v>0.4927807618390578</v>
      </c>
      <c r="Y14" s="19">
        <v>181.02</v>
      </c>
      <c r="Z14" s="5"/>
      <c r="AA14" s="27">
        <f>1/2.0341</f>
        <v>0.4916179145568064</v>
      </c>
      <c r="AB14" s="19">
        <v>180.88</v>
      </c>
      <c r="AC14" s="5"/>
      <c r="AD14" s="27">
        <f>1/2.032</f>
        <v>0.4921259842519685</v>
      </c>
      <c r="AE14" s="19">
        <v>180.65</v>
      </c>
      <c r="AF14" s="5"/>
      <c r="AG14" s="27">
        <f>1/2.0386</f>
        <v>0.49053271853232605</v>
      </c>
      <c r="AH14" s="19">
        <v>181.09</v>
      </c>
      <c r="AI14" s="5"/>
      <c r="AJ14" s="27">
        <f>1/2.0431</f>
        <v>0.48945230287308505</v>
      </c>
      <c r="AK14" s="19">
        <v>181.48</v>
      </c>
      <c r="AL14" s="5"/>
      <c r="AM14" s="27">
        <f>1/2.0499</f>
        <v>0.4878286745694912</v>
      </c>
      <c r="AN14" s="19">
        <v>181.85</v>
      </c>
      <c r="AO14" s="5"/>
      <c r="AP14" s="27">
        <f>1/2.0497</f>
        <v>0.4878762745767673</v>
      </c>
      <c r="AQ14" s="19">
        <v>181.54</v>
      </c>
      <c r="AR14" s="5"/>
      <c r="AS14" s="27">
        <f>1/2.0522</f>
        <v>0.48728194133125424</v>
      </c>
      <c r="AT14" s="19">
        <v>181.87</v>
      </c>
      <c r="AU14" s="5"/>
      <c r="AV14" s="27">
        <f>1/2.0561</f>
        <v>0.48635766742862707</v>
      </c>
      <c r="AW14" s="19">
        <v>181.6</v>
      </c>
      <c r="AX14" s="5"/>
      <c r="AY14" s="27">
        <f>1/2.0614</f>
        <v>0.4851072086931212</v>
      </c>
      <c r="AZ14" s="19">
        <v>182.18</v>
      </c>
      <c r="BA14" s="5"/>
      <c r="BB14" s="27">
        <f>1/2.0518</f>
        <v>0.4873769373233258</v>
      </c>
      <c r="BC14" s="19">
        <v>182.07</v>
      </c>
      <c r="BD14" s="5"/>
      <c r="BE14" s="27">
        <f>1/2.0483</f>
        <v>0.488209734902114</v>
      </c>
      <c r="BF14" s="19">
        <v>182.19</v>
      </c>
      <c r="BG14" s="5"/>
      <c r="BH14" s="27">
        <f>1/2.0357</f>
        <v>0.4912315174141573</v>
      </c>
      <c r="BI14" s="19">
        <v>181.54</v>
      </c>
      <c r="BJ14" s="5"/>
      <c r="BK14" s="27">
        <f>1/2.0266</f>
        <v>0.49343728412118815</v>
      </c>
      <c r="BL14" s="19">
        <v>180.61</v>
      </c>
      <c r="BM14" s="5"/>
      <c r="BN14" s="27">
        <f>1/2.0321</f>
        <v>0.49210176664534233</v>
      </c>
      <c r="BO14" s="19">
        <v>180.54</v>
      </c>
      <c r="BP14" s="5"/>
      <c r="BQ14" s="67">
        <v>0.4917366927611855</v>
      </c>
      <c r="BR14" s="67">
        <v>181.36090909090908</v>
      </c>
      <c r="BS14" s="9"/>
      <c r="BT14" s="31"/>
      <c r="BU14" s="32"/>
      <c r="BV14" s="31"/>
      <c r="BW14" s="32"/>
      <c r="BZ14" s="9"/>
      <c r="CA14" s="31"/>
      <c r="CB14" s="32"/>
    </row>
    <row r="15" spans="1:80" ht="15.75" customHeight="1">
      <c r="A15" s="16">
        <v>3</v>
      </c>
      <c r="B15" s="17" t="s">
        <v>16</v>
      </c>
      <c r="C15" s="27">
        <v>1.214</v>
      </c>
      <c r="D15" s="19">
        <v>74.26</v>
      </c>
      <c r="E15" s="5"/>
      <c r="F15" s="27">
        <v>1.2158</v>
      </c>
      <c r="G15" s="19">
        <v>74.02</v>
      </c>
      <c r="H15" s="5"/>
      <c r="I15" s="27">
        <v>1.216</v>
      </c>
      <c r="J15" s="19">
        <v>74</v>
      </c>
      <c r="K15" s="5"/>
      <c r="L15" s="27">
        <v>1.2112</v>
      </c>
      <c r="M15" s="19">
        <v>74.26</v>
      </c>
      <c r="N15" s="5"/>
      <c r="O15" s="27">
        <v>1.2195</v>
      </c>
      <c r="P15" s="19">
        <v>73.96</v>
      </c>
      <c r="Q15" s="5"/>
      <c r="R15" s="27">
        <v>1.2158</v>
      </c>
      <c r="S15" s="19">
        <v>73.92</v>
      </c>
      <c r="T15" s="5"/>
      <c r="U15" s="27">
        <v>1.2136</v>
      </c>
      <c r="V15" s="19">
        <v>73.93</v>
      </c>
      <c r="W15" s="5"/>
      <c r="X15" s="27">
        <v>1.204</v>
      </c>
      <c r="Y15" s="19">
        <v>74.09</v>
      </c>
      <c r="Z15" s="5"/>
      <c r="AA15" s="27">
        <v>1.202</v>
      </c>
      <c r="AB15" s="19">
        <v>73.98</v>
      </c>
      <c r="AC15" s="5"/>
      <c r="AD15" s="27">
        <v>1.2026</v>
      </c>
      <c r="AE15" s="19">
        <v>73.93</v>
      </c>
      <c r="AF15" s="5"/>
      <c r="AG15" s="27">
        <v>1.2001</v>
      </c>
      <c r="AH15" s="19">
        <v>74.02</v>
      </c>
      <c r="AI15" s="5"/>
      <c r="AJ15" s="27">
        <v>1.2002</v>
      </c>
      <c r="AK15" s="19">
        <v>74.01</v>
      </c>
      <c r="AL15" s="5"/>
      <c r="AM15" s="27">
        <v>1.2019</v>
      </c>
      <c r="AN15" s="19">
        <v>73.81</v>
      </c>
      <c r="AO15" s="5"/>
      <c r="AP15" s="27">
        <v>1.1997</v>
      </c>
      <c r="AQ15" s="19">
        <v>73.83</v>
      </c>
      <c r="AR15" s="5"/>
      <c r="AS15" s="27">
        <v>1.206</v>
      </c>
      <c r="AT15" s="19">
        <v>73.49</v>
      </c>
      <c r="AU15" s="5"/>
      <c r="AV15" s="27">
        <v>1.2037</v>
      </c>
      <c r="AW15" s="19">
        <v>73.38</v>
      </c>
      <c r="AX15" s="5"/>
      <c r="AY15" s="27">
        <v>1.2049</v>
      </c>
      <c r="AZ15" s="19">
        <v>73.35</v>
      </c>
      <c r="BA15" s="5"/>
      <c r="BB15" s="27">
        <v>1.2121</v>
      </c>
      <c r="BC15" s="19">
        <v>73.21</v>
      </c>
      <c r="BD15" s="5"/>
      <c r="BE15" s="27">
        <v>1.2122</v>
      </c>
      <c r="BF15" s="19">
        <v>73.38</v>
      </c>
      <c r="BG15" s="5"/>
      <c r="BH15" s="27">
        <v>1.2103</v>
      </c>
      <c r="BI15" s="19">
        <v>73.68</v>
      </c>
      <c r="BJ15" s="5"/>
      <c r="BK15" s="27">
        <v>1.203</v>
      </c>
      <c r="BL15" s="19">
        <v>74.08</v>
      </c>
      <c r="BM15" s="5"/>
      <c r="BN15" s="27">
        <v>1.2047</v>
      </c>
      <c r="BO15" s="19">
        <v>73.75</v>
      </c>
      <c r="BP15" s="5"/>
      <c r="BQ15" s="67">
        <v>1.2078772727272726</v>
      </c>
      <c r="BR15" s="67">
        <v>73.83363636363636</v>
      </c>
      <c r="BS15" s="9"/>
      <c r="BT15" s="31"/>
      <c r="BU15" s="32"/>
      <c r="BV15" s="31"/>
      <c r="BW15" s="32"/>
      <c r="BZ15" s="9"/>
      <c r="CA15" s="31"/>
      <c r="CB15" s="32"/>
    </row>
    <row r="16" spans="1:80" ht="15.75" customHeight="1">
      <c r="A16" s="16">
        <v>4</v>
      </c>
      <c r="B16" s="17" t="s">
        <v>17</v>
      </c>
      <c r="C16" s="27">
        <f>1/1.3573</f>
        <v>0.7367567965814484</v>
      </c>
      <c r="D16" s="19">
        <v>122.2</v>
      </c>
      <c r="E16" s="5"/>
      <c r="F16" s="27">
        <f>1/1.3607</f>
        <v>0.7349158521349305</v>
      </c>
      <c r="G16" s="19">
        <v>122.32</v>
      </c>
      <c r="H16" s="5"/>
      <c r="I16" s="27">
        <f>1/1.3621</f>
        <v>0.7341604874825637</v>
      </c>
      <c r="J16" s="19">
        <v>122.42</v>
      </c>
      <c r="K16" s="5"/>
      <c r="L16" s="60">
        <f>1/1.3646</f>
        <v>0.7328154770628755</v>
      </c>
      <c r="M16" s="19">
        <v>122.6</v>
      </c>
      <c r="N16" s="5"/>
      <c r="O16" s="27">
        <f>1/1.3594</f>
        <v>0.7356186552890982</v>
      </c>
      <c r="P16" s="19">
        <v>122.53</v>
      </c>
      <c r="Q16" s="5"/>
      <c r="R16" s="27">
        <f>1/1.3632</f>
        <v>0.7335680751173709</v>
      </c>
      <c r="S16" s="19">
        <v>122.41</v>
      </c>
      <c r="T16" s="5"/>
      <c r="U16" s="27">
        <f>1/1.3644</f>
        <v>0.732922896511287</v>
      </c>
      <c r="V16" s="19">
        <v>122.26</v>
      </c>
      <c r="W16" s="5"/>
      <c r="X16" s="27">
        <f>1/1.3738</f>
        <v>0.7279079924297569</v>
      </c>
      <c r="Y16" s="19">
        <v>122.47</v>
      </c>
      <c r="Z16" s="5"/>
      <c r="AA16" s="27">
        <f>1/1.3786</f>
        <v>0.7253735673872044</v>
      </c>
      <c r="AB16" s="19">
        <v>122.53</v>
      </c>
      <c r="AC16" s="5"/>
      <c r="AD16" s="27">
        <f>1/1.3782</f>
        <v>0.7255840951966332</v>
      </c>
      <c r="AE16" s="19">
        <v>122.46</v>
      </c>
      <c r="AF16" s="5"/>
      <c r="AG16" s="27">
        <f>1/1.3796</f>
        <v>0.7248477819657873</v>
      </c>
      <c r="AH16" s="19">
        <v>122.45</v>
      </c>
      <c r="AI16" s="5"/>
      <c r="AJ16" s="27">
        <f>1/1.3769</f>
        <v>0.7262691553489723</v>
      </c>
      <c r="AK16" s="19">
        <v>122.32</v>
      </c>
      <c r="AL16" s="5"/>
      <c r="AM16" s="27">
        <f>1/1.379</f>
        <v>0.7251631617113851</v>
      </c>
      <c r="AN16" s="19">
        <v>122.28</v>
      </c>
      <c r="AO16" s="5"/>
      <c r="AP16" s="27">
        <f>1/1.3817</f>
        <v>0.7237461098646595</v>
      </c>
      <c r="AQ16" s="19">
        <v>122.29</v>
      </c>
      <c r="AR16" s="5"/>
      <c r="AS16" s="27">
        <f>1/1.3784</f>
        <v>0.7254788160185722</v>
      </c>
      <c r="AT16" s="19">
        <v>122.19</v>
      </c>
      <c r="AU16" s="5"/>
      <c r="AV16" s="27">
        <f>1/1.3809</f>
        <v>0.7241653993772178</v>
      </c>
      <c r="AW16" s="19">
        <v>122</v>
      </c>
      <c r="AX16" s="5"/>
      <c r="AY16" s="27">
        <f>1/1.3815</f>
        <v>0.7238508867173362</v>
      </c>
      <c r="AZ16" s="19">
        <v>122.09</v>
      </c>
      <c r="BA16" s="5"/>
      <c r="BB16" s="27">
        <f>1/1.374</f>
        <v>0.727802037845706</v>
      </c>
      <c r="BC16" s="19">
        <v>122.01</v>
      </c>
      <c r="BD16" s="5"/>
      <c r="BE16" s="27">
        <f>1/1.3723</f>
        <v>0.7287036362311448</v>
      </c>
      <c r="BF16" s="19">
        <v>122.05</v>
      </c>
      <c r="BG16" s="5"/>
      <c r="BH16" s="27">
        <f>1/1.3666</f>
        <v>0.7317430118542367</v>
      </c>
      <c r="BI16" s="19">
        <v>121.92</v>
      </c>
      <c r="BJ16" s="5"/>
      <c r="BK16" s="27">
        <f>1/1.3673</f>
        <v>0.731368390258173</v>
      </c>
      <c r="BL16" s="19">
        <v>121.78</v>
      </c>
      <c r="BM16" s="5"/>
      <c r="BN16" s="27">
        <f>1/1.3707</f>
        <v>0.7295542423579193</v>
      </c>
      <c r="BO16" s="19">
        <v>121.7</v>
      </c>
      <c r="BP16" s="5"/>
      <c r="BQ16" s="67">
        <v>0.7291962056701947</v>
      </c>
      <c r="BR16" s="67">
        <v>122.24</v>
      </c>
      <c r="BS16" s="9"/>
      <c r="BT16" s="31"/>
      <c r="BU16" s="32"/>
      <c r="BV16" s="31"/>
      <c r="BW16" s="32"/>
      <c r="BZ16" s="9"/>
      <c r="CA16" s="31"/>
      <c r="CB16" s="32"/>
    </row>
    <row r="17" spans="1:80" ht="15.75" customHeight="1">
      <c r="A17" s="16">
        <v>5</v>
      </c>
      <c r="B17" s="17" t="s">
        <v>18</v>
      </c>
      <c r="C17" s="27">
        <v>650.5</v>
      </c>
      <c r="D17" s="19">
        <v>58642.58</v>
      </c>
      <c r="E17" s="5"/>
      <c r="F17" s="27">
        <v>656.6</v>
      </c>
      <c r="G17" s="19">
        <v>59093.18</v>
      </c>
      <c r="H17" s="5"/>
      <c r="I17" s="27">
        <v>653.55</v>
      </c>
      <c r="J17" s="19">
        <v>58812.15</v>
      </c>
      <c r="K17" s="5"/>
      <c r="L17" s="27">
        <v>655.65</v>
      </c>
      <c r="M17" s="19">
        <v>58968.34</v>
      </c>
      <c r="N17" s="5"/>
      <c r="O17" s="27">
        <v>647</v>
      </c>
      <c r="P17" s="19">
        <v>58352.12</v>
      </c>
      <c r="Q17" s="5"/>
      <c r="R17" s="27">
        <v>656.9</v>
      </c>
      <c r="S17" s="19">
        <v>59038.48</v>
      </c>
      <c r="T17" s="5"/>
      <c r="U17" s="27">
        <v>661</v>
      </c>
      <c r="V17" s="19">
        <v>59304.09</v>
      </c>
      <c r="W17" s="5"/>
      <c r="X17" s="27">
        <v>664.3</v>
      </c>
      <c r="Y17" s="19">
        <v>59258.47</v>
      </c>
      <c r="Z17" s="5"/>
      <c r="AA17" s="27">
        <v>662.5</v>
      </c>
      <c r="AB17" s="19">
        <v>58912.81</v>
      </c>
      <c r="AC17" s="5"/>
      <c r="AD17" s="27">
        <v>667.65</v>
      </c>
      <c r="AE17" s="19">
        <v>59355.75</v>
      </c>
      <c r="AF17" s="5"/>
      <c r="AG17" s="27">
        <v>667.1</v>
      </c>
      <c r="AH17" s="19">
        <v>59257.66</v>
      </c>
      <c r="AI17" s="5"/>
      <c r="AJ17" s="27">
        <v>662.7</v>
      </c>
      <c r="AK17" s="19">
        <v>58864.33</v>
      </c>
      <c r="AL17" s="5"/>
      <c r="AM17" s="27">
        <v>667.8</v>
      </c>
      <c r="AN17" s="19">
        <v>59243.04</v>
      </c>
      <c r="AO17" s="5"/>
      <c r="AP17" s="27">
        <v>672.95</v>
      </c>
      <c r="AQ17" s="19">
        <v>59602.76</v>
      </c>
      <c r="AR17" s="5"/>
      <c r="AS17" s="27">
        <v>676</v>
      </c>
      <c r="AT17" s="19">
        <v>59910.08</v>
      </c>
      <c r="AU17" s="5"/>
      <c r="AV17" s="27">
        <v>683.1</v>
      </c>
      <c r="AW17" s="19">
        <v>60333.53</v>
      </c>
      <c r="AX17" s="5"/>
      <c r="AY17" s="27">
        <v>683.3</v>
      </c>
      <c r="AZ17" s="19">
        <v>60386.64</v>
      </c>
      <c r="BA17" s="5"/>
      <c r="BB17" s="27">
        <v>676.75</v>
      </c>
      <c r="BC17" s="19">
        <v>60053.95</v>
      </c>
      <c r="BD17" s="5"/>
      <c r="BE17" s="27">
        <v>675.25</v>
      </c>
      <c r="BF17" s="19">
        <v>60061.8</v>
      </c>
      <c r="BG17" s="5"/>
      <c r="BH17" s="27">
        <v>662.95</v>
      </c>
      <c r="BI17" s="19">
        <v>59121.05</v>
      </c>
      <c r="BJ17" s="5"/>
      <c r="BK17" s="27">
        <v>661.45</v>
      </c>
      <c r="BL17" s="19">
        <v>58946.77</v>
      </c>
      <c r="BM17" s="5"/>
      <c r="BN17" s="27">
        <v>666.7</v>
      </c>
      <c r="BO17" s="19">
        <v>59232.96</v>
      </c>
      <c r="BP17" s="5"/>
      <c r="BQ17" s="67">
        <v>665.0772727272729</v>
      </c>
      <c r="BR17" s="67">
        <v>59306.93363636364</v>
      </c>
      <c r="BS17" s="9"/>
      <c r="BT17" s="31"/>
      <c r="BU17" s="32"/>
      <c r="BV17" s="31"/>
      <c r="BW17" s="32"/>
      <c r="BZ17" s="9"/>
      <c r="CA17" s="31"/>
      <c r="CB17" s="32"/>
    </row>
    <row r="18" spans="1:80" ht="15.75" customHeight="1">
      <c r="A18" s="16">
        <v>6</v>
      </c>
      <c r="B18" s="20" t="s">
        <v>19</v>
      </c>
      <c r="C18" s="27">
        <v>12.45</v>
      </c>
      <c r="D18" s="19">
        <v>1122.37</v>
      </c>
      <c r="E18" s="5"/>
      <c r="F18" s="27">
        <v>12.6</v>
      </c>
      <c r="G18" s="19">
        <v>1133.98</v>
      </c>
      <c r="H18" s="5"/>
      <c r="I18" s="27">
        <v>12.59</v>
      </c>
      <c r="J18" s="19">
        <v>1132.96</v>
      </c>
      <c r="K18" s="5"/>
      <c r="L18" s="27">
        <v>12.63</v>
      </c>
      <c r="M18" s="19">
        <v>1135.93</v>
      </c>
      <c r="N18" s="5"/>
      <c r="O18" s="27">
        <v>12.44</v>
      </c>
      <c r="P18" s="19">
        <v>1121.95</v>
      </c>
      <c r="Q18" s="5"/>
      <c r="R18" s="27">
        <v>12.75</v>
      </c>
      <c r="S18" s="19">
        <v>1145.9</v>
      </c>
      <c r="T18" s="5"/>
      <c r="U18" s="27">
        <v>12.75</v>
      </c>
      <c r="V18" s="19">
        <v>1143.91</v>
      </c>
      <c r="W18" s="5"/>
      <c r="X18" s="27">
        <v>12.94</v>
      </c>
      <c r="Y18" s="19">
        <v>1154.3</v>
      </c>
      <c r="Z18" s="5"/>
      <c r="AA18" s="27">
        <v>12.89</v>
      </c>
      <c r="AB18" s="19">
        <v>1146.24</v>
      </c>
      <c r="AC18" s="5"/>
      <c r="AD18" s="27">
        <v>13.11</v>
      </c>
      <c r="AE18" s="19">
        <v>1165.51</v>
      </c>
      <c r="AF18" s="5"/>
      <c r="AG18" s="27">
        <v>13.03</v>
      </c>
      <c r="AH18" s="19">
        <v>1157.44</v>
      </c>
      <c r="AI18" s="5"/>
      <c r="AJ18" s="27">
        <v>12.87</v>
      </c>
      <c r="AK18" s="19">
        <v>1143.18</v>
      </c>
      <c r="AL18" s="5"/>
      <c r="AM18" s="27">
        <v>12.97</v>
      </c>
      <c r="AN18" s="19">
        <v>1150.62</v>
      </c>
      <c r="AO18" s="5"/>
      <c r="AP18" s="27">
        <v>13.23</v>
      </c>
      <c r="AQ18" s="19">
        <v>1171.77</v>
      </c>
      <c r="AR18" s="5"/>
      <c r="AS18" s="27">
        <v>13.27</v>
      </c>
      <c r="AT18" s="19">
        <v>1176.05</v>
      </c>
      <c r="AU18" s="5"/>
      <c r="AV18" s="27">
        <v>13.31</v>
      </c>
      <c r="AW18" s="19">
        <v>1175.58</v>
      </c>
      <c r="AX18" s="5"/>
      <c r="AY18" s="27">
        <v>13.32</v>
      </c>
      <c r="AZ18" s="19">
        <v>1177.16</v>
      </c>
      <c r="BA18" s="5"/>
      <c r="BB18" s="27">
        <v>13.14</v>
      </c>
      <c r="BC18" s="19">
        <v>1166.03</v>
      </c>
      <c r="BD18" s="5"/>
      <c r="BE18" s="27">
        <v>13.13</v>
      </c>
      <c r="BF18" s="19">
        <v>1167.88</v>
      </c>
      <c r="BG18" s="5"/>
      <c r="BH18" s="27">
        <v>12.77</v>
      </c>
      <c r="BI18" s="19">
        <v>1138.81</v>
      </c>
      <c r="BJ18" s="5"/>
      <c r="BK18" s="27">
        <v>12.69</v>
      </c>
      <c r="BL18" s="19">
        <v>1130.9</v>
      </c>
      <c r="BM18" s="5"/>
      <c r="BN18" s="27">
        <v>12.91</v>
      </c>
      <c r="BO18" s="19">
        <v>1146.99</v>
      </c>
      <c r="BP18" s="5"/>
      <c r="BQ18" s="67">
        <v>12.899545454545455</v>
      </c>
      <c r="BR18" s="67">
        <v>1150.248181818182</v>
      </c>
      <c r="BS18" s="9"/>
      <c r="BT18" s="31"/>
      <c r="BU18" s="32"/>
      <c r="BV18" s="31"/>
      <c r="BW18" s="32"/>
      <c r="BZ18" s="9"/>
      <c r="CA18" s="31"/>
      <c r="CB18" s="32"/>
    </row>
    <row r="19" spans="1:80" ht="15.75" customHeight="1">
      <c r="A19" s="16">
        <v>7</v>
      </c>
      <c r="B19" s="17" t="s">
        <v>20</v>
      </c>
      <c r="C19" s="27">
        <f>1/0.8546</f>
        <v>1.1701380762930025</v>
      </c>
      <c r="D19" s="19">
        <v>77.04</v>
      </c>
      <c r="E19" s="5"/>
      <c r="F19" s="27">
        <f>1/0.8561</f>
        <v>1.1680878402055834</v>
      </c>
      <c r="G19" s="19">
        <v>77.05</v>
      </c>
      <c r="H19" s="5"/>
      <c r="I19" s="27">
        <f>1/0.8574</f>
        <v>1.166316771635176</v>
      </c>
      <c r="J19" s="19">
        <v>77.16</v>
      </c>
      <c r="K19" s="5"/>
      <c r="L19" s="27">
        <f>1/0.858</f>
        <v>1.1655011655011656</v>
      </c>
      <c r="M19" s="19">
        <v>77.17</v>
      </c>
      <c r="N19" s="5"/>
      <c r="O19" s="27">
        <f>1/0.8565</f>
        <v>1.1675423234092235</v>
      </c>
      <c r="P19" s="19">
        <v>77.25</v>
      </c>
      <c r="Q19" s="5"/>
      <c r="R19" s="27">
        <f>1/0.8607</f>
        <v>1.1618450098756825</v>
      </c>
      <c r="S19" s="19">
        <v>77.35</v>
      </c>
      <c r="T19" s="5"/>
      <c r="U19" s="27">
        <f>1/0.8591</f>
        <v>1.1640088464672331</v>
      </c>
      <c r="V19" s="19">
        <v>77.08</v>
      </c>
      <c r="W19" s="5"/>
      <c r="X19" s="27">
        <f>1/0.8601</f>
        <v>1.162655505173817</v>
      </c>
      <c r="Y19" s="19">
        <v>76.72</v>
      </c>
      <c r="Z19" s="5"/>
      <c r="AA19" s="27">
        <f>1/0.8632</f>
        <v>1.1584800741427248</v>
      </c>
      <c r="AB19" s="19">
        <v>76.76</v>
      </c>
      <c r="AC19" s="5"/>
      <c r="AD19" s="27">
        <f>1/0.8681</f>
        <v>1.1519410206197442</v>
      </c>
      <c r="AE19" s="19">
        <v>77.18</v>
      </c>
      <c r="AF19" s="5"/>
      <c r="AG19" s="27">
        <f>1/0.8743</f>
        <v>1.1437721605856115</v>
      </c>
      <c r="AH19" s="19">
        <v>77.66</v>
      </c>
      <c r="AI19" s="5"/>
      <c r="AJ19" s="27">
        <f>1/0.87</f>
        <v>1.1494252873563218</v>
      </c>
      <c r="AK19" s="19">
        <v>77.59</v>
      </c>
      <c r="AL19" s="5"/>
      <c r="AM19" s="27">
        <f>1/0.8753</f>
        <v>1.1424654404204273</v>
      </c>
      <c r="AN19" s="19">
        <v>77.65</v>
      </c>
      <c r="AO19" s="5"/>
      <c r="AP19" s="27">
        <f>1/0.8793</f>
        <v>1.1372682815876265</v>
      </c>
      <c r="AQ19" s="19">
        <v>77.88</v>
      </c>
      <c r="AR19" s="5"/>
      <c r="AS19" s="27">
        <f>1/0.8793</f>
        <v>1.1372682815876265</v>
      </c>
      <c r="AT19" s="19">
        <v>77.93</v>
      </c>
      <c r="AU19" s="5"/>
      <c r="AV19" s="27">
        <f>1/0.8826</f>
        <v>1.1330160888284613</v>
      </c>
      <c r="AW19" s="19">
        <v>77.95</v>
      </c>
      <c r="AX19" s="5"/>
      <c r="AY19" s="27">
        <f>1/0.8846</f>
        <v>1.1304544426859597</v>
      </c>
      <c r="AZ19" s="19">
        <v>78.18</v>
      </c>
      <c r="BA19" s="5"/>
      <c r="BB19" s="27">
        <f>1/0.8846</f>
        <v>1.1304544426859597</v>
      </c>
      <c r="BC19" s="19">
        <v>78.5</v>
      </c>
      <c r="BD19" s="5"/>
      <c r="BE19" s="27">
        <f>1/0.8853</f>
        <v>1.1295606009262398</v>
      </c>
      <c r="BF19" s="19">
        <v>78.75</v>
      </c>
      <c r="BG19" s="5"/>
      <c r="BH19" s="27">
        <f>1/0.8603</f>
        <v>1.1623852144600721</v>
      </c>
      <c r="BI19" s="19">
        <v>76.72</v>
      </c>
      <c r="BJ19" s="5"/>
      <c r="BK19" s="27">
        <f>1/0.8527</f>
        <v>1.172745396974317</v>
      </c>
      <c r="BL19" s="19">
        <v>75.99</v>
      </c>
      <c r="BM19" s="18"/>
      <c r="BN19" s="27">
        <f>1/0.8587</f>
        <v>1.164551065564225</v>
      </c>
      <c r="BO19" s="19">
        <v>76.29</v>
      </c>
      <c r="BP19" s="18"/>
      <c r="BQ19" s="67">
        <v>1.1531765153175546</v>
      </c>
      <c r="BR19" s="67">
        <v>77.35681818181818</v>
      </c>
      <c r="BS19" s="24"/>
      <c r="BT19" s="31"/>
      <c r="BU19" s="32"/>
      <c r="BV19" s="31"/>
      <c r="BW19" s="32"/>
      <c r="BZ19" s="24"/>
      <c r="CA19" s="31"/>
      <c r="CB19" s="32"/>
    </row>
    <row r="20" spans="1:80" ht="15.75" customHeight="1">
      <c r="A20" s="16">
        <v>8</v>
      </c>
      <c r="B20" s="17" t="s">
        <v>21</v>
      </c>
      <c r="C20" s="27">
        <v>1.0592</v>
      </c>
      <c r="D20" s="19">
        <v>85.11</v>
      </c>
      <c r="E20" s="5"/>
      <c r="F20" s="27">
        <v>1.0571</v>
      </c>
      <c r="G20" s="19">
        <v>85.14</v>
      </c>
      <c r="H20" s="5"/>
      <c r="I20" s="27">
        <v>1.0577</v>
      </c>
      <c r="J20" s="19">
        <v>85.08</v>
      </c>
      <c r="K20" s="5"/>
      <c r="L20" s="27">
        <v>1.0572</v>
      </c>
      <c r="M20" s="19">
        <v>85.07</v>
      </c>
      <c r="N20" s="5"/>
      <c r="O20" s="27">
        <v>1.0555</v>
      </c>
      <c r="P20" s="19">
        <v>85.45</v>
      </c>
      <c r="Q20" s="5"/>
      <c r="R20" s="27">
        <v>1.0459</v>
      </c>
      <c r="S20" s="19">
        <v>85.93</v>
      </c>
      <c r="T20" s="5"/>
      <c r="U20" s="27">
        <v>1.049</v>
      </c>
      <c r="V20" s="19">
        <v>85.53</v>
      </c>
      <c r="W20" s="5"/>
      <c r="X20" s="27">
        <v>1.0603</v>
      </c>
      <c r="Y20" s="19">
        <v>84.13</v>
      </c>
      <c r="Z20" s="5"/>
      <c r="AA20" s="27">
        <v>1.0515</v>
      </c>
      <c r="AB20" s="19">
        <v>84.57</v>
      </c>
      <c r="AC20" s="5"/>
      <c r="AD20" s="27">
        <v>1.0467</v>
      </c>
      <c r="AE20" s="19">
        <v>84.94</v>
      </c>
      <c r="AF20" s="5"/>
      <c r="AG20" s="27">
        <v>1.0458</v>
      </c>
      <c r="AH20" s="19">
        <v>84.94</v>
      </c>
      <c r="AI20" s="5"/>
      <c r="AJ20" s="27">
        <v>1.0445</v>
      </c>
      <c r="AK20" s="19">
        <v>85.04</v>
      </c>
      <c r="AL20" s="5"/>
      <c r="AM20" s="27">
        <v>1.043</v>
      </c>
      <c r="AN20" s="19">
        <v>85.06</v>
      </c>
      <c r="AO20" s="5"/>
      <c r="AP20" s="27">
        <v>1.044</v>
      </c>
      <c r="AQ20" s="19">
        <v>84.84</v>
      </c>
      <c r="AR20" s="5"/>
      <c r="AS20" s="27">
        <v>1.0439</v>
      </c>
      <c r="AT20" s="19">
        <v>84.9</v>
      </c>
      <c r="AU20" s="5"/>
      <c r="AV20" s="27">
        <v>1.043</v>
      </c>
      <c r="AW20" s="19">
        <v>84.68</v>
      </c>
      <c r="AX20" s="5"/>
      <c r="AY20" s="27">
        <v>1.0451</v>
      </c>
      <c r="AZ20" s="19">
        <v>84.56</v>
      </c>
      <c r="BA20" s="5"/>
      <c r="BB20" s="27">
        <v>1.0381</v>
      </c>
      <c r="BC20" s="19">
        <v>85.48</v>
      </c>
      <c r="BD20" s="5"/>
      <c r="BE20" s="27">
        <v>1.0407</v>
      </c>
      <c r="BF20" s="19">
        <v>85.47</v>
      </c>
      <c r="BG20" s="5"/>
      <c r="BH20" s="27">
        <v>1.058</v>
      </c>
      <c r="BI20" s="19">
        <v>84.29</v>
      </c>
      <c r="BJ20" s="5"/>
      <c r="BK20" s="27">
        <v>1.0663</v>
      </c>
      <c r="BL20" s="19">
        <v>83.58</v>
      </c>
      <c r="BM20" s="5"/>
      <c r="BN20" s="27">
        <v>1.0606</v>
      </c>
      <c r="BO20" s="19">
        <v>83.77</v>
      </c>
      <c r="BP20" s="5"/>
      <c r="BQ20" s="67">
        <v>1.0505954545454548</v>
      </c>
      <c r="BR20" s="67">
        <v>84.88909090909091</v>
      </c>
      <c r="BS20" s="9"/>
      <c r="BT20" s="31"/>
      <c r="BU20" s="32"/>
      <c r="BV20" s="31"/>
      <c r="BW20" s="32"/>
      <c r="BZ20" s="9"/>
      <c r="CA20" s="31"/>
      <c r="CB20" s="32"/>
    </row>
    <row r="21" spans="1:80" ht="15.75" customHeight="1">
      <c r="A21" s="16">
        <v>9</v>
      </c>
      <c r="B21" s="17" t="s">
        <v>22</v>
      </c>
      <c r="C21" s="27">
        <v>6.8128</v>
      </c>
      <c r="D21" s="19">
        <v>13.23</v>
      </c>
      <c r="E21" s="5"/>
      <c r="F21" s="27">
        <v>6.7818</v>
      </c>
      <c r="G21" s="19">
        <v>13.27</v>
      </c>
      <c r="H21" s="5"/>
      <c r="I21" s="27">
        <v>6.7333</v>
      </c>
      <c r="J21" s="19">
        <v>13.36</v>
      </c>
      <c r="K21" s="5"/>
      <c r="L21" s="27">
        <v>6.7043</v>
      </c>
      <c r="M21" s="19">
        <v>13.42</v>
      </c>
      <c r="N21" s="5"/>
      <c r="O21" s="27">
        <v>6.731</v>
      </c>
      <c r="P21" s="19">
        <v>13.4</v>
      </c>
      <c r="Q21" s="5"/>
      <c r="R21" s="27">
        <v>6.7245</v>
      </c>
      <c r="S21" s="19">
        <v>13.37</v>
      </c>
      <c r="T21" s="5"/>
      <c r="U21" s="27">
        <v>6.7297</v>
      </c>
      <c r="V21" s="19">
        <v>13.33</v>
      </c>
      <c r="W21" s="5"/>
      <c r="X21" s="27">
        <v>6.6693</v>
      </c>
      <c r="Y21" s="19">
        <v>13.38</v>
      </c>
      <c r="Z21" s="5"/>
      <c r="AA21" s="27">
        <v>6.6405</v>
      </c>
      <c r="AB21" s="19">
        <v>13.39</v>
      </c>
      <c r="AC21" s="5"/>
      <c r="AD21" s="27">
        <v>6.6391</v>
      </c>
      <c r="AE21" s="19">
        <v>13.39</v>
      </c>
      <c r="AF21" s="5"/>
      <c r="AG21" s="27">
        <v>6.6362</v>
      </c>
      <c r="AH21" s="19">
        <v>13.39</v>
      </c>
      <c r="AI21" s="5"/>
      <c r="AJ21" s="27">
        <v>6.6474</v>
      </c>
      <c r="AK21" s="19">
        <v>13.36</v>
      </c>
      <c r="AL21" s="5"/>
      <c r="AM21" s="27">
        <v>6.6505</v>
      </c>
      <c r="AN21" s="19">
        <v>13.34</v>
      </c>
      <c r="AO21" s="5"/>
      <c r="AP21" s="27">
        <v>6.6396</v>
      </c>
      <c r="AQ21" s="19">
        <v>13.34</v>
      </c>
      <c r="AR21" s="5"/>
      <c r="AS21" s="27">
        <v>6.6487</v>
      </c>
      <c r="AT21" s="19">
        <v>13.33</v>
      </c>
      <c r="AU21" s="5"/>
      <c r="AV21" s="27">
        <v>6.6473</v>
      </c>
      <c r="AW21" s="19">
        <v>13.29</v>
      </c>
      <c r="AX21" s="5"/>
      <c r="AY21" s="27">
        <v>6.6357</v>
      </c>
      <c r="AZ21" s="19">
        <v>13.32</v>
      </c>
      <c r="BA21" s="5"/>
      <c r="BB21" s="27">
        <v>6.7156</v>
      </c>
      <c r="BC21" s="19">
        <v>13.21</v>
      </c>
      <c r="BD21" s="5"/>
      <c r="BE21" s="27">
        <v>6.7098</v>
      </c>
      <c r="BF21" s="19">
        <v>13.26</v>
      </c>
      <c r="BG21" s="5"/>
      <c r="BH21" s="27">
        <v>6.7541</v>
      </c>
      <c r="BI21" s="19">
        <v>13.2</v>
      </c>
      <c r="BJ21" s="5"/>
      <c r="BK21" s="27">
        <v>6.7245</v>
      </c>
      <c r="BL21" s="19">
        <v>13.25</v>
      </c>
      <c r="BM21" s="5"/>
      <c r="BN21" s="27">
        <v>6.7016</v>
      </c>
      <c r="BO21" s="19">
        <v>13.26</v>
      </c>
      <c r="BP21" s="5"/>
      <c r="BQ21" s="67">
        <v>6.694422727272729</v>
      </c>
      <c r="BR21" s="67">
        <v>13.322272727272729</v>
      </c>
      <c r="BS21" s="9"/>
      <c r="BT21" s="31"/>
      <c r="BU21" s="32"/>
      <c r="BV21" s="31"/>
      <c r="BW21" s="32"/>
      <c r="BZ21" s="9"/>
      <c r="CA21" s="31"/>
      <c r="CB21" s="32"/>
    </row>
    <row r="22" spans="1:80" ht="15.75" customHeight="1">
      <c r="A22" s="16">
        <v>10</v>
      </c>
      <c r="B22" s="17" t="s">
        <v>23</v>
      </c>
      <c r="C22" s="27">
        <v>5.8703</v>
      </c>
      <c r="D22" s="19">
        <v>15.36</v>
      </c>
      <c r="E22" s="5"/>
      <c r="F22" s="27">
        <v>5.831</v>
      </c>
      <c r="G22" s="19">
        <v>15.43</v>
      </c>
      <c r="H22" s="5"/>
      <c r="I22" s="27">
        <v>5.8264</v>
      </c>
      <c r="J22" s="19">
        <v>15.45</v>
      </c>
      <c r="K22" s="5"/>
      <c r="L22" s="27">
        <v>5.8105</v>
      </c>
      <c r="M22" s="19">
        <v>15.48</v>
      </c>
      <c r="N22" s="5"/>
      <c r="O22" s="27">
        <v>5.816</v>
      </c>
      <c r="P22" s="19">
        <v>15.51</v>
      </c>
      <c r="Q22" s="5"/>
      <c r="R22" s="27">
        <v>5.79</v>
      </c>
      <c r="S22" s="19">
        <v>15.52</v>
      </c>
      <c r="T22" s="5"/>
      <c r="U22" s="27">
        <v>5.8331</v>
      </c>
      <c r="V22" s="19">
        <v>15.38</v>
      </c>
      <c r="W22" s="5"/>
      <c r="X22" s="27">
        <v>5.7949</v>
      </c>
      <c r="Y22" s="19">
        <v>15.39</v>
      </c>
      <c r="Z22" s="5"/>
      <c r="AA22" s="27">
        <v>5.7583</v>
      </c>
      <c r="AB22" s="19">
        <v>15.44</v>
      </c>
      <c r="AC22" s="5"/>
      <c r="AD22" s="27">
        <v>5.744</v>
      </c>
      <c r="AE22" s="19">
        <v>15.48</v>
      </c>
      <c r="AF22" s="5"/>
      <c r="AG22" s="27">
        <v>5.7272</v>
      </c>
      <c r="AH22" s="19">
        <v>15.51</v>
      </c>
      <c r="AI22" s="5"/>
      <c r="AJ22" s="27">
        <v>5.719</v>
      </c>
      <c r="AK22" s="19">
        <v>15.53</v>
      </c>
      <c r="AL22" s="5"/>
      <c r="AM22" s="27">
        <v>5.7375</v>
      </c>
      <c r="AN22" s="19">
        <v>15.46</v>
      </c>
      <c r="AO22" s="5"/>
      <c r="AP22" s="27">
        <v>5.7134</v>
      </c>
      <c r="AQ22" s="19">
        <v>15.5</v>
      </c>
      <c r="AR22" s="5"/>
      <c r="AS22" s="27">
        <v>5.738</v>
      </c>
      <c r="AT22" s="19">
        <v>15.45</v>
      </c>
      <c r="AU22" s="5"/>
      <c r="AV22" s="27">
        <v>5.7273</v>
      </c>
      <c r="AW22" s="19">
        <v>15.42</v>
      </c>
      <c r="AX22" s="5"/>
      <c r="AY22" s="27">
        <v>5.727</v>
      </c>
      <c r="AZ22" s="19">
        <v>15.43</v>
      </c>
      <c r="BA22" s="5"/>
      <c r="BB22" s="27">
        <v>5.7894</v>
      </c>
      <c r="BC22" s="19">
        <v>15.33</v>
      </c>
      <c r="BD22" s="5"/>
      <c r="BE22" s="27">
        <v>5.7885</v>
      </c>
      <c r="BF22" s="19">
        <v>15.37</v>
      </c>
      <c r="BG22" s="5"/>
      <c r="BH22" s="27">
        <v>5.8702</v>
      </c>
      <c r="BI22" s="19">
        <v>15.19</v>
      </c>
      <c r="BJ22" s="5"/>
      <c r="BK22" s="27">
        <v>5.8576</v>
      </c>
      <c r="BL22" s="19">
        <v>15.21</v>
      </c>
      <c r="BM22" s="5"/>
      <c r="BN22" s="27">
        <v>5.809</v>
      </c>
      <c r="BO22" s="19">
        <v>15.29</v>
      </c>
      <c r="BP22" s="5"/>
      <c r="BQ22" s="67">
        <v>5.785390909090909</v>
      </c>
      <c r="BR22" s="67">
        <v>15.415</v>
      </c>
      <c r="BS22" s="9"/>
      <c r="BT22" s="31"/>
      <c r="BU22" s="32"/>
      <c r="BV22" s="31"/>
      <c r="BW22" s="32"/>
      <c r="BZ22" s="9"/>
      <c r="CA22" s="31"/>
      <c r="CB22" s="32"/>
    </row>
    <row r="23" spans="1:80" ht="15.75" customHeight="1">
      <c r="A23" s="16">
        <v>11</v>
      </c>
      <c r="B23" s="17" t="s">
        <v>24</v>
      </c>
      <c r="C23" s="27">
        <v>5.4809</v>
      </c>
      <c r="D23" s="19">
        <v>16.45</v>
      </c>
      <c r="E23" s="5"/>
      <c r="F23" s="27">
        <v>5.4681</v>
      </c>
      <c r="G23" s="19">
        <v>16.46</v>
      </c>
      <c r="H23" s="5"/>
      <c r="I23" s="27">
        <v>5.463</v>
      </c>
      <c r="J23" s="19">
        <v>16.47</v>
      </c>
      <c r="K23" s="5"/>
      <c r="L23" s="27">
        <v>5.4525</v>
      </c>
      <c r="M23" s="19">
        <v>16.49</v>
      </c>
      <c r="N23" s="5"/>
      <c r="O23" s="27">
        <v>5.4731</v>
      </c>
      <c r="P23" s="19">
        <v>16.48</v>
      </c>
      <c r="Q23" s="5"/>
      <c r="R23" s="27">
        <v>5.4571</v>
      </c>
      <c r="S23" s="19">
        <v>16.47</v>
      </c>
      <c r="T23" s="5"/>
      <c r="U23" s="27">
        <v>5.45</v>
      </c>
      <c r="V23" s="19">
        <v>16.46</v>
      </c>
      <c r="W23" s="5"/>
      <c r="X23" s="27">
        <v>5.415</v>
      </c>
      <c r="Y23" s="19">
        <v>16.47</v>
      </c>
      <c r="Z23" s="5"/>
      <c r="AA23" s="27">
        <v>5.3964</v>
      </c>
      <c r="AB23" s="19">
        <v>16.48</v>
      </c>
      <c r="AC23" s="5"/>
      <c r="AD23" s="27">
        <v>5.3996</v>
      </c>
      <c r="AE23" s="19">
        <v>16.46</v>
      </c>
      <c r="AF23" s="5"/>
      <c r="AG23" s="27">
        <v>5.3925</v>
      </c>
      <c r="AH23" s="19">
        <v>16.47</v>
      </c>
      <c r="AI23" s="5"/>
      <c r="AJ23" s="27">
        <v>5.4039</v>
      </c>
      <c r="AK23" s="19">
        <v>16.44</v>
      </c>
      <c r="AL23" s="5"/>
      <c r="AM23" s="27">
        <v>5.3967</v>
      </c>
      <c r="AN23" s="19">
        <v>16.44</v>
      </c>
      <c r="AO23" s="5"/>
      <c r="AP23" s="27">
        <v>5.3846</v>
      </c>
      <c r="AQ23" s="19">
        <v>16.45</v>
      </c>
      <c r="AR23" s="5"/>
      <c r="AS23" s="27">
        <v>5.3977</v>
      </c>
      <c r="AT23" s="19">
        <v>16.42</v>
      </c>
      <c r="AU23" s="5"/>
      <c r="AV23" s="27">
        <v>5.3859</v>
      </c>
      <c r="AW23" s="19">
        <v>16.4</v>
      </c>
      <c r="AX23" s="5"/>
      <c r="AY23" s="27">
        <v>5.3854</v>
      </c>
      <c r="AZ23" s="19">
        <v>16.41</v>
      </c>
      <c r="BA23" s="5"/>
      <c r="BB23" s="27">
        <v>5.415</v>
      </c>
      <c r="BC23" s="19">
        <v>16.39</v>
      </c>
      <c r="BD23" s="5"/>
      <c r="BE23" s="27">
        <v>5.4202</v>
      </c>
      <c r="BF23" s="19">
        <v>16.41</v>
      </c>
      <c r="BG23" s="5"/>
      <c r="BH23" s="27">
        <v>5.444</v>
      </c>
      <c r="BI23" s="19">
        <v>16.38</v>
      </c>
      <c r="BJ23" s="5"/>
      <c r="BK23" s="27">
        <v>5.4409</v>
      </c>
      <c r="BL23" s="19">
        <v>16.38</v>
      </c>
      <c r="BM23" s="5"/>
      <c r="BN23" s="27">
        <v>5.4274</v>
      </c>
      <c r="BO23" s="19">
        <v>16.37</v>
      </c>
      <c r="BP23" s="5"/>
      <c r="BQ23" s="67">
        <v>5.4249954545454555</v>
      </c>
      <c r="BR23" s="67">
        <v>16.438636363636363</v>
      </c>
      <c r="BS23" s="9"/>
      <c r="BT23" s="31"/>
      <c r="BU23" s="32"/>
      <c r="BV23" s="31"/>
      <c r="BW23" s="32"/>
      <c r="BZ23" s="9"/>
      <c r="CA23" s="31"/>
      <c r="CB23" s="32"/>
    </row>
    <row r="24" spans="1:80" ht="15.75" customHeight="1">
      <c r="A24" s="16">
        <v>12</v>
      </c>
      <c r="B24" s="17" t="s">
        <v>25</v>
      </c>
      <c r="C24" s="27">
        <f>1/1.51557</f>
        <v>0.6598177583351478</v>
      </c>
      <c r="D24" s="19">
        <v>136.63</v>
      </c>
      <c r="E24" s="5"/>
      <c r="F24" s="27">
        <f>1/1.52044</f>
        <v>0.6577043487411539</v>
      </c>
      <c r="G24" s="19">
        <v>136.84</v>
      </c>
      <c r="H24" s="5"/>
      <c r="I24" s="27">
        <f>1/1.52144</f>
        <v>0.6572720580502682</v>
      </c>
      <c r="J24" s="19">
        <v>136.91</v>
      </c>
      <c r="K24" s="5"/>
      <c r="L24" s="27">
        <f>1/1.52144</f>
        <v>0.6572720580502682</v>
      </c>
      <c r="M24" s="19">
        <v>136.84</v>
      </c>
      <c r="N24" s="5"/>
      <c r="O24" s="27">
        <f>1/1.52338</f>
        <v>0.6564350326248212</v>
      </c>
      <c r="P24" s="19">
        <v>137.39</v>
      </c>
      <c r="Q24" s="5"/>
      <c r="R24" s="27">
        <f>1/1.52025</f>
        <v>0.657786548265088</v>
      </c>
      <c r="S24" s="19">
        <v>136.63</v>
      </c>
      <c r="T24" s="5"/>
      <c r="U24" s="27">
        <f>1/1.52174</f>
        <v>0.6571424816328676</v>
      </c>
      <c r="V24" s="19">
        <v>136.53</v>
      </c>
      <c r="W24" s="5"/>
      <c r="X24" s="27">
        <f>1/1.52274</f>
        <v>0.6567109289832801</v>
      </c>
      <c r="Y24" s="19">
        <v>135.84</v>
      </c>
      <c r="Z24" s="5"/>
      <c r="AA24" s="27">
        <f>1/1.53044</f>
        <v>0.653406863385693</v>
      </c>
      <c r="AB24" s="19">
        <v>136.09</v>
      </c>
      <c r="AC24" s="5"/>
      <c r="AD24" s="27">
        <f>1/1.53187</f>
        <v>0.652796908353842</v>
      </c>
      <c r="AE24" s="19">
        <v>136.19</v>
      </c>
      <c r="AF24" s="5"/>
      <c r="AG24" s="27">
        <f>1/1.53048</f>
        <v>0.653389786210862</v>
      </c>
      <c r="AH24" s="19">
        <v>135.95</v>
      </c>
      <c r="AI24" s="5"/>
      <c r="AJ24" s="27">
        <f>1/1.53297</f>
        <v>0.6523284865326784</v>
      </c>
      <c r="AK24" s="19">
        <v>136.17</v>
      </c>
      <c r="AL24" s="5"/>
      <c r="AM24" s="27">
        <f>1/1.53225</f>
        <v>0.6526350138684941</v>
      </c>
      <c r="AN24" s="19">
        <v>135.93</v>
      </c>
      <c r="AO24" s="5"/>
      <c r="AP24" s="27">
        <f>1/1.53308</f>
        <v>0.6522816813212617</v>
      </c>
      <c r="AQ24" s="19">
        <v>135.78</v>
      </c>
      <c r="AR24" s="5"/>
      <c r="AS24" s="27">
        <f>1/1.53432</f>
        <v>0.6517545231763909</v>
      </c>
      <c r="AT24" s="19">
        <v>135.98</v>
      </c>
      <c r="AU24" s="5"/>
      <c r="AV24" s="27">
        <f>1/1.53301</f>
        <v>0.6523114656786322</v>
      </c>
      <c r="AW24" s="19">
        <v>135.4</v>
      </c>
      <c r="AX24" s="5"/>
      <c r="AY24" s="27">
        <f>1/1.53579</f>
        <v>0.651130688440477</v>
      </c>
      <c r="AZ24" s="19">
        <v>135.73</v>
      </c>
      <c r="BA24" s="5"/>
      <c r="BB24" s="27">
        <f>1/1.53675</f>
        <v>0.6507239303725394</v>
      </c>
      <c r="BC24" s="19">
        <v>136.37</v>
      </c>
      <c r="BD24" s="5"/>
      <c r="BE24" s="27">
        <f>1/1.533</f>
        <v>0.6523157208088716</v>
      </c>
      <c r="BF24" s="19">
        <v>136.36</v>
      </c>
      <c r="BG24" s="5"/>
      <c r="BH24" s="27">
        <f>1/1.53241</f>
        <v>0.6525668717901867</v>
      </c>
      <c r="BI24" s="19">
        <v>136.66</v>
      </c>
      <c r="BJ24" s="5"/>
      <c r="BK24" s="27">
        <f>1/1.52992</f>
        <v>0.6536289479188454</v>
      </c>
      <c r="BL24" s="19">
        <v>136.34</v>
      </c>
      <c r="BM24" s="5"/>
      <c r="BN24" s="27">
        <f>1/1.53078</f>
        <v>0.6532617358470845</v>
      </c>
      <c r="BO24" s="19">
        <v>136</v>
      </c>
      <c r="BP24" s="5"/>
      <c r="BQ24" s="67">
        <v>0.6543033562903978</v>
      </c>
      <c r="BR24" s="67">
        <v>136.2981818181818</v>
      </c>
      <c r="BS24" s="9"/>
      <c r="BT24" s="31"/>
      <c r="BU24" s="32"/>
      <c r="BV24" s="31"/>
      <c r="BW24" s="32"/>
      <c r="BZ24" s="9"/>
      <c r="CA24" s="31"/>
      <c r="CB24" s="32"/>
    </row>
    <row r="25" spans="1:80" ht="15.75" customHeight="1" thickBot="1">
      <c r="A25" s="35">
        <v>13</v>
      </c>
      <c r="B25" s="36" t="s">
        <v>26</v>
      </c>
      <c r="C25" s="28">
        <v>1</v>
      </c>
      <c r="D25" s="22">
        <v>90.15</v>
      </c>
      <c r="E25" s="21"/>
      <c r="F25" s="28">
        <v>1</v>
      </c>
      <c r="G25" s="22">
        <v>90</v>
      </c>
      <c r="H25" s="21"/>
      <c r="I25" s="28">
        <v>1</v>
      </c>
      <c r="J25" s="22">
        <v>89.99</v>
      </c>
      <c r="K25" s="21"/>
      <c r="L25" s="28">
        <v>1</v>
      </c>
      <c r="M25" s="22">
        <v>89.94</v>
      </c>
      <c r="N25" s="21"/>
      <c r="O25" s="28">
        <v>1</v>
      </c>
      <c r="P25" s="22">
        <v>90.19</v>
      </c>
      <c r="Q25" s="21"/>
      <c r="R25" s="28">
        <v>1</v>
      </c>
      <c r="S25" s="22">
        <v>89.87</v>
      </c>
      <c r="T25" s="21"/>
      <c r="U25" s="28">
        <v>1</v>
      </c>
      <c r="V25" s="22">
        <v>89.72</v>
      </c>
      <c r="W25" s="21"/>
      <c r="X25" s="28">
        <v>1</v>
      </c>
      <c r="Y25" s="22">
        <v>89.2</v>
      </c>
      <c r="Z25" s="21"/>
      <c r="AA25" s="28">
        <v>1</v>
      </c>
      <c r="AB25" s="22">
        <v>88.93</v>
      </c>
      <c r="AC25" s="21"/>
      <c r="AD25" s="28">
        <v>1</v>
      </c>
      <c r="AE25" s="22">
        <v>88.9</v>
      </c>
      <c r="AF25" s="21"/>
      <c r="AG25" s="28">
        <v>1</v>
      </c>
      <c r="AH25" s="22">
        <v>88.83</v>
      </c>
      <c r="AI25" s="21"/>
      <c r="AJ25" s="28">
        <v>1</v>
      </c>
      <c r="AK25" s="22">
        <v>88.83</v>
      </c>
      <c r="AL25" s="21"/>
      <c r="AM25" s="28">
        <v>1</v>
      </c>
      <c r="AN25" s="22">
        <v>88.71</v>
      </c>
      <c r="AO25" s="21"/>
      <c r="AP25" s="28">
        <v>1</v>
      </c>
      <c r="AQ25" s="22">
        <v>88.57</v>
      </c>
      <c r="AR25" s="21"/>
      <c r="AS25" s="28">
        <v>1</v>
      </c>
      <c r="AT25" s="22">
        <v>88.62</v>
      </c>
      <c r="AU25" s="21"/>
      <c r="AV25" s="28">
        <v>1</v>
      </c>
      <c r="AW25" s="22">
        <v>88.32</v>
      </c>
      <c r="AX25" s="21"/>
      <c r="AY25" s="28">
        <v>1</v>
      </c>
      <c r="AZ25" s="22">
        <v>88.38</v>
      </c>
      <c r="BA25" s="21"/>
      <c r="BB25" s="28">
        <v>1</v>
      </c>
      <c r="BC25" s="22">
        <v>88.74</v>
      </c>
      <c r="BD25" s="21"/>
      <c r="BE25" s="28">
        <v>1</v>
      </c>
      <c r="BF25" s="22">
        <v>88.95</v>
      </c>
      <c r="BG25" s="21"/>
      <c r="BH25" s="28">
        <v>1</v>
      </c>
      <c r="BI25" s="22">
        <v>89.18</v>
      </c>
      <c r="BJ25" s="21"/>
      <c r="BK25" s="28">
        <v>1</v>
      </c>
      <c r="BL25" s="22">
        <v>89.12</v>
      </c>
      <c r="BM25" s="21"/>
      <c r="BN25" s="28">
        <v>1</v>
      </c>
      <c r="BO25" s="22">
        <v>88.85</v>
      </c>
      <c r="BP25" s="21"/>
      <c r="BQ25" s="68">
        <v>1</v>
      </c>
      <c r="BR25" s="68">
        <v>89.18136363636363</v>
      </c>
      <c r="BS25" s="9"/>
      <c r="BT25" s="31"/>
      <c r="BU25" s="32"/>
      <c r="BV25" s="31"/>
      <c r="BW25" s="32"/>
      <c r="BZ25" s="9"/>
      <c r="CA25" s="31"/>
      <c r="CB25" s="32"/>
    </row>
    <row r="26" spans="1:80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  <c r="BQ26" s="9"/>
      <c r="BR26" s="31"/>
      <c r="BS26" s="9"/>
      <c r="BT26" s="9"/>
      <c r="BU26" s="31"/>
      <c r="BV26" s="31"/>
      <c r="BW26" s="32"/>
      <c r="BZ26" s="9"/>
      <c r="CA26" s="31"/>
      <c r="CB26" s="32"/>
    </row>
    <row r="27" spans="1:80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N27" s="31"/>
      <c r="BO27" s="32"/>
      <c r="BP27" s="9"/>
      <c r="BZ27" s="40"/>
      <c r="CA27" s="40"/>
      <c r="CB27" s="40"/>
    </row>
    <row r="28" spans="1:68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  <c r="BN28" s="31"/>
      <c r="BO28" s="32"/>
      <c r="BP28" s="9"/>
    </row>
    <row r="29" spans="1:68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  <c r="BN29" s="31"/>
      <c r="BO29" s="32"/>
      <c r="BP29" s="9"/>
    </row>
    <row r="30" spans="1:68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  <c r="BN30" s="31"/>
      <c r="BO30" s="32"/>
      <c r="BP30" s="9"/>
    </row>
    <row r="31" spans="1:68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  <c r="BN31" s="31"/>
      <c r="BO31" s="32"/>
      <c r="BP31" s="9"/>
    </row>
    <row r="32" spans="1:68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  <c r="BN32" s="31"/>
      <c r="BO32" s="32"/>
      <c r="BP32" s="9"/>
    </row>
    <row r="33" spans="1:68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4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  <c r="BN33" s="31"/>
      <c r="BO33" s="32"/>
      <c r="BP33" s="9"/>
    </row>
    <row r="34" spans="1:68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9"/>
      <c r="U34" s="31"/>
      <c r="V34" s="32"/>
      <c r="W34" s="34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9"/>
      <c r="BN34" s="31"/>
      <c r="BO34" s="32"/>
      <c r="BP34" s="24"/>
    </row>
    <row r="35" spans="1:68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9"/>
      <c r="BN35" s="31"/>
      <c r="BO35" s="32"/>
      <c r="BP35" s="24"/>
    </row>
    <row r="36" spans="1:68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3"/>
      <c r="BK36" s="9"/>
      <c r="BL36" s="9"/>
      <c r="BM36" s="9"/>
      <c r="BN36" s="25"/>
      <c r="BO36" s="25"/>
      <c r="BP36" s="23"/>
    </row>
    <row r="37" spans="1:6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4" r:id="rId1"/>
  <headerFooter alignWithMargins="0">
    <oddHeader>&amp;L&amp;"Helv,Bold"Banka e Shqiperise
Sektori i Informacionit</oddHeader>
  </headerFooter>
  <colBreaks count="5" manualBreakCount="5">
    <brk id="14" max="24" man="1"/>
    <brk id="26" max="24" man="1"/>
    <brk id="38" max="24" man="1"/>
    <brk id="50" max="24" man="1"/>
    <brk id="62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2"/>
  <sheetViews>
    <sheetView zoomScale="75" zoomScaleNormal="75" zoomScalePageLayoutView="0" workbookViewId="0" topLeftCell="A1">
      <pane xSplit="2" ySplit="11" topLeftCell="BL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T19" sqref="BT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6.421875" style="0" customWidth="1"/>
    <col min="54" max="55" width="13.28125" style="0" customWidth="1"/>
    <col min="56" max="56" width="4.8515625" style="0" customWidth="1"/>
    <col min="57" max="58" width="13.28125" style="0" customWidth="1"/>
    <col min="59" max="59" width="4.28125" style="0" customWidth="1"/>
    <col min="60" max="61" width="13.28125" style="0" customWidth="1"/>
    <col min="62" max="62" width="5.421875" style="0" customWidth="1"/>
    <col min="63" max="64" width="13.28125" style="0" customWidth="1"/>
    <col min="65" max="65" width="5.8515625" style="0" customWidth="1"/>
    <col min="66" max="67" width="13.28125" style="0" customWidth="1"/>
    <col min="68" max="68" width="7.140625" style="0" customWidth="1"/>
    <col min="69" max="70" width="13.28125" style="0" customWidth="1"/>
    <col min="71" max="71" width="6.57421875" style="0" customWidth="1"/>
  </cols>
  <sheetData>
    <row r="1" spans="1:56" ht="15.75" customHeight="1">
      <c r="A1" s="4" t="s">
        <v>203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  <c r="BB1" s="7"/>
      <c r="BC1" s="8"/>
      <c r="BD1" s="8"/>
    </row>
    <row r="2" spans="1:56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"/>
      <c r="BB2" s="7"/>
      <c r="BC2" s="8"/>
      <c r="BD2" s="8"/>
    </row>
    <row r="3" spans="1:56" ht="15.75" customHeight="1">
      <c r="A3" s="5"/>
      <c r="B3" s="3" t="s">
        <v>179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9"/>
      <c r="BB3" s="9"/>
      <c r="BC3" s="8"/>
      <c r="BD3" s="8"/>
    </row>
    <row r="4" spans="1:76" ht="15.75" customHeight="1">
      <c r="A4" s="6" t="s">
        <v>2</v>
      </c>
      <c r="B4" s="5"/>
      <c r="C4" s="4" t="s">
        <v>180</v>
      </c>
      <c r="D4" s="4"/>
      <c r="E4" s="10"/>
      <c r="F4" s="4" t="s">
        <v>181</v>
      </c>
      <c r="G4" s="4"/>
      <c r="H4" s="10"/>
      <c r="I4" s="4" t="s">
        <v>182</v>
      </c>
      <c r="J4" s="4"/>
      <c r="K4" s="10"/>
      <c r="L4" s="4" t="s">
        <v>183</v>
      </c>
      <c r="M4" s="4"/>
      <c r="N4" s="10"/>
      <c r="O4" s="4" t="s">
        <v>184</v>
      </c>
      <c r="P4" s="4"/>
      <c r="Q4" s="10"/>
      <c r="R4" s="4" t="s">
        <v>185</v>
      </c>
      <c r="S4" s="4"/>
      <c r="T4" s="10"/>
      <c r="U4" s="4" t="s">
        <v>186</v>
      </c>
      <c r="V4" s="4"/>
      <c r="W4" s="10"/>
      <c r="X4" s="4" t="s">
        <v>187</v>
      </c>
      <c r="Y4" s="4"/>
      <c r="Z4" s="10"/>
      <c r="AA4" s="4" t="s">
        <v>188</v>
      </c>
      <c r="AB4" s="4"/>
      <c r="AC4" s="10"/>
      <c r="AD4" s="4" t="s">
        <v>189</v>
      </c>
      <c r="AE4" s="4"/>
      <c r="AF4" s="10"/>
      <c r="AG4" s="4" t="s">
        <v>190</v>
      </c>
      <c r="AH4" s="4"/>
      <c r="AI4" s="10"/>
      <c r="AJ4" s="4" t="s">
        <v>191</v>
      </c>
      <c r="AK4" s="4"/>
      <c r="AL4" s="10"/>
      <c r="AM4" s="4" t="s">
        <v>192</v>
      </c>
      <c r="AN4" s="4"/>
      <c r="AO4" s="10"/>
      <c r="AP4" s="4" t="s">
        <v>193</v>
      </c>
      <c r="AQ4" s="4"/>
      <c r="AR4" s="10"/>
      <c r="AS4" s="4" t="s">
        <v>194</v>
      </c>
      <c r="AT4" s="4"/>
      <c r="AU4" s="10"/>
      <c r="AV4" s="4" t="s">
        <v>195</v>
      </c>
      <c r="AW4" s="4"/>
      <c r="AX4" s="10"/>
      <c r="AY4" s="4" t="s">
        <v>196</v>
      </c>
      <c r="AZ4" s="4"/>
      <c r="BA4" s="26"/>
      <c r="BB4" s="4" t="s">
        <v>197</v>
      </c>
      <c r="BC4" s="4"/>
      <c r="BD4" s="26"/>
      <c r="BE4" s="4" t="s">
        <v>198</v>
      </c>
      <c r="BF4" s="4"/>
      <c r="BG4" s="26"/>
      <c r="BH4" s="4" t="s">
        <v>199</v>
      </c>
      <c r="BI4" s="4"/>
      <c r="BJ4" s="4"/>
      <c r="BK4" s="4" t="s">
        <v>200</v>
      </c>
      <c r="BL4" s="4"/>
      <c r="BM4" s="4"/>
      <c r="BN4" s="4" t="s">
        <v>201</v>
      </c>
      <c r="BO4" s="4"/>
      <c r="BP4" s="4"/>
      <c r="BQ4" s="4" t="s">
        <v>202</v>
      </c>
      <c r="BR4" s="4"/>
      <c r="BS4" s="4"/>
      <c r="BT4" s="4" t="s">
        <v>3</v>
      </c>
      <c r="BU4" s="4"/>
      <c r="BV4" s="38"/>
      <c r="BW4" s="37"/>
      <c r="BX4" s="37"/>
    </row>
    <row r="5" spans="1:76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38"/>
      <c r="BW5" s="38"/>
      <c r="BX5" s="38"/>
    </row>
    <row r="6" spans="1:76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9"/>
      <c r="BW6" s="9"/>
      <c r="BX6" s="9"/>
    </row>
    <row r="7" spans="1:76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12"/>
      <c r="BT7" s="12" t="s">
        <v>5</v>
      </c>
      <c r="BU7" s="12" t="s">
        <v>5</v>
      </c>
      <c r="BV7" s="39"/>
      <c r="BW7" s="39"/>
      <c r="BX7" s="39"/>
    </row>
    <row r="8" spans="1:76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12"/>
      <c r="BT8" s="12" t="s">
        <v>8</v>
      </c>
      <c r="BU8" s="12" t="s">
        <v>9</v>
      </c>
      <c r="BV8" s="39"/>
      <c r="BW8" s="39"/>
      <c r="BX8" s="39"/>
    </row>
    <row r="9" spans="1:76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12"/>
      <c r="BT9" s="12" t="s">
        <v>7</v>
      </c>
      <c r="BU9" s="12" t="s">
        <v>11</v>
      </c>
      <c r="BV9" s="39"/>
      <c r="BW9" s="39"/>
      <c r="BX9" s="39"/>
    </row>
    <row r="10" spans="1:7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12"/>
      <c r="BT10" s="12" t="s">
        <v>10</v>
      </c>
      <c r="BU10" s="12" t="s">
        <v>12</v>
      </c>
      <c r="BV10" s="39"/>
      <c r="BW10" s="39"/>
      <c r="BX10" s="39"/>
    </row>
    <row r="11" spans="1:82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9"/>
      <c r="BW11" s="9"/>
      <c r="BX11" s="9"/>
      <c r="BY11" s="40"/>
      <c r="BZ11" s="40"/>
      <c r="CA11" s="40"/>
      <c r="CB11" s="40"/>
      <c r="CC11" s="40"/>
      <c r="CD11" s="40"/>
    </row>
    <row r="12" spans="1:82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9"/>
      <c r="BW12" s="9"/>
      <c r="BX12" s="9"/>
      <c r="BY12" s="40"/>
      <c r="BZ12" s="40"/>
      <c r="CA12" s="40"/>
      <c r="CB12" s="40"/>
      <c r="CC12" s="40"/>
      <c r="CD12" s="40"/>
    </row>
    <row r="13" spans="1:74" ht="15.75" customHeight="1">
      <c r="A13" s="16">
        <v>1</v>
      </c>
      <c r="B13" s="17" t="s">
        <v>14</v>
      </c>
      <c r="C13" s="27">
        <v>117.69</v>
      </c>
      <c r="D13" s="19">
        <v>75.63</v>
      </c>
      <c r="E13" s="5"/>
      <c r="F13" s="27">
        <v>118.83</v>
      </c>
      <c r="G13" s="19">
        <v>74.92</v>
      </c>
      <c r="H13" s="5"/>
      <c r="I13" s="27">
        <v>119.11</v>
      </c>
      <c r="J13" s="19">
        <v>74.7</v>
      </c>
      <c r="K13" s="5"/>
      <c r="L13" s="27">
        <v>117.7</v>
      </c>
      <c r="M13" s="19">
        <v>74.95</v>
      </c>
      <c r="N13" s="5"/>
      <c r="O13" s="27">
        <v>118.76</v>
      </c>
      <c r="P13" s="19">
        <v>74.39</v>
      </c>
      <c r="Q13" s="5"/>
      <c r="R13" s="27">
        <v>119.15</v>
      </c>
      <c r="S13" s="19">
        <v>74.49</v>
      </c>
      <c r="T13" s="5"/>
      <c r="U13" s="27">
        <v>118.86</v>
      </c>
      <c r="V13" s="19">
        <v>74.66</v>
      </c>
      <c r="W13" s="5"/>
      <c r="X13" s="27">
        <v>118.09</v>
      </c>
      <c r="Y13" s="19">
        <v>75.62</v>
      </c>
      <c r="Z13" s="5"/>
      <c r="AA13" s="27">
        <v>118.22</v>
      </c>
      <c r="AB13" s="19">
        <v>75.54</v>
      </c>
      <c r="AC13" s="5"/>
      <c r="AD13" s="27">
        <v>118.28</v>
      </c>
      <c r="AE13" s="19">
        <v>75.73</v>
      </c>
      <c r="AF13" s="5"/>
      <c r="AG13" s="27">
        <v>116.77</v>
      </c>
      <c r="AH13" s="19">
        <v>77.15</v>
      </c>
      <c r="AI13" s="5"/>
      <c r="AJ13" s="27">
        <v>115.82</v>
      </c>
      <c r="AK13" s="19">
        <v>78.09</v>
      </c>
      <c r="AL13" s="5"/>
      <c r="AM13" s="27">
        <v>113.21</v>
      </c>
      <c r="AN13" s="19">
        <v>79.79</v>
      </c>
      <c r="AO13" s="5"/>
      <c r="AP13" s="27">
        <v>115.33</v>
      </c>
      <c r="AQ13" s="19">
        <v>78.03</v>
      </c>
      <c r="AR13" s="5"/>
      <c r="AS13" s="27">
        <v>114.31</v>
      </c>
      <c r="AT13" s="19">
        <v>78.99</v>
      </c>
      <c r="AU13" s="5"/>
      <c r="AV13" s="27">
        <v>114.86</v>
      </c>
      <c r="AW13" s="19">
        <v>78.6</v>
      </c>
      <c r="AX13" s="5"/>
      <c r="AY13" s="27">
        <v>116.41</v>
      </c>
      <c r="AZ13" s="19">
        <v>77.33</v>
      </c>
      <c r="BA13" s="5"/>
      <c r="BB13" s="27">
        <v>115.92</v>
      </c>
      <c r="BC13" s="19">
        <v>77.89</v>
      </c>
      <c r="BD13" s="5"/>
      <c r="BE13" s="27">
        <v>116.26</v>
      </c>
      <c r="BF13" s="19">
        <v>77.24</v>
      </c>
      <c r="BG13" s="5"/>
      <c r="BH13" s="27">
        <v>115.49</v>
      </c>
      <c r="BI13" s="19">
        <v>78.07</v>
      </c>
      <c r="BJ13" s="27"/>
      <c r="BK13" s="27">
        <v>114.88</v>
      </c>
      <c r="BL13" s="19">
        <v>78.93</v>
      </c>
      <c r="BM13" s="27"/>
      <c r="BN13" s="27">
        <v>115.51</v>
      </c>
      <c r="BO13" s="19">
        <v>78.51</v>
      </c>
      <c r="BP13" s="19"/>
      <c r="BQ13" s="27">
        <v>116.3</v>
      </c>
      <c r="BR13" s="19">
        <v>77.77</v>
      </c>
      <c r="BS13" s="19"/>
      <c r="BT13" s="27">
        <v>116.77217391304349</v>
      </c>
      <c r="BU13" s="19">
        <v>76.82695652173913</v>
      </c>
      <c r="BV13" s="9"/>
    </row>
    <row r="14" spans="1:74" ht="15.75" customHeight="1">
      <c r="A14" s="16">
        <v>2</v>
      </c>
      <c r="B14" s="17" t="s">
        <v>15</v>
      </c>
      <c r="C14" s="27">
        <f>1/2.022</f>
        <v>0.4945598417408507</v>
      </c>
      <c r="D14" s="19">
        <v>179.99</v>
      </c>
      <c r="E14" s="5"/>
      <c r="F14" s="27">
        <f>1/2.0287</f>
        <v>0.4929265046581554</v>
      </c>
      <c r="G14" s="19">
        <v>180.62</v>
      </c>
      <c r="H14" s="5"/>
      <c r="I14" s="27">
        <f>1/2.0363</f>
        <v>0.4910867750331483</v>
      </c>
      <c r="J14" s="19">
        <v>181.17</v>
      </c>
      <c r="K14" s="5"/>
      <c r="L14" s="27">
        <f>1/2.038</f>
        <v>0.4906771344455349</v>
      </c>
      <c r="M14" s="19">
        <v>179.79</v>
      </c>
      <c r="N14" s="5"/>
      <c r="O14" s="27">
        <f>1/2.0256</f>
        <v>0.4936808846761454</v>
      </c>
      <c r="P14" s="19">
        <v>178.95</v>
      </c>
      <c r="Q14" s="5"/>
      <c r="R14" s="27">
        <f>1/2.0219</f>
        <v>0.4945843018942579</v>
      </c>
      <c r="S14" s="19">
        <v>179.44</v>
      </c>
      <c r="T14" s="5"/>
      <c r="U14" s="27">
        <f>1/2.0338</f>
        <v>0.49169043170419907</v>
      </c>
      <c r="V14" s="19">
        <v>180.47</v>
      </c>
      <c r="W14" s="5"/>
      <c r="X14" s="27">
        <f>1/2.0221</f>
        <v>0.4945353840067257</v>
      </c>
      <c r="Y14" s="19">
        <v>180.58</v>
      </c>
      <c r="Z14" s="5"/>
      <c r="AA14" s="27">
        <f>1/2.012</f>
        <v>0.4970178926441352</v>
      </c>
      <c r="AB14" s="19">
        <v>179.68</v>
      </c>
      <c r="AC14" s="5"/>
      <c r="AD14" s="27">
        <f>1/1.9994</f>
        <v>0.500150045013504</v>
      </c>
      <c r="AE14" s="19">
        <v>179.09</v>
      </c>
      <c r="AF14" s="5"/>
      <c r="AG14" s="27">
        <f>1/1.9884</f>
        <v>0.5029169181251257</v>
      </c>
      <c r="AH14" s="19">
        <v>179.12</v>
      </c>
      <c r="AI14" s="5"/>
      <c r="AJ14" s="27">
        <f>1/1.9847</f>
        <v>0.5038544868242052</v>
      </c>
      <c r="AK14" s="19">
        <v>179.5</v>
      </c>
      <c r="AL14" s="5"/>
      <c r="AM14" s="27">
        <f>1/1.9762</f>
        <v>0.5060216577269507</v>
      </c>
      <c r="AN14" s="19">
        <v>178.52</v>
      </c>
      <c r="AO14" s="5"/>
      <c r="AP14" s="27">
        <f>1/1.9896</f>
        <v>0.5026135906714917</v>
      </c>
      <c r="AQ14" s="19">
        <v>179.04</v>
      </c>
      <c r="AR14" s="5"/>
      <c r="AS14" s="27">
        <f>1/1.9746</f>
        <v>0.5064316823660489</v>
      </c>
      <c r="AT14" s="19">
        <v>178.29</v>
      </c>
      <c r="AU14" s="5"/>
      <c r="AV14" s="27">
        <f>1/1.9845</f>
        <v>0.5039052658100277</v>
      </c>
      <c r="AW14" s="19">
        <v>179.16</v>
      </c>
      <c r="AX14" s="5"/>
      <c r="AY14" s="27">
        <f>1/2.001</f>
        <v>0.49975012493753124</v>
      </c>
      <c r="AZ14" s="19">
        <v>180.14</v>
      </c>
      <c r="BA14" s="5"/>
      <c r="BB14" s="27">
        <f>1/2.0034</f>
        <v>0.49915144254766897</v>
      </c>
      <c r="BC14" s="19">
        <v>180.88</v>
      </c>
      <c r="BD14" s="5"/>
      <c r="BE14" s="27">
        <f>1/2.0154</f>
        <v>0.4961794184777215</v>
      </c>
      <c r="BF14" s="19">
        <v>180.99</v>
      </c>
      <c r="BG14" s="5"/>
      <c r="BH14" s="27">
        <f>1/2.0052</f>
        <v>0.4987033712347896</v>
      </c>
      <c r="BI14" s="19">
        <v>180.79</v>
      </c>
      <c r="BJ14" s="27"/>
      <c r="BK14" s="27">
        <f>1/2.0093</f>
        <v>0.4976857612103717</v>
      </c>
      <c r="BL14" s="19">
        <v>182.19</v>
      </c>
      <c r="BM14" s="27"/>
      <c r="BN14" s="27">
        <f>1/2.0096</f>
        <v>0.4976114649681529</v>
      </c>
      <c r="BO14" s="19">
        <v>182.25</v>
      </c>
      <c r="BP14" s="19"/>
      <c r="BQ14" s="27">
        <f>1/2.0182</f>
        <v>0.49549103161232777</v>
      </c>
      <c r="BR14" s="19">
        <v>182.53</v>
      </c>
      <c r="BS14" s="19"/>
      <c r="BT14" s="27">
        <v>0.49787936575343794</v>
      </c>
      <c r="BU14" s="19">
        <v>180.13826086956524</v>
      </c>
      <c r="BV14" s="9"/>
    </row>
    <row r="15" spans="1:74" ht="15.75" customHeight="1">
      <c r="A15" s="16">
        <v>3</v>
      </c>
      <c r="B15" s="17" t="s">
        <v>16</v>
      </c>
      <c r="C15" s="27">
        <v>1.2</v>
      </c>
      <c r="D15" s="19">
        <v>74.18</v>
      </c>
      <c r="E15" s="5"/>
      <c r="F15" s="27">
        <v>1.2043</v>
      </c>
      <c r="G15" s="19">
        <v>73.93</v>
      </c>
      <c r="H15" s="5"/>
      <c r="I15" s="27">
        <v>1.2048</v>
      </c>
      <c r="J15" s="19">
        <v>73.85</v>
      </c>
      <c r="K15" s="5"/>
      <c r="L15" s="27">
        <v>1.1851</v>
      </c>
      <c r="M15" s="19">
        <v>74.44</v>
      </c>
      <c r="N15" s="5"/>
      <c r="O15" s="27">
        <v>1.1917</v>
      </c>
      <c r="P15" s="19">
        <v>74.13</v>
      </c>
      <c r="Q15" s="5"/>
      <c r="R15" s="27">
        <v>1.1957</v>
      </c>
      <c r="S15" s="19">
        <v>74.22</v>
      </c>
      <c r="T15" s="5"/>
      <c r="U15" s="27">
        <v>1.1931</v>
      </c>
      <c r="V15" s="19">
        <v>74.38</v>
      </c>
      <c r="W15" s="5"/>
      <c r="X15" s="27">
        <v>1.1947</v>
      </c>
      <c r="Y15" s="19">
        <v>74.75</v>
      </c>
      <c r="Z15" s="5"/>
      <c r="AA15" s="27">
        <v>1.1987</v>
      </c>
      <c r="AB15" s="19">
        <v>74.5</v>
      </c>
      <c r="AC15" s="5"/>
      <c r="AD15" s="27">
        <v>1.2087</v>
      </c>
      <c r="AE15" s="19">
        <v>74.1</v>
      </c>
      <c r="AF15" s="5"/>
      <c r="AG15" s="27">
        <v>1.213</v>
      </c>
      <c r="AH15" s="19">
        <v>74.26</v>
      </c>
      <c r="AI15" s="5"/>
      <c r="AJ15" s="27">
        <v>1.2166</v>
      </c>
      <c r="AK15" s="19">
        <v>74.34</v>
      </c>
      <c r="AL15" s="5"/>
      <c r="AM15" s="27">
        <v>1.2065</v>
      </c>
      <c r="AN15" s="19">
        <v>74.87</v>
      </c>
      <c r="AO15" s="5"/>
      <c r="AP15" s="27">
        <v>1.207</v>
      </c>
      <c r="AQ15" s="19">
        <v>74.56</v>
      </c>
      <c r="AR15" s="5"/>
      <c r="AS15" s="27">
        <v>1.2048</v>
      </c>
      <c r="AT15" s="19">
        <v>74.94</v>
      </c>
      <c r="AU15" s="5"/>
      <c r="AV15" s="27">
        <v>1.2068</v>
      </c>
      <c r="AW15" s="19">
        <v>74.81</v>
      </c>
      <c r="AX15" s="5"/>
      <c r="AY15" s="27">
        <v>1.2091</v>
      </c>
      <c r="AZ15" s="19">
        <v>74.46</v>
      </c>
      <c r="BA15" s="5"/>
      <c r="BB15" s="27">
        <v>1.2024</v>
      </c>
      <c r="BC15" s="19">
        <v>75.09</v>
      </c>
      <c r="BD15" s="5"/>
      <c r="BE15" s="27">
        <v>1.2035</v>
      </c>
      <c r="BF15" s="19">
        <v>74.62</v>
      </c>
      <c r="BG15" s="5"/>
      <c r="BH15" s="27">
        <v>1.2008</v>
      </c>
      <c r="BI15" s="19">
        <v>75.08</v>
      </c>
      <c r="BJ15" s="27"/>
      <c r="BK15" s="27">
        <v>1.2028</v>
      </c>
      <c r="BL15" s="19">
        <v>75.39</v>
      </c>
      <c r="BM15" s="27"/>
      <c r="BN15" s="27">
        <v>1.2044</v>
      </c>
      <c r="BO15" s="19">
        <v>75.3</v>
      </c>
      <c r="BP15" s="19"/>
      <c r="BQ15" s="27">
        <v>1.2049</v>
      </c>
      <c r="BR15" s="19">
        <v>75.06</v>
      </c>
      <c r="BS15" s="19"/>
      <c r="BT15" s="27">
        <v>1.2025826086956521</v>
      </c>
      <c r="BU15" s="19">
        <v>74.57652173913043</v>
      </c>
      <c r="BV15" s="9"/>
    </row>
    <row r="16" spans="1:74" ht="15.75" customHeight="1">
      <c r="A16" s="16">
        <v>4</v>
      </c>
      <c r="B16" s="17" t="s">
        <v>17</v>
      </c>
      <c r="C16" s="27">
        <f>1/1.3649</f>
        <v>0.7326544069162576</v>
      </c>
      <c r="D16" s="19">
        <v>121.5</v>
      </c>
      <c r="E16" s="5"/>
      <c r="F16" s="27">
        <f>1/1.3659</f>
        <v>0.7321180174244089</v>
      </c>
      <c r="G16" s="19">
        <v>121.59</v>
      </c>
      <c r="H16" s="5"/>
      <c r="I16" s="27">
        <f>1/1.3698</f>
        <v>0.7300335815447511</v>
      </c>
      <c r="J16" s="19">
        <v>121.8</v>
      </c>
      <c r="K16" s="5"/>
      <c r="L16" s="27">
        <f>1/1.3824</f>
        <v>0.7233796296296295</v>
      </c>
      <c r="M16" s="19">
        <v>121.87</v>
      </c>
      <c r="N16" s="5"/>
      <c r="O16" s="27">
        <f>1/1.379</f>
        <v>0.7251631617113851</v>
      </c>
      <c r="P16" s="19">
        <v>121.8</v>
      </c>
      <c r="Q16" s="5"/>
      <c r="R16" s="27">
        <f>1/1.3758</f>
        <v>0.7268498328245385</v>
      </c>
      <c r="S16" s="19">
        <v>121.96</v>
      </c>
      <c r="T16" s="5"/>
      <c r="U16" s="27">
        <f>1/1.3776</f>
        <v>0.7259001161440186</v>
      </c>
      <c r="V16" s="19">
        <v>122.17</v>
      </c>
      <c r="W16" s="5"/>
      <c r="X16" s="27">
        <f>1/1.3689</f>
        <v>0.7305135510263715</v>
      </c>
      <c r="Y16" s="19">
        <v>122.21</v>
      </c>
      <c r="Z16" s="5"/>
      <c r="AA16" s="27">
        <f>1/1.3655</f>
        <v>0.7323324789454413</v>
      </c>
      <c r="AB16" s="19">
        <v>121.97</v>
      </c>
      <c r="AC16" s="5"/>
      <c r="AD16" s="27">
        <f>1/1.3571</f>
        <v>0.7368653746960431</v>
      </c>
      <c r="AE16" s="19">
        <v>121.63</v>
      </c>
      <c r="AF16" s="5"/>
      <c r="AG16" s="27">
        <f>1/1.3492</f>
        <v>0.7411799584939224</v>
      </c>
      <c r="AH16" s="19">
        <v>121.58</v>
      </c>
      <c r="AI16" s="5"/>
      <c r="AJ16" s="27">
        <f>1/1.342</f>
        <v>0.7451564828614009</v>
      </c>
      <c r="AK16" s="19">
        <v>121.41</v>
      </c>
      <c r="AL16" s="5"/>
      <c r="AM16" s="27">
        <f>1/1.3444</f>
        <v>0.7438262421898244</v>
      </c>
      <c r="AN16" s="19">
        <v>121.35</v>
      </c>
      <c r="AO16" s="5"/>
      <c r="AP16" s="27">
        <f>1/1.3498</f>
        <v>0.7408504963698325</v>
      </c>
      <c r="AQ16" s="19">
        <v>121.43</v>
      </c>
      <c r="AR16" s="5"/>
      <c r="AS16" s="27">
        <f>1/1.3457</f>
        <v>0.7431076763022962</v>
      </c>
      <c r="AT16" s="19">
        <v>121.48</v>
      </c>
      <c r="AU16" s="5"/>
      <c r="AV16" s="27">
        <f>1/1.3484</f>
        <v>0.7416196974191634</v>
      </c>
      <c r="AW16" s="19">
        <v>121.69</v>
      </c>
      <c r="AX16" s="5"/>
      <c r="AY16" s="27">
        <f>1/1.3562</f>
        <v>0.737354372511429</v>
      </c>
      <c r="AZ16" s="19">
        <v>122.01</v>
      </c>
      <c r="BA16" s="5"/>
      <c r="BB16" s="27">
        <f>1/1.3591</f>
        <v>0.7357810315650063</v>
      </c>
      <c r="BC16" s="19">
        <v>122.64</v>
      </c>
      <c r="BD16" s="5"/>
      <c r="BE16" s="27">
        <f>1/1.366</f>
        <v>0.7320644216691068</v>
      </c>
      <c r="BF16" s="19">
        <v>122.65</v>
      </c>
      <c r="BG16" s="5"/>
      <c r="BH16" s="27">
        <f>1/1.3644</f>
        <v>0.732922896511287</v>
      </c>
      <c r="BI16" s="19">
        <v>122.97</v>
      </c>
      <c r="BJ16" s="27"/>
      <c r="BK16" s="27">
        <f>1/1.3603</f>
        <v>0.7351319561861354</v>
      </c>
      <c r="BL16" s="19">
        <v>123.34</v>
      </c>
      <c r="BM16" s="27"/>
      <c r="BN16" s="27">
        <f>1/1.363</f>
        <v>0.7336757153338225</v>
      </c>
      <c r="BO16" s="19">
        <v>123.67</v>
      </c>
      <c r="BP16" s="19"/>
      <c r="BQ16" s="27">
        <f>1/1.3665</f>
        <v>0.7317965605561654</v>
      </c>
      <c r="BR16" s="19">
        <v>123.54</v>
      </c>
      <c r="BS16" s="19"/>
      <c r="BT16" s="27">
        <v>0.7343598982100974</v>
      </c>
      <c r="BU16" s="19">
        <v>122.09826086956522</v>
      </c>
      <c r="BV16" s="9"/>
    </row>
    <row r="17" spans="1:74" ht="15.75" customHeight="1">
      <c r="A17" s="16">
        <v>5</v>
      </c>
      <c r="B17" s="17" t="s">
        <v>18</v>
      </c>
      <c r="C17" s="27">
        <v>660.3</v>
      </c>
      <c r="D17" s="19">
        <v>58776.19</v>
      </c>
      <c r="E17" s="5"/>
      <c r="F17" s="27">
        <v>665.2</v>
      </c>
      <c r="G17" s="19">
        <v>59222.76</v>
      </c>
      <c r="H17" s="5"/>
      <c r="I17" s="27">
        <v>666.1</v>
      </c>
      <c r="J17" s="19">
        <v>59262.92</v>
      </c>
      <c r="K17" s="5"/>
      <c r="L17" s="27">
        <v>674.1</v>
      </c>
      <c r="M17" s="19">
        <v>59469.94</v>
      </c>
      <c r="N17" s="5"/>
      <c r="O17" s="27">
        <v>669.1</v>
      </c>
      <c r="P17" s="19">
        <v>59109.97</v>
      </c>
      <c r="Q17" s="5"/>
      <c r="R17" s="27">
        <v>670.45</v>
      </c>
      <c r="S17" s="19">
        <v>59502.44</v>
      </c>
      <c r="T17" s="5"/>
      <c r="U17" s="27">
        <v>671.2</v>
      </c>
      <c r="V17" s="19">
        <v>59560.61</v>
      </c>
      <c r="W17" s="5"/>
      <c r="X17" s="27">
        <v>665.1</v>
      </c>
      <c r="Y17" s="19">
        <v>59395.51</v>
      </c>
      <c r="Z17" s="5"/>
      <c r="AA17" s="27">
        <v>669.4</v>
      </c>
      <c r="AB17" s="19">
        <v>59779.93</v>
      </c>
      <c r="AC17" s="5"/>
      <c r="AD17" s="27">
        <v>667.55</v>
      </c>
      <c r="AE17" s="19">
        <v>59792.45</v>
      </c>
      <c r="AF17" s="5"/>
      <c r="AG17" s="27">
        <v>665</v>
      </c>
      <c r="AH17" s="19">
        <v>59904.86</v>
      </c>
      <c r="AI17" s="5"/>
      <c r="AJ17" s="27">
        <v>664.1</v>
      </c>
      <c r="AK17" s="19">
        <v>60061.62</v>
      </c>
      <c r="AL17" s="5"/>
      <c r="AM17" s="27">
        <v>652.5</v>
      </c>
      <c r="AN17" s="19">
        <v>58942.77</v>
      </c>
      <c r="AO17" s="5"/>
      <c r="AP17" s="27">
        <v>658.8</v>
      </c>
      <c r="AQ17" s="19">
        <v>59285.41</v>
      </c>
      <c r="AR17" s="5"/>
      <c r="AS17" s="27">
        <v>655</v>
      </c>
      <c r="AT17" s="19">
        <v>59142</v>
      </c>
      <c r="AU17" s="5"/>
      <c r="AV17" s="27">
        <v>656.7</v>
      </c>
      <c r="AW17" s="19">
        <v>59287.7</v>
      </c>
      <c r="AX17" s="5"/>
      <c r="AY17" s="27">
        <v>662.05</v>
      </c>
      <c r="AZ17" s="19">
        <v>59600.64</v>
      </c>
      <c r="BA17" s="5"/>
      <c r="BB17" s="27">
        <v>659.7</v>
      </c>
      <c r="BC17" s="19">
        <v>59561.43</v>
      </c>
      <c r="BD17" s="5"/>
      <c r="BE17" s="27">
        <v>666.8</v>
      </c>
      <c r="BF17" s="19">
        <v>59880.31</v>
      </c>
      <c r="BG17" s="5"/>
      <c r="BH17" s="27">
        <v>667.1</v>
      </c>
      <c r="BI17" s="19">
        <v>60146.15</v>
      </c>
      <c r="BJ17" s="27"/>
      <c r="BK17" s="27">
        <v>664.7</v>
      </c>
      <c r="BL17" s="19">
        <v>60270.43</v>
      </c>
      <c r="BM17" s="27"/>
      <c r="BN17" s="27">
        <v>666.2</v>
      </c>
      <c r="BO17" s="19">
        <v>60416.01</v>
      </c>
      <c r="BP17" s="19"/>
      <c r="BQ17" s="27">
        <v>667.9</v>
      </c>
      <c r="BR17" s="19">
        <v>60407.8</v>
      </c>
      <c r="BS17" s="19"/>
      <c r="BT17" s="27">
        <v>664.5673913043479</v>
      </c>
      <c r="BU17" s="19">
        <v>59599.12391304347</v>
      </c>
      <c r="BV17" s="9"/>
    </row>
    <row r="18" spans="1:74" ht="15.75" customHeight="1">
      <c r="A18" s="16">
        <v>6</v>
      </c>
      <c r="B18" s="20" t="s">
        <v>19</v>
      </c>
      <c r="C18" s="27">
        <v>12.75</v>
      </c>
      <c r="D18" s="19">
        <v>1134.93</v>
      </c>
      <c r="E18" s="5"/>
      <c r="F18" s="27">
        <v>12.94</v>
      </c>
      <c r="G18" s="19">
        <v>1152.05</v>
      </c>
      <c r="H18" s="5"/>
      <c r="I18" s="27">
        <v>12.97</v>
      </c>
      <c r="J18" s="19">
        <v>1153.94</v>
      </c>
      <c r="K18" s="5"/>
      <c r="L18" s="27">
        <v>13.13</v>
      </c>
      <c r="M18" s="19">
        <v>1158.35</v>
      </c>
      <c r="N18" s="5"/>
      <c r="O18" s="27">
        <v>12.93</v>
      </c>
      <c r="P18" s="19">
        <v>1142.27</v>
      </c>
      <c r="Q18" s="5"/>
      <c r="R18" s="27">
        <v>13.01</v>
      </c>
      <c r="S18" s="19">
        <v>1154.64</v>
      </c>
      <c r="T18" s="5"/>
      <c r="U18" s="27">
        <v>13.05</v>
      </c>
      <c r="V18" s="19">
        <v>1158.02</v>
      </c>
      <c r="W18" s="5"/>
      <c r="X18" s="27">
        <v>12.7</v>
      </c>
      <c r="Y18" s="19">
        <v>1134.15</v>
      </c>
      <c r="Z18" s="5"/>
      <c r="AA18" s="27">
        <v>12.8</v>
      </c>
      <c r="AB18" s="19">
        <v>1143.09</v>
      </c>
      <c r="AC18" s="5"/>
      <c r="AD18" s="27">
        <v>12.73</v>
      </c>
      <c r="AE18" s="19">
        <v>1140.23</v>
      </c>
      <c r="AF18" s="5"/>
      <c r="AG18" s="27">
        <v>12.54</v>
      </c>
      <c r="AH18" s="19">
        <v>1129.63</v>
      </c>
      <c r="AI18" s="5"/>
      <c r="AJ18" s="27">
        <v>12.43</v>
      </c>
      <c r="AK18" s="19">
        <v>1124.18</v>
      </c>
      <c r="AL18" s="5"/>
      <c r="AM18" s="27">
        <v>11.67</v>
      </c>
      <c r="AN18" s="19">
        <v>1054.19</v>
      </c>
      <c r="AO18" s="5"/>
      <c r="AP18" s="27">
        <v>11.92</v>
      </c>
      <c r="AQ18" s="19">
        <v>1072.68</v>
      </c>
      <c r="AR18" s="5"/>
      <c r="AS18" s="27">
        <v>11.54</v>
      </c>
      <c r="AT18" s="19">
        <v>1041.98</v>
      </c>
      <c r="AU18" s="5"/>
      <c r="AV18" s="27">
        <v>11.59</v>
      </c>
      <c r="AW18" s="19">
        <v>1046.36</v>
      </c>
      <c r="AX18" s="5"/>
      <c r="AY18" s="27">
        <v>11.79</v>
      </c>
      <c r="AZ18" s="19">
        <v>1061.39</v>
      </c>
      <c r="BA18" s="5"/>
      <c r="BB18" s="27">
        <v>11.63</v>
      </c>
      <c r="BC18" s="19">
        <v>1050.02</v>
      </c>
      <c r="BD18" s="5"/>
      <c r="BE18" s="27">
        <v>11.94</v>
      </c>
      <c r="BF18" s="19">
        <v>1072.24</v>
      </c>
      <c r="BG18" s="5"/>
      <c r="BH18" s="27">
        <v>11.81</v>
      </c>
      <c r="BI18" s="19">
        <v>1064.8</v>
      </c>
      <c r="BJ18" s="27"/>
      <c r="BK18" s="27">
        <v>11.79</v>
      </c>
      <c r="BL18" s="19">
        <v>1069.04</v>
      </c>
      <c r="BM18" s="27"/>
      <c r="BN18" s="27">
        <v>11.87</v>
      </c>
      <c r="BO18" s="19">
        <v>1076.46</v>
      </c>
      <c r="BP18" s="19"/>
      <c r="BQ18" s="27">
        <v>11.88</v>
      </c>
      <c r="BR18" s="19">
        <v>1074.48</v>
      </c>
      <c r="BS18" s="19"/>
      <c r="BT18" s="27">
        <v>12.322173913043477</v>
      </c>
      <c r="BU18" s="19">
        <v>1104.744347826087</v>
      </c>
      <c r="BV18" s="9"/>
    </row>
    <row r="19" spans="1:74" ht="15.75" customHeight="1">
      <c r="A19" s="16">
        <v>7</v>
      </c>
      <c r="B19" s="17" t="s">
        <v>20</v>
      </c>
      <c r="C19" s="27">
        <f>1/0.8482</f>
        <v>1.1789672247111531</v>
      </c>
      <c r="D19" s="19">
        <v>75.5</v>
      </c>
      <c r="E19" s="5"/>
      <c r="F19" s="27">
        <f>1/0.8542</f>
        <v>1.1706860220088973</v>
      </c>
      <c r="G19" s="19">
        <v>76.05</v>
      </c>
      <c r="H19" s="5"/>
      <c r="I19" s="27">
        <f>1/0.8559</f>
        <v>1.168360789811894</v>
      </c>
      <c r="J19" s="19">
        <v>76.15</v>
      </c>
      <c r="K19" s="5"/>
      <c r="L19" s="27">
        <f>1/0.8566</f>
        <v>1.1674060238150827</v>
      </c>
      <c r="M19" s="19">
        <v>75.57</v>
      </c>
      <c r="N19" s="5"/>
      <c r="O19" s="27">
        <f>1/0.8555</f>
        <v>1.168907071887785</v>
      </c>
      <c r="P19" s="19">
        <v>75.58</v>
      </c>
      <c r="Q19" s="5"/>
      <c r="R19" s="27">
        <f>1/0.8567</f>
        <v>1.1672697560406209</v>
      </c>
      <c r="S19" s="19">
        <v>76.03</v>
      </c>
      <c r="T19" s="5"/>
      <c r="U19" s="27">
        <f>1/0.8575</f>
        <v>1.1661807580174925</v>
      </c>
      <c r="V19" s="19">
        <v>76.09</v>
      </c>
      <c r="W19" s="5"/>
      <c r="X19" s="27">
        <f>1/0.8455</f>
        <v>1.1827321111768183</v>
      </c>
      <c r="Y19" s="19">
        <v>75.51</v>
      </c>
      <c r="Z19" s="5"/>
      <c r="AA19" s="27">
        <f>1/0.8421</f>
        <v>1.187507421921387</v>
      </c>
      <c r="AB19" s="19">
        <v>75.2</v>
      </c>
      <c r="AC19" s="5"/>
      <c r="AD19" s="27">
        <f>1/0.8379</f>
        <v>1.1934598400763814</v>
      </c>
      <c r="AE19" s="19">
        <v>75.05</v>
      </c>
      <c r="AF19" s="5"/>
      <c r="AG19" s="27">
        <f>1/0.8253</f>
        <v>1.211680600993578</v>
      </c>
      <c r="AH19" s="19">
        <v>74.35</v>
      </c>
      <c r="AI19" s="5"/>
      <c r="AJ19" s="27">
        <f>1/0.7944</f>
        <v>1.2588116817724069</v>
      </c>
      <c r="AK19" s="19">
        <v>71.85</v>
      </c>
      <c r="AL19" s="5"/>
      <c r="AM19" s="27">
        <f>1/0.7756</f>
        <v>1.289324394017535</v>
      </c>
      <c r="AN19" s="19">
        <v>70.06</v>
      </c>
      <c r="AO19" s="5"/>
      <c r="AP19" s="27">
        <f>1/0.8039</f>
        <v>1.243935812912054</v>
      </c>
      <c r="AQ19" s="19">
        <v>72.34</v>
      </c>
      <c r="AR19" s="5"/>
      <c r="AS19" s="27">
        <f>1/0.7962</f>
        <v>1.2559658377292138</v>
      </c>
      <c r="AT19" s="19">
        <v>71.89</v>
      </c>
      <c r="AU19" s="5"/>
      <c r="AV19" s="27">
        <f>1/0.8034</f>
        <v>1.2447099825740602</v>
      </c>
      <c r="AW19" s="19">
        <v>72.53</v>
      </c>
      <c r="AX19" s="5"/>
      <c r="AY19" s="27">
        <f>1/0.8175</f>
        <v>1.2232415902140672</v>
      </c>
      <c r="AZ19" s="19">
        <v>73.59</v>
      </c>
      <c r="BA19" s="18"/>
      <c r="BB19" s="27">
        <f>1/0.8211</f>
        <v>1.217878455730118</v>
      </c>
      <c r="BC19" s="19">
        <v>74.13</v>
      </c>
      <c r="BD19" s="18"/>
      <c r="BE19" s="27">
        <f>1/0.8319</f>
        <v>1.2020675561966583</v>
      </c>
      <c r="BF19" s="19">
        <v>74.71</v>
      </c>
      <c r="BG19" s="18"/>
      <c r="BH19" s="27">
        <f>1/0.8234</f>
        <v>1.2144765606023804</v>
      </c>
      <c r="BI19" s="19">
        <v>74.24</v>
      </c>
      <c r="BJ19" s="27"/>
      <c r="BK19" s="27">
        <f>1/0.819</f>
        <v>1.221001221001221</v>
      </c>
      <c r="BL19" s="19">
        <v>74.26</v>
      </c>
      <c r="BM19" s="27"/>
      <c r="BN19" s="27">
        <f>1/0.8157</f>
        <v>1.225940909648155</v>
      </c>
      <c r="BO19" s="19">
        <v>73.97</v>
      </c>
      <c r="BP19" s="19"/>
      <c r="BQ19" s="27">
        <f>1/0.824</f>
        <v>1.2135922330097089</v>
      </c>
      <c r="BR19" s="19">
        <v>74.53</v>
      </c>
      <c r="BS19" s="19"/>
      <c r="BT19" s="27">
        <v>1.2075697328638555</v>
      </c>
      <c r="BU19" s="19">
        <v>74.31217391304347</v>
      </c>
      <c r="BV19" s="24"/>
    </row>
    <row r="20" spans="1:74" ht="15.75" customHeight="1">
      <c r="A20" s="16">
        <v>8</v>
      </c>
      <c r="B20" s="17" t="s">
        <v>21</v>
      </c>
      <c r="C20" s="27">
        <v>1.0669</v>
      </c>
      <c r="D20" s="19">
        <v>83.43</v>
      </c>
      <c r="E20" s="5"/>
      <c r="F20" s="27">
        <v>1.0581</v>
      </c>
      <c r="G20" s="19">
        <v>84.14</v>
      </c>
      <c r="H20" s="5"/>
      <c r="I20" s="27">
        <v>1.0565</v>
      </c>
      <c r="J20" s="19">
        <v>84.21</v>
      </c>
      <c r="K20" s="5"/>
      <c r="L20" s="27">
        <v>1.054</v>
      </c>
      <c r="M20" s="19">
        <v>83.7</v>
      </c>
      <c r="N20" s="5"/>
      <c r="O20" s="27">
        <v>1.0563</v>
      </c>
      <c r="P20" s="19">
        <v>83.63</v>
      </c>
      <c r="Q20" s="5"/>
      <c r="R20" s="27">
        <v>1.054</v>
      </c>
      <c r="S20" s="19">
        <v>84.2</v>
      </c>
      <c r="T20" s="5"/>
      <c r="U20" s="27">
        <v>1.053</v>
      </c>
      <c r="V20" s="19">
        <v>84.27</v>
      </c>
      <c r="W20" s="5"/>
      <c r="X20" s="27">
        <v>1.0549</v>
      </c>
      <c r="Y20" s="19">
        <v>84.66</v>
      </c>
      <c r="Z20" s="5"/>
      <c r="AA20" s="27">
        <v>1.0547</v>
      </c>
      <c r="AB20" s="19">
        <v>84.67</v>
      </c>
      <c r="AC20" s="5"/>
      <c r="AD20" s="27">
        <v>1.0589</v>
      </c>
      <c r="AE20" s="19">
        <v>84.59</v>
      </c>
      <c r="AF20" s="5"/>
      <c r="AG20" s="27">
        <v>1.0733</v>
      </c>
      <c r="AH20" s="19">
        <v>83.93</v>
      </c>
      <c r="AI20" s="5"/>
      <c r="AJ20" s="27">
        <v>1.0824</v>
      </c>
      <c r="AK20" s="19">
        <v>83.56</v>
      </c>
      <c r="AL20" s="5"/>
      <c r="AM20" s="27">
        <v>1.077</v>
      </c>
      <c r="AN20" s="19">
        <v>83.88</v>
      </c>
      <c r="AO20" s="5"/>
      <c r="AP20" s="27">
        <v>1.0597</v>
      </c>
      <c r="AQ20" s="19">
        <v>84.92</v>
      </c>
      <c r="AR20" s="5"/>
      <c r="AS20" s="27">
        <v>1.0628</v>
      </c>
      <c r="AT20" s="19">
        <v>84.96</v>
      </c>
      <c r="AU20" s="5"/>
      <c r="AV20" s="27">
        <v>1.0613</v>
      </c>
      <c r="AW20" s="19">
        <v>85.07</v>
      </c>
      <c r="AX20" s="5"/>
      <c r="AY20" s="27">
        <v>1.0581</v>
      </c>
      <c r="AZ20" s="19">
        <v>85.08</v>
      </c>
      <c r="BA20" s="5"/>
      <c r="BB20" s="27">
        <v>1.0504</v>
      </c>
      <c r="BC20" s="19">
        <v>85.95</v>
      </c>
      <c r="BD20" s="5"/>
      <c r="BE20" s="27">
        <v>1.0494</v>
      </c>
      <c r="BF20" s="19">
        <v>85.58</v>
      </c>
      <c r="BG20" s="5"/>
      <c r="BH20" s="27">
        <v>1.0549</v>
      </c>
      <c r="BI20" s="19">
        <v>85.47</v>
      </c>
      <c r="BJ20" s="27"/>
      <c r="BK20" s="27">
        <v>1.0645</v>
      </c>
      <c r="BL20" s="19">
        <v>85.18</v>
      </c>
      <c r="BM20" s="27"/>
      <c r="BN20" s="27">
        <v>1.0647</v>
      </c>
      <c r="BO20" s="19">
        <v>85.18</v>
      </c>
      <c r="BP20" s="19"/>
      <c r="BQ20" s="27">
        <v>1.0537</v>
      </c>
      <c r="BR20" s="19">
        <v>85.84</v>
      </c>
      <c r="BS20" s="19"/>
      <c r="BT20" s="27">
        <v>1.059978260869565</v>
      </c>
      <c r="BU20" s="19">
        <v>84.61304347826086</v>
      </c>
      <c r="BV20" s="9"/>
    </row>
    <row r="21" spans="1:74" ht="15.75" customHeight="1">
      <c r="A21" s="16">
        <v>9</v>
      </c>
      <c r="B21" s="17" t="s">
        <v>22</v>
      </c>
      <c r="C21" s="27">
        <v>6.7935</v>
      </c>
      <c r="D21" s="19">
        <v>13.1</v>
      </c>
      <c r="E21" s="5"/>
      <c r="F21" s="27">
        <v>6.75</v>
      </c>
      <c r="G21" s="19">
        <v>13.19</v>
      </c>
      <c r="H21" s="5"/>
      <c r="I21" s="27">
        <v>6.726</v>
      </c>
      <c r="J21" s="19">
        <v>13.23</v>
      </c>
      <c r="K21" s="5"/>
      <c r="L21" s="27">
        <v>6.684</v>
      </c>
      <c r="M21" s="19">
        <v>13.2</v>
      </c>
      <c r="N21" s="5"/>
      <c r="O21" s="27">
        <v>6.6802</v>
      </c>
      <c r="P21" s="19">
        <v>13.22</v>
      </c>
      <c r="Q21" s="5"/>
      <c r="R21" s="27">
        <v>6.7035</v>
      </c>
      <c r="S21" s="19">
        <v>13.24</v>
      </c>
      <c r="T21" s="5"/>
      <c r="U21" s="27">
        <v>6.7277</v>
      </c>
      <c r="V21" s="19">
        <v>13.19</v>
      </c>
      <c r="W21" s="5"/>
      <c r="X21" s="27">
        <v>6.7743</v>
      </c>
      <c r="Y21" s="19">
        <v>13.18</v>
      </c>
      <c r="Z21" s="5"/>
      <c r="AA21" s="27">
        <v>6.8194</v>
      </c>
      <c r="AB21" s="19">
        <v>13.1</v>
      </c>
      <c r="AC21" s="5"/>
      <c r="AD21" s="27">
        <v>6.8721</v>
      </c>
      <c r="AE21" s="19">
        <v>13.03</v>
      </c>
      <c r="AF21" s="5"/>
      <c r="AG21" s="27">
        <v>6.9321</v>
      </c>
      <c r="AH21" s="19">
        <v>12.99</v>
      </c>
      <c r="AI21" s="5"/>
      <c r="AJ21" s="27">
        <v>6.9937</v>
      </c>
      <c r="AK21" s="19">
        <v>12.93</v>
      </c>
      <c r="AL21" s="5"/>
      <c r="AM21" s="27">
        <v>6.9779</v>
      </c>
      <c r="AN21" s="19">
        <v>12.95</v>
      </c>
      <c r="AO21" s="5"/>
      <c r="AP21" s="27">
        <v>6.912</v>
      </c>
      <c r="AQ21" s="19">
        <v>13.02</v>
      </c>
      <c r="AR21" s="5"/>
      <c r="AS21" s="27">
        <v>6.9726</v>
      </c>
      <c r="AT21" s="19">
        <v>12.95</v>
      </c>
      <c r="AU21" s="5"/>
      <c r="AV21" s="27">
        <v>6.9479</v>
      </c>
      <c r="AW21" s="19">
        <v>12.99</v>
      </c>
      <c r="AX21" s="5"/>
      <c r="AY21" s="27">
        <v>6.9073</v>
      </c>
      <c r="AZ21" s="19">
        <v>13.03</v>
      </c>
      <c r="BA21" s="5"/>
      <c r="BB21" s="27">
        <v>6.9081</v>
      </c>
      <c r="BC21" s="19">
        <v>13.07</v>
      </c>
      <c r="BD21" s="5"/>
      <c r="BE21" s="27">
        <v>6.8435</v>
      </c>
      <c r="BF21" s="19">
        <v>13.12</v>
      </c>
      <c r="BG21" s="5"/>
      <c r="BH21" s="27">
        <v>6.8684</v>
      </c>
      <c r="BI21" s="19">
        <v>13.13</v>
      </c>
      <c r="BJ21" s="27"/>
      <c r="BK21" s="27">
        <v>6.9016</v>
      </c>
      <c r="BL21" s="19">
        <v>13.14</v>
      </c>
      <c r="BM21" s="27"/>
      <c r="BN21" s="27">
        <v>6.8773</v>
      </c>
      <c r="BO21" s="19">
        <v>13.19</v>
      </c>
      <c r="BP21" s="19"/>
      <c r="BQ21" s="27">
        <v>6.8513</v>
      </c>
      <c r="BR21" s="19">
        <v>13.2</v>
      </c>
      <c r="BS21" s="19"/>
      <c r="BT21" s="27">
        <v>6.844539130434785</v>
      </c>
      <c r="BU21" s="19">
        <v>13.10391304347826</v>
      </c>
      <c r="BV21" s="9"/>
    </row>
    <row r="22" spans="1:74" ht="15.75" customHeight="1">
      <c r="A22" s="16">
        <v>10</v>
      </c>
      <c r="B22" s="17" t="s">
        <v>23</v>
      </c>
      <c r="C22" s="27">
        <v>5.865</v>
      </c>
      <c r="D22" s="19">
        <v>15.18</v>
      </c>
      <c r="E22" s="5"/>
      <c r="F22" s="27">
        <v>5.8245</v>
      </c>
      <c r="G22" s="19">
        <v>15.29</v>
      </c>
      <c r="H22" s="5"/>
      <c r="I22" s="27">
        <v>5.7924</v>
      </c>
      <c r="J22" s="19">
        <v>15.36</v>
      </c>
      <c r="K22" s="5"/>
      <c r="L22" s="27">
        <v>5.7621</v>
      </c>
      <c r="M22" s="19">
        <v>15.31</v>
      </c>
      <c r="N22" s="5"/>
      <c r="O22" s="27">
        <v>5.7811</v>
      </c>
      <c r="P22" s="19">
        <v>15.28</v>
      </c>
      <c r="Q22" s="5"/>
      <c r="R22" s="27">
        <v>5.802</v>
      </c>
      <c r="S22" s="19">
        <v>15.3</v>
      </c>
      <c r="T22" s="5"/>
      <c r="U22" s="27">
        <v>5.7674</v>
      </c>
      <c r="V22" s="19">
        <v>15.39</v>
      </c>
      <c r="W22" s="5"/>
      <c r="X22" s="27">
        <v>5.8263</v>
      </c>
      <c r="Y22" s="19">
        <v>15.33</v>
      </c>
      <c r="Z22" s="5"/>
      <c r="AA22" s="27">
        <v>5.8463</v>
      </c>
      <c r="AB22" s="19">
        <v>15.28</v>
      </c>
      <c r="AC22" s="5"/>
      <c r="AD22" s="27">
        <v>5.8755</v>
      </c>
      <c r="AE22" s="19">
        <v>15.24</v>
      </c>
      <c r="AF22" s="5"/>
      <c r="AG22" s="27">
        <v>5.9254</v>
      </c>
      <c r="AH22" s="19">
        <v>15.2</v>
      </c>
      <c r="AI22" s="5"/>
      <c r="AJ22" s="27">
        <v>5.9533</v>
      </c>
      <c r="AK22" s="19">
        <v>15.19</v>
      </c>
      <c r="AL22" s="5"/>
      <c r="AM22" s="27">
        <v>5.9847</v>
      </c>
      <c r="AN22" s="19">
        <v>15.09</v>
      </c>
      <c r="AO22" s="5"/>
      <c r="AP22" s="27">
        <v>5.9122</v>
      </c>
      <c r="AQ22" s="19">
        <v>15.22</v>
      </c>
      <c r="AR22" s="5"/>
      <c r="AS22" s="27">
        <v>5.946</v>
      </c>
      <c r="AT22" s="19">
        <v>15.19</v>
      </c>
      <c r="AU22" s="5"/>
      <c r="AV22" s="27">
        <v>5.9261</v>
      </c>
      <c r="AW22" s="19">
        <v>15.23</v>
      </c>
      <c r="AX22" s="5"/>
      <c r="AY22" s="27">
        <v>5.8762</v>
      </c>
      <c r="AZ22" s="19">
        <v>15.32</v>
      </c>
      <c r="BA22" s="5"/>
      <c r="BB22" s="27">
        <v>5.8481</v>
      </c>
      <c r="BC22" s="19">
        <v>15.44</v>
      </c>
      <c r="BD22" s="5"/>
      <c r="BE22" s="27">
        <v>5.8148</v>
      </c>
      <c r="BF22" s="19">
        <v>15.44</v>
      </c>
      <c r="BG22" s="5"/>
      <c r="BH22" s="27">
        <v>5.8212</v>
      </c>
      <c r="BI22" s="19">
        <v>15.49</v>
      </c>
      <c r="BJ22" s="27"/>
      <c r="BK22" s="27">
        <v>5.8529</v>
      </c>
      <c r="BL22" s="19">
        <v>15.49</v>
      </c>
      <c r="BM22" s="27"/>
      <c r="BN22" s="27">
        <v>5.8428</v>
      </c>
      <c r="BO22" s="19">
        <v>15.52</v>
      </c>
      <c r="BP22" s="19"/>
      <c r="BQ22" s="27">
        <v>5.8125</v>
      </c>
      <c r="BR22" s="19">
        <v>15.56</v>
      </c>
      <c r="BS22" s="19"/>
      <c r="BT22" s="27">
        <v>5.854730434782609</v>
      </c>
      <c r="BU22" s="19">
        <v>15.319130434782608</v>
      </c>
      <c r="BV22" s="9"/>
    </row>
    <row r="23" spans="1:74" ht="15.75" customHeight="1">
      <c r="A23" s="16">
        <v>11</v>
      </c>
      <c r="B23" s="17" t="s">
        <v>24</v>
      </c>
      <c r="C23" s="27">
        <v>5.4509</v>
      </c>
      <c r="D23" s="19">
        <v>16.33</v>
      </c>
      <c r="E23" s="5"/>
      <c r="F23" s="27">
        <v>5.4465</v>
      </c>
      <c r="G23" s="19">
        <v>16.35</v>
      </c>
      <c r="H23" s="5"/>
      <c r="I23" s="27">
        <v>5.4306</v>
      </c>
      <c r="J23" s="19">
        <v>16.38</v>
      </c>
      <c r="K23" s="5"/>
      <c r="L23" s="27">
        <v>5.3831</v>
      </c>
      <c r="M23" s="19">
        <v>16.39</v>
      </c>
      <c r="N23" s="5"/>
      <c r="O23" s="27">
        <v>5.3958</v>
      </c>
      <c r="P23" s="19">
        <v>16.37</v>
      </c>
      <c r="Q23" s="5"/>
      <c r="R23" s="27">
        <v>5.4107</v>
      </c>
      <c r="S23" s="19">
        <v>16.4</v>
      </c>
      <c r="T23" s="5"/>
      <c r="U23" s="27">
        <v>5.4019</v>
      </c>
      <c r="V23" s="19">
        <v>16.43</v>
      </c>
      <c r="W23" s="5"/>
      <c r="X23" s="27">
        <v>5.435</v>
      </c>
      <c r="Y23" s="19">
        <v>16.43</v>
      </c>
      <c r="Z23" s="5"/>
      <c r="AA23" s="27">
        <v>5.4485</v>
      </c>
      <c r="AB23" s="19">
        <v>16.39</v>
      </c>
      <c r="AC23" s="5"/>
      <c r="AD23" s="27">
        <v>5.4805</v>
      </c>
      <c r="AE23" s="19">
        <v>16.34</v>
      </c>
      <c r="AF23" s="5"/>
      <c r="AG23" s="27">
        <v>5.5133</v>
      </c>
      <c r="AH23" s="19">
        <v>16.34</v>
      </c>
      <c r="AI23" s="5"/>
      <c r="AJ23" s="27">
        <v>5.5441</v>
      </c>
      <c r="AK23" s="19">
        <v>16.31</v>
      </c>
      <c r="AL23" s="5"/>
      <c r="AM23" s="27">
        <v>5.5332</v>
      </c>
      <c r="AN23" s="19">
        <v>16.33</v>
      </c>
      <c r="AO23" s="5"/>
      <c r="AP23" s="27">
        <v>5.511</v>
      </c>
      <c r="AQ23" s="19">
        <v>16.33</v>
      </c>
      <c r="AR23" s="5"/>
      <c r="AS23" s="27">
        <v>5.5283</v>
      </c>
      <c r="AT23" s="19">
        <v>16.33</v>
      </c>
      <c r="AU23" s="5"/>
      <c r="AV23" s="27">
        <v>5.5177</v>
      </c>
      <c r="AW23" s="19">
        <v>16.36</v>
      </c>
      <c r="AX23" s="5"/>
      <c r="AY23" s="27">
        <v>5.4864</v>
      </c>
      <c r="AZ23" s="19">
        <v>16.41</v>
      </c>
      <c r="BA23" s="5"/>
      <c r="BB23" s="27">
        <v>5.4749</v>
      </c>
      <c r="BC23" s="19">
        <v>16.49</v>
      </c>
      <c r="BD23" s="5"/>
      <c r="BE23" s="27">
        <v>5.4471</v>
      </c>
      <c r="BF23" s="19">
        <v>16.49</v>
      </c>
      <c r="BG23" s="5"/>
      <c r="BH23" s="27">
        <v>5.4554</v>
      </c>
      <c r="BI23" s="19">
        <v>16.53</v>
      </c>
      <c r="BJ23" s="27"/>
      <c r="BK23" s="27">
        <v>5.4726</v>
      </c>
      <c r="BL23" s="19">
        <v>16.57</v>
      </c>
      <c r="BM23" s="27"/>
      <c r="BN23" s="27">
        <v>5.4619</v>
      </c>
      <c r="BO23" s="19">
        <v>16.6</v>
      </c>
      <c r="BP23" s="19"/>
      <c r="BQ23" s="27">
        <v>5.449</v>
      </c>
      <c r="BR23" s="19">
        <v>16.6</v>
      </c>
      <c r="BS23" s="19"/>
      <c r="BT23" s="27">
        <v>5.464278260869565</v>
      </c>
      <c r="BU23" s="19">
        <v>16.41304347826087</v>
      </c>
      <c r="BV23" s="9"/>
    </row>
    <row r="24" spans="1:74" ht="15.75" customHeight="1">
      <c r="A24" s="16">
        <v>12</v>
      </c>
      <c r="B24" s="17" t="s">
        <v>25</v>
      </c>
      <c r="C24" s="27">
        <f>1/1.53122</f>
        <v>0.6530740194093598</v>
      </c>
      <c r="D24" s="19">
        <v>136.3</v>
      </c>
      <c r="E24" s="5"/>
      <c r="F24" s="27">
        <f>1/1.53028</f>
        <v>0.6534751810126251</v>
      </c>
      <c r="G24" s="19">
        <v>136.24</v>
      </c>
      <c r="H24" s="5"/>
      <c r="I24" s="27">
        <f>1/1.53063</f>
        <v>0.6533257547545782</v>
      </c>
      <c r="J24" s="19">
        <v>136.18</v>
      </c>
      <c r="K24" s="5"/>
      <c r="L24" s="27">
        <f>1/1.53165</f>
        <v>0.6528906734567297</v>
      </c>
      <c r="M24" s="19">
        <v>135.12</v>
      </c>
      <c r="N24" s="5"/>
      <c r="O24" s="27">
        <f>1/1.53682</f>
        <v>0.6506942908082924</v>
      </c>
      <c r="P24" s="19">
        <v>135.77</v>
      </c>
      <c r="Q24" s="5"/>
      <c r="R24" s="27">
        <f>1/1.53541</f>
        <v>0.6512918373594024</v>
      </c>
      <c r="S24" s="19">
        <v>136.27</v>
      </c>
      <c r="T24" s="5"/>
      <c r="U24" s="27">
        <f>1/1.53412</f>
        <v>0.6518394910437254</v>
      </c>
      <c r="V24" s="19">
        <v>136.13</v>
      </c>
      <c r="W24" s="5"/>
      <c r="X24" s="27">
        <f>1/1.53338</f>
        <v>0.6521540648762864</v>
      </c>
      <c r="Y24" s="19">
        <v>136.94</v>
      </c>
      <c r="Z24" s="5"/>
      <c r="AA24" s="27">
        <f>1/1.53047</f>
        <v>0.6533940554208838</v>
      </c>
      <c r="AB24" s="19">
        <v>136.68</v>
      </c>
      <c r="AC24" s="5"/>
      <c r="AD24" s="27">
        <f>1/1.52947</f>
        <v>0.6538212583443938</v>
      </c>
      <c r="AE24" s="19">
        <v>136.99</v>
      </c>
      <c r="AF24" s="5"/>
      <c r="AG24" s="27">
        <f>1/1.52479</f>
        <v>0.655828015661173</v>
      </c>
      <c r="AH24" s="19">
        <v>137.36</v>
      </c>
      <c r="AI24" s="5"/>
      <c r="AJ24" s="27">
        <f>1/1.52191</f>
        <v>0.6570690776721356</v>
      </c>
      <c r="AK24" s="19">
        <v>137.64</v>
      </c>
      <c r="AL24" s="5"/>
      <c r="AM24" s="27">
        <f>1/1.52109</f>
        <v>0.6574232951370399</v>
      </c>
      <c r="AN24" s="19">
        <v>137.41</v>
      </c>
      <c r="AO24" s="5"/>
      <c r="AP24" s="27">
        <f>1/1.52425</f>
        <v>0.6560603575528948</v>
      </c>
      <c r="AQ24" s="19">
        <v>137.17</v>
      </c>
      <c r="AR24" s="5"/>
      <c r="AS24" s="27">
        <f>1/1.52432</f>
        <v>0.6560302298729926</v>
      </c>
      <c r="AT24" s="19">
        <v>137.64</v>
      </c>
      <c r="AU24" s="5"/>
      <c r="AV24" s="27">
        <f>1/1.52569</f>
        <v>0.655441144662415</v>
      </c>
      <c r="AW24" s="19">
        <v>137.74</v>
      </c>
      <c r="AX24" s="5"/>
      <c r="AY24" s="27">
        <f>1/1.52461</f>
        <v>0.6559054446710962</v>
      </c>
      <c r="AZ24" s="19">
        <v>137.25</v>
      </c>
      <c r="BA24" s="5"/>
      <c r="BB24" s="27">
        <f>1/1.52745</f>
        <v>0.654685914432551</v>
      </c>
      <c r="BC24" s="19">
        <v>137.91</v>
      </c>
      <c r="BD24" s="5"/>
      <c r="BE24" s="27">
        <f>1/1.52941</f>
        <v>0.6538469082848942</v>
      </c>
      <c r="BF24" s="19">
        <v>137.34</v>
      </c>
      <c r="BG24" s="5"/>
      <c r="BH24" s="27">
        <f>1/1.53174</f>
        <v>0.6528523117500359</v>
      </c>
      <c r="BI24" s="19">
        <v>138.1</v>
      </c>
      <c r="BJ24" s="27"/>
      <c r="BK24" s="27">
        <f>1/1.53327</f>
        <v>0.6522008517743124</v>
      </c>
      <c r="BL24" s="19">
        <v>139.03</v>
      </c>
      <c r="BM24" s="27"/>
      <c r="BN24" s="27">
        <f>1/1.53261</f>
        <v>0.6524817141999595</v>
      </c>
      <c r="BO24" s="19">
        <v>138.99</v>
      </c>
      <c r="BP24" s="19"/>
      <c r="BQ24" s="27">
        <f>1/1.53069</f>
        <v>0.6533001456859324</v>
      </c>
      <c r="BR24" s="19">
        <v>138.44</v>
      </c>
      <c r="BS24" s="32"/>
      <c r="BT24" s="31">
        <v>0.6538733059932048</v>
      </c>
      <c r="BU24" s="32">
        <v>137.15826086956523</v>
      </c>
      <c r="BV24" s="9"/>
    </row>
    <row r="25" spans="1:74" ht="15.75" customHeight="1" thickBot="1">
      <c r="A25" s="35">
        <v>13</v>
      </c>
      <c r="B25" s="36" t="s">
        <v>26</v>
      </c>
      <c r="C25" s="28">
        <v>1</v>
      </c>
      <c r="D25" s="22">
        <v>89.01</v>
      </c>
      <c r="E25" s="21"/>
      <c r="F25" s="28">
        <v>1</v>
      </c>
      <c r="G25" s="22">
        <v>89.03</v>
      </c>
      <c r="H25" s="21"/>
      <c r="I25" s="28">
        <v>1</v>
      </c>
      <c r="J25" s="22">
        <v>88.97</v>
      </c>
      <c r="K25" s="21"/>
      <c r="L25" s="28">
        <v>1</v>
      </c>
      <c r="M25" s="22">
        <v>88.22</v>
      </c>
      <c r="N25" s="21"/>
      <c r="O25" s="28">
        <v>1</v>
      </c>
      <c r="P25" s="22">
        <v>88.34</v>
      </c>
      <c r="Q25" s="21"/>
      <c r="R25" s="28">
        <v>1</v>
      </c>
      <c r="S25" s="22">
        <v>88.75</v>
      </c>
      <c r="T25" s="21"/>
      <c r="U25" s="28">
        <v>1</v>
      </c>
      <c r="V25" s="22">
        <v>88.74</v>
      </c>
      <c r="W25" s="21"/>
      <c r="X25" s="28">
        <v>1</v>
      </c>
      <c r="Y25" s="22">
        <v>89.3</v>
      </c>
      <c r="Z25" s="21"/>
      <c r="AA25" s="28">
        <v>1</v>
      </c>
      <c r="AB25" s="22">
        <v>89.3</v>
      </c>
      <c r="AC25" s="21"/>
      <c r="AD25" s="28">
        <v>1</v>
      </c>
      <c r="AE25" s="22">
        <v>89.57</v>
      </c>
      <c r="AF25" s="21"/>
      <c r="AG25" s="28">
        <v>1</v>
      </c>
      <c r="AH25" s="22">
        <v>90.08</v>
      </c>
      <c r="AI25" s="21"/>
      <c r="AJ25" s="28">
        <v>1</v>
      </c>
      <c r="AK25" s="22">
        <v>90.44</v>
      </c>
      <c r="AL25" s="21"/>
      <c r="AM25" s="28">
        <v>1</v>
      </c>
      <c r="AN25" s="22">
        <v>90.33</v>
      </c>
      <c r="AO25" s="21"/>
      <c r="AP25" s="28">
        <v>1</v>
      </c>
      <c r="AQ25" s="22">
        <v>89.99</v>
      </c>
      <c r="AR25" s="21"/>
      <c r="AS25" s="28">
        <v>1</v>
      </c>
      <c r="AT25" s="22">
        <v>90.29</v>
      </c>
      <c r="AU25" s="21"/>
      <c r="AV25" s="28">
        <v>1</v>
      </c>
      <c r="AW25" s="22">
        <v>90.28</v>
      </c>
      <c r="AX25" s="21"/>
      <c r="AY25" s="28">
        <v>1</v>
      </c>
      <c r="AZ25" s="22">
        <v>90.02</v>
      </c>
      <c r="BA25" s="21"/>
      <c r="BB25" s="28">
        <v>1</v>
      </c>
      <c r="BC25" s="22">
        <v>90.29</v>
      </c>
      <c r="BD25" s="21"/>
      <c r="BE25" s="28">
        <v>1</v>
      </c>
      <c r="BF25" s="22">
        <v>89.8</v>
      </c>
      <c r="BG25" s="21"/>
      <c r="BH25" s="28">
        <v>1</v>
      </c>
      <c r="BI25" s="22">
        <v>90.16</v>
      </c>
      <c r="BJ25" s="28"/>
      <c r="BK25" s="28">
        <v>1</v>
      </c>
      <c r="BL25" s="22">
        <v>90.67</v>
      </c>
      <c r="BM25" s="28"/>
      <c r="BN25" s="28">
        <v>1</v>
      </c>
      <c r="BO25" s="22">
        <v>90.69</v>
      </c>
      <c r="BP25" s="22"/>
      <c r="BQ25" s="28">
        <v>1</v>
      </c>
      <c r="BR25" s="22">
        <v>90.44</v>
      </c>
      <c r="BS25" s="22"/>
      <c r="BT25" s="28">
        <v>1</v>
      </c>
      <c r="BU25" s="22">
        <v>89.68304347826087</v>
      </c>
      <c r="BV25" s="9"/>
    </row>
    <row r="26" spans="1:76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9"/>
      <c r="BF26" s="31"/>
      <c r="BG26" s="9"/>
      <c r="BH26" s="9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2"/>
      <c r="BV26" s="9"/>
      <c r="BW26" s="31"/>
      <c r="BX26" s="32"/>
    </row>
    <row r="27" spans="1:76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V27" s="40"/>
      <c r="BW27" s="40"/>
      <c r="BX27" s="40"/>
    </row>
    <row r="28" spans="1:74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V28" t="s">
        <v>13</v>
      </c>
    </row>
    <row r="29" spans="1:56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</row>
    <row r="30" spans="1:56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</row>
    <row r="31" spans="1:56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</row>
    <row r="32" spans="1:56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</row>
    <row r="33" spans="1:56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</row>
    <row r="34" spans="1:56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24"/>
    </row>
    <row r="35" spans="1:56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24"/>
    </row>
    <row r="36" spans="1:5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9"/>
      <c r="BB36" s="25"/>
      <c r="BC36" s="25"/>
      <c r="BD36" s="23"/>
    </row>
    <row r="37" spans="1:5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</sheetData>
  <sheetProtection/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&amp;L&amp;"Helv,Bold"Banka e Shqiperise
Sektori i Informacionit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2"/>
  <sheetViews>
    <sheetView zoomScale="80" zoomScaleNormal="80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3" sqref="BK13:BL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6" width="13.28125" style="0" customWidth="1"/>
    <col min="67" max="67" width="16.8515625" style="0" customWidth="1"/>
    <col min="68" max="68" width="6.0039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204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1" ht="15.75" customHeight="1">
      <c r="A4" s="6" t="s">
        <v>2</v>
      </c>
      <c r="B4" s="5"/>
      <c r="C4" s="4" t="s">
        <v>205</v>
      </c>
      <c r="D4" s="4"/>
      <c r="E4" s="10"/>
      <c r="F4" s="4" t="s">
        <v>206</v>
      </c>
      <c r="G4" s="4"/>
      <c r="H4" s="10"/>
      <c r="I4" s="4" t="s">
        <v>207</v>
      </c>
      <c r="J4" s="4"/>
      <c r="K4" s="10"/>
      <c r="L4" s="4" t="s">
        <v>208</v>
      </c>
      <c r="M4" s="4"/>
      <c r="N4" s="10"/>
      <c r="O4" s="4" t="s">
        <v>209</v>
      </c>
      <c r="P4" s="4"/>
      <c r="Q4" s="10"/>
      <c r="R4" s="4" t="s">
        <v>210</v>
      </c>
      <c r="S4" s="4"/>
      <c r="T4" s="10"/>
      <c r="U4" s="4" t="s">
        <v>211</v>
      </c>
      <c r="V4" s="4"/>
      <c r="W4" s="10"/>
      <c r="X4" s="4" t="s">
        <v>212</v>
      </c>
      <c r="Y4" s="4"/>
      <c r="Z4" s="10"/>
      <c r="AA4" s="4" t="s">
        <v>213</v>
      </c>
      <c r="AB4" s="4"/>
      <c r="AC4" s="10"/>
      <c r="AD4" s="4" t="s">
        <v>214</v>
      </c>
      <c r="AE4" s="4"/>
      <c r="AF4" s="10"/>
      <c r="AG4" s="4" t="s">
        <v>215</v>
      </c>
      <c r="AH4" s="4"/>
      <c r="AI4" s="10"/>
      <c r="AJ4" s="4" t="s">
        <v>216</v>
      </c>
      <c r="AK4" s="4"/>
      <c r="AL4" s="10"/>
      <c r="AM4" s="4" t="s">
        <v>217</v>
      </c>
      <c r="AN4" s="4"/>
      <c r="AO4" s="10"/>
      <c r="AP4" s="4" t="s">
        <v>218</v>
      </c>
      <c r="AQ4" s="4"/>
      <c r="AR4" s="10"/>
      <c r="AS4" s="4" t="s">
        <v>219</v>
      </c>
      <c r="AT4" s="4"/>
      <c r="AU4" s="10"/>
      <c r="AV4" s="4" t="s">
        <v>220</v>
      </c>
      <c r="AW4" s="4"/>
      <c r="AX4" s="26"/>
      <c r="AY4" s="4" t="s">
        <v>221</v>
      </c>
      <c r="AZ4" s="4"/>
      <c r="BA4" s="26"/>
      <c r="BB4" s="4" t="s">
        <v>222</v>
      </c>
      <c r="BC4" s="4"/>
      <c r="BD4" s="26"/>
      <c r="BE4" s="4" t="s">
        <v>223</v>
      </c>
      <c r="BF4" s="4"/>
      <c r="BG4" s="4"/>
      <c r="BH4" s="4" t="s">
        <v>224</v>
      </c>
      <c r="BI4" s="4"/>
      <c r="BJ4" s="4"/>
      <c r="BK4" s="4" t="s">
        <v>3</v>
      </c>
      <c r="BL4" s="4"/>
      <c r="BM4" s="4"/>
      <c r="BN4" s="38"/>
      <c r="BO4" s="37"/>
      <c r="BP4" s="4"/>
      <c r="BQ4" s="38"/>
      <c r="BR4" s="37"/>
      <c r="BS4" s="37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8"/>
      <c r="BO5" s="38"/>
      <c r="BP5" s="19"/>
      <c r="BQ5" s="38"/>
      <c r="BR5" s="38"/>
      <c r="BS5" s="38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19"/>
      <c r="BQ6" s="9"/>
      <c r="BR6" s="9"/>
      <c r="BS6" s="9"/>
    </row>
    <row r="7" spans="1:71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12"/>
      <c r="BQ7" s="39"/>
      <c r="BR7" s="39"/>
      <c r="BS7" s="39"/>
    </row>
    <row r="8" spans="1:71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12"/>
      <c r="BQ8" s="39"/>
      <c r="BR8" s="39"/>
      <c r="BS8" s="39"/>
    </row>
    <row r="9" spans="1:71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12"/>
      <c r="BQ9" s="39"/>
      <c r="BR9" s="39"/>
      <c r="BS9" s="39"/>
    </row>
    <row r="10" spans="1:71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12"/>
      <c r="BQ10" s="39"/>
      <c r="BR10" s="39"/>
      <c r="BS10" s="39"/>
    </row>
    <row r="11" spans="1:77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27"/>
      <c r="BO11" s="62"/>
      <c r="BP11" s="19"/>
      <c r="BQ11" s="9"/>
      <c r="BR11" s="9"/>
      <c r="BS11" s="9"/>
      <c r="BT11" s="40"/>
      <c r="BU11" s="40"/>
      <c r="BV11" s="40"/>
      <c r="BW11" s="40"/>
      <c r="BX11" s="40"/>
      <c r="BY11" s="40"/>
    </row>
    <row r="12" spans="1:77" ht="15.75" customHeight="1" thickTop="1">
      <c r="A12" s="14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27"/>
      <c r="BO12" s="62"/>
      <c r="BP12" s="19"/>
      <c r="BQ12" s="9"/>
      <c r="BR12" s="9"/>
      <c r="BS12" s="9"/>
      <c r="BT12" s="40"/>
      <c r="BU12" s="40"/>
      <c r="BV12" s="40"/>
      <c r="BW12" s="40"/>
      <c r="BX12" s="40"/>
      <c r="BY12" s="40"/>
    </row>
    <row r="13" spans="1:71" ht="15.75" customHeight="1">
      <c r="A13" s="16">
        <v>1</v>
      </c>
      <c r="B13" s="17" t="s">
        <v>14</v>
      </c>
      <c r="C13" s="27">
        <v>115.98</v>
      </c>
      <c r="D13" s="19">
        <v>78.11</v>
      </c>
      <c r="E13" s="5"/>
      <c r="F13" s="27">
        <v>115.44</v>
      </c>
      <c r="G13" s="19">
        <v>78.73</v>
      </c>
      <c r="H13" s="5"/>
      <c r="I13" s="27">
        <v>115.85</v>
      </c>
      <c r="J13" s="19">
        <v>78.54</v>
      </c>
      <c r="K13" s="5"/>
      <c r="L13" s="27">
        <v>115.34</v>
      </c>
      <c r="M13" s="19">
        <v>78.56</v>
      </c>
      <c r="N13" s="5"/>
      <c r="O13" s="27">
        <v>115.12</v>
      </c>
      <c r="P13" s="19">
        <v>78.61</v>
      </c>
      <c r="Q13" s="5"/>
      <c r="R13" s="27">
        <v>113.74</v>
      </c>
      <c r="S13" s="19">
        <v>79.06</v>
      </c>
      <c r="T13" s="5"/>
      <c r="U13" s="27">
        <v>113.65</v>
      </c>
      <c r="V13" s="19">
        <v>79.24</v>
      </c>
      <c r="W13" s="5"/>
      <c r="X13" s="27">
        <v>113.88</v>
      </c>
      <c r="Y13" s="19">
        <v>78.97</v>
      </c>
      <c r="Z13" s="5"/>
      <c r="AA13" s="27">
        <v>114.65</v>
      </c>
      <c r="AB13" s="19">
        <v>78.34</v>
      </c>
      <c r="AC13" s="5"/>
      <c r="AD13" s="27">
        <v>114.94</v>
      </c>
      <c r="AE13" s="19">
        <v>78.18</v>
      </c>
      <c r="AF13" s="5"/>
      <c r="AG13" s="27">
        <v>114.83</v>
      </c>
      <c r="AH13" s="19">
        <v>78.18</v>
      </c>
      <c r="AI13" s="5"/>
      <c r="AJ13" s="27">
        <v>115.09</v>
      </c>
      <c r="AK13" s="19">
        <v>77.78</v>
      </c>
      <c r="AL13" s="5"/>
      <c r="AM13" s="27">
        <v>115.88</v>
      </c>
      <c r="AN13" s="19">
        <v>76.51</v>
      </c>
      <c r="AO13" s="5"/>
      <c r="AP13" s="27">
        <v>115.55</v>
      </c>
      <c r="AQ13" s="19">
        <v>76.48</v>
      </c>
      <c r="AR13" s="5"/>
      <c r="AS13" s="27">
        <v>115.31</v>
      </c>
      <c r="AT13" s="19">
        <v>76.34</v>
      </c>
      <c r="AU13" s="5"/>
      <c r="AV13" s="27">
        <v>114.98</v>
      </c>
      <c r="AW13" s="19">
        <v>76.17</v>
      </c>
      <c r="AX13" s="5"/>
      <c r="AY13" s="27">
        <v>114.72</v>
      </c>
      <c r="AZ13" s="19">
        <v>76.27</v>
      </c>
      <c r="BA13" s="5"/>
      <c r="BB13" s="27">
        <v>115.18</v>
      </c>
      <c r="BC13" s="19">
        <v>75.74</v>
      </c>
      <c r="BD13" s="5"/>
      <c r="BE13" s="27">
        <v>115.54</v>
      </c>
      <c r="BF13" s="19">
        <v>75.43</v>
      </c>
      <c r="BG13" s="5"/>
      <c r="BH13" s="27">
        <v>115.36</v>
      </c>
      <c r="BI13" s="19">
        <v>75.31</v>
      </c>
      <c r="BJ13" s="27"/>
      <c r="BK13" s="27">
        <v>115.05149999999999</v>
      </c>
      <c r="BL13" s="19">
        <v>77.5275</v>
      </c>
      <c r="BM13" s="19"/>
      <c r="BN13" s="27"/>
      <c r="BO13" s="62"/>
      <c r="BP13" s="19"/>
      <c r="BQ13" s="31"/>
      <c r="BR13" s="32"/>
      <c r="BS13" s="32"/>
    </row>
    <row r="14" spans="1:71" ht="15.75" customHeight="1">
      <c r="A14" s="16">
        <v>2</v>
      </c>
      <c r="B14" s="17" t="s">
        <v>15</v>
      </c>
      <c r="C14" s="27">
        <f>1/2.0188</f>
        <v>0.4953437685753913</v>
      </c>
      <c r="D14" s="19">
        <v>182.9</v>
      </c>
      <c r="E14" s="5"/>
      <c r="F14" s="27">
        <f>1/2.0139</f>
        <v>0.4965489845573266</v>
      </c>
      <c r="G14" s="19">
        <v>183.04</v>
      </c>
      <c r="H14" s="5"/>
      <c r="I14" s="27">
        <f>1/2.0084</f>
        <v>0.49790878311093406</v>
      </c>
      <c r="J14" s="19">
        <v>182.75</v>
      </c>
      <c r="K14" s="5"/>
      <c r="L14" s="27">
        <f>1/2.0241</f>
        <v>0.49404673682130334</v>
      </c>
      <c r="M14" s="19">
        <v>183.41</v>
      </c>
      <c r="N14" s="5"/>
      <c r="O14" s="27">
        <f>1/2.0196</f>
        <v>0.49514755397108334</v>
      </c>
      <c r="P14" s="19">
        <v>182.76</v>
      </c>
      <c r="Q14" s="5"/>
      <c r="R14" s="27">
        <f>1/2.0306</f>
        <v>0.4924652811976755</v>
      </c>
      <c r="S14" s="19">
        <v>182.6</v>
      </c>
      <c r="T14" s="5"/>
      <c r="U14" s="27">
        <f>1/2.0304</f>
        <v>0.49251379038613075</v>
      </c>
      <c r="V14" s="19">
        <v>182.84</v>
      </c>
      <c r="W14" s="5"/>
      <c r="X14" s="27">
        <f>1/2.0351</f>
        <v>0.49137634514274486</v>
      </c>
      <c r="Y14" s="19">
        <v>183.02</v>
      </c>
      <c r="Z14" s="5"/>
      <c r="AA14" s="27">
        <f>1/2.0238</f>
        <v>0.49411997232928156</v>
      </c>
      <c r="AB14" s="19">
        <v>181.76</v>
      </c>
      <c r="AC14" s="5"/>
      <c r="AD14" s="27">
        <f>1/2.0177</f>
        <v>0.4956138177132378</v>
      </c>
      <c r="AE14" s="19">
        <v>181.3</v>
      </c>
      <c r="AF14" s="5"/>
      <c r="AG14" s="27">
        <f>1/1.996</f>
        <v>0.501002004008016</v>
      </c>
      <c r="AH14" s="19">
        <v>179.19</v>
      </c>
      <c r="AI14" s="5"/>
      <c r="AJ14" s="27">
        <f>1/1.9939</f>
        <v>0.5015296654797131</v>
      </c>
      <c r="AK14" s="19">
        <v>178.48</v>
      </c>
      <c r="AL14" s="5"/>
      <c r="AM14" s="27">
        <f>1/2.0027</f>
        <v>0.49932591002147103</v>
      </c>
      <c r="AN14" s="19">
        <v>177.55</v>
      </c>
      <c r="AO14" s="5"/>
      <c r="AP14" s="27">
        <f>1/2.007</f>
        <v>0.4982561036372695</v>
      </c>
      <c r="AQ14" s="19">
        <v>177.37</v>
      </c>
      <c r="AR14" s="5"/>
      <c r="AS14" s="27">
        <f>1/2.0142</f>
        <v>0.49647502730612647</v>
      </c>
      <c r="AT14" s="19">
        <v>177.31</v>
      </c>
      <c r="AU14" s="5"/>
      <c r="AV14" s="27">
        <f>1/2.0242</f>
        <v>0.4940223298093074</v>
      </c>
      <c r="AW14" s="19">
        <v>177.27</v>
      </c>
      <c r="AX14" s="5"/>
      <c r="AY14" s="27">
        <f>1/2.0124</f>
        <v>0.49691910157026437</v>
      </c>
      <c r="AZ14" s="19">
        <v>176.07</v>
      </c>
      <c r="BA14" s="5"/>
      <c r="BB14" s="27">
        <f>1/2.0132</f>
        <v>0.49672163719451623</v>
      </c>
      <c r="BC14" s="19">
        <v>175.62</v>
      </c>
      <c r="BD14" s="5"/>
      <c r="BE14" s="27">
        <f>1/2.0228</f>
        <v>0.49436424757761516</v>
      </c>
      <c r="BF14" s="19">
        <v>176.29</v>
      </c>
      <c r="BG14" s="5"/>
      <c r="BH14" s="27">
        <f>1/2.0276</f>
        <v>0.49319392385085814</v>
      </c>
      <c r="BI14" s="19">
        <v>176.16</v>
      </c>
      <c r="BJ14" s="27"/>
      <c r="BK14" s="27">
        <v>0.49584474921301336</v>
      </c>
      <c r="BL14" s="19">
        <v>179.88449999999997</v>
      </c>
      <c r="BM14" s="19"/>
      <c r="BN14" s="27"/>
      <c r="BO14" s="62"/>
      <c r="BP14" s="19"/>
      <c r="BQ14" s="31"/>
      <c r="BR14" s="32"/>
      <c r="BS14" s="32"/>
    </row>
    <row r="15" spans="1:71" ht="15.75" customHeight="1">
      <c r="A15" s="16">
        <v>3</v>
      </c>
      <c r="B15" s="17" t="s">
        <v>16</v>
      </c>
      <c r="C15" s="27">
        <v>1.207</v>
      </c>
      <c r="D15" s="19">
        <v>75.06</v>
      </c>
      <c r="E15" s="5"/>
      <c r="F15" s="27">
        <v>1.2094</v>
      </c>
      <c r="G15" s="19">
        <v>75.15</v>
      </c>
      <c r="H15" s="5"/>
      <c r="I15" s="27">
        <v>1.2134</v>
      </c>
      <c r="J15" s="19">
        <v>74.99</v>
      </c>
      <c r="K15" s="5"/>
      <c r="L15" s="27">
        <v>1.2036</v>
      </c>
      <c r="M15" s="19">
        <v>75.29</v>
      </c>
      <c r="N15" s="5"/>
      <c r="O15" s="27">
        <v>1.2005</v>
      </c>
      <c r="P15" s="19">
        <v>75.38</v>
      </c>
      <c r="Q15" s="5"/>
      <c r="R15" s="27">
        <v>1.1868</v>
      </c>
      <c r="S15" s="19">
        <v>75.77</v>
      </c>
      <c r="T15" s="5"/>
      <c r="U15" s="27">
        <v>1.1873</v>
      </c>
      <c r="V15" s="19">
        <v>75.85</v>
      </c>
      <c r="W15" s="5"/>
      <c r="X15" s="27">
        <v>1.1842</v>
      </c>
      <c r="Y15" s="19">
        <v>75.94</v>
      </c>
      <c r="Z15" s="5"/>
      <c r="AA15" s="27">
        <v>1.1831</v>
      </c>
      <c r="AB15" s="19">
        <v>75.91</v>
      </c>
      <c r="AC15" s="5"/>
      <c r="AD15" s="27">
        <v>1.187</v>
      </c>
      <c r="AE15" s="19">
        <v>75.7</v>
      </c>
      <c r="AF15" s="5"/>
      <c r="AG15" s="27">
        <v>1.1871</v>
      </c>
      <c r="AH15" s="19">
        <v>75.63</v>
      </c>
      <c r="AI15" s="5"/>
      <c r="AJ15" s="27">
        <v>1.1869</v>
      </c>
      <c r="AK15" s="19">
        <v>75.42</v>
      </c>
      <c r="AL15" s="5"/>
      <c r="AM15" s="27">
        <v>1.1822</v>
      </c>
      <c r="AN15" s="19">
        <v>74.99</v>
      </c>
      <c r="AO15" s="5"/>
      <c r="AP15" s="27">
        <v>1.1743</v>
      </c>
      <c r="AQ15" s="19">
        <v>75.26</v>
      </c>
      <c r="AR15" s="5"/>
      <c r="AS15" s="27">
        <v>1.1738</v>
      </c>
      <c r="AT15" s="19">
        <v>75</v>
      </c>
      <c r="AU15" s="5"/>
      <c r="AV15" s="27">
        <v>1.1718</v>
      </c>
      <c r="AW15" s="19">
        <v>74.74</v>
      </c>
      <c r="AX15" s="5"/>
      <c r="AY15" s="27">
        <v>1.171</v>
      </c>
      <c r="AZ15" s="19">
        <v>74.72</v>
      </c>
      <c r="BA15" s="5"/>
      <c r="BB15" s="27">
        <v>1.1698</v>
      </c>
      <c r="BC15" s="19">
        <v>74.57</v>
      </c>
      <c r="BD15" s="5"/>
      <c r="BE15" s="27">
        <v>1.1714</v>
      </c>
      <c r="BF15" s="19">
        <v>74.4</v>
      </c>
      <c r="BG15" s="5"/>
      <c r="BH15" s="27">
        <v>1.1698</v>
      </c>
      <c r="BI15" s="19">
        <v>74.27</v>
      </c>
      <c r="BJ15" s="27"/>
      <c r="BK15" s="27">
        <v>1.1860199999999996</v>
      </c>
      <c r="BL15" s="19">
        <v>75.20200000000001</v>
      </c>
      <c r="BM15" s="19"/>
      <c r="BN15" s="27"/>
      <c r="BO15" s="62"/>
      <c r="BP15" s="19"/>
      <c r="BQ15" s="31"/>
      <c r="BR15" s="32"/>
      <c r="BS15" s="32"/>
    </row>
    <row r="16" spans="1:71" ht="15.75" customHeight="1">
      <c r="A16" s="16">
        <v>4</v>
      </c>
      <c r="B16" s="17" t="s">
        <v>17</v>
      </c>
      <c r="C16" s="27">
        <f>1/1.3647</f>
        <v>0.7327617791455997</v>
      </c>
      <c r="D16" s="19">
        <v>123.61</v>
      </c>
      <c r="E16" s="5"/>
      <c r="F16" s="27">
        <f>1/1.3591</f>
        <v>0.7357810315650063</v>
      </c>
      <c r="G16" s="19">
        <v>123.62</v>
      </c>
      <c r="H16" s="5"/>
      <c r="I16" s="27">
        <f>1/1.3584</f>
        <v>0.7361601884570083</v>
      </c>
      <c r="J16" s="19">
        <v>123.57</v>
      </c>
      <c r="K16" s="5"/>
      <c r="L16" s="27">
        <f>1/1.3656</f>
        <v>0.7322788517867604</v>
      </c>
      <c r="M16" s="19">
        <v>123.65</v>
      </c>
      <c r="N16" s="5"/>
      <c r="O16" s="27">
        <f>1/1.3686</f>
        <v>0.7306736811340055</v>
      </c>
      <c r="P16" s="19">
        <v>123.75</v>
      </c>
      <c r="Q16" s="5"/>
      <c r="R16" s="27">
        <f>1/1.3787</f>
        <v>0.7253209545223761</v>
      </c>
      <c r="S16" s="19">
        <v>123.93</v>
      </c>
      <c r="T16" s="5"/>
      <c r="U16" s="27">
        <f>1/1.3806</f>
        <v>0.7243227582210633</v>
      </c>
      <c r="V16" s="19">
        <v>124.16</v>
      </c>
      <c r="W16" s="5"/>
      <c r="X16" s="27">
        <f>1/1.3861</f>
        <v>0.7214486689272058</v>
      </c>
      <c r="Y16" s="19">
        <v>124.54</v>
      </c>
      <c r="Z16" s="5"/>
      <c r="AA16" s="27">
        <f>1/1.3908</f>
        <v>0.719010641357492</v>
      </c>
      <c r="AB16" s="19">
        <v>124.83</v>
      </c>
      <c r="AC16" s="5"/>
      <c r="AD16" s="27">
        <f>1/1.387</f>
        <v>0.7209805335255948</v>
      </c>
      <c r="AE16" s="19">
        <v>124.64</v>
      </c>
      <c r="AF16" s="5"/>
      <c r="AG16" s="27">
        <f>1/1.3862</f>
        <v>0.7213966238638002</v>
      </c>
      <c r="AH16" s="19">
        <v>124.38</v>
      </c>
      <c r="AI16" s="5"/>
      <c r="AJ16" s="27">
        <f>1/1.3869</f>
        <v>0.7210325185665873</v>
      </c>
      <c r="AK16" s="19">
        <v>123.98</v>
      </c>
      <c r="AL16" s="5"/>
      <c r="AM16" s="27">
        <f>1/1.3956</f>
        <v>0.7165376898824879</v>
      </c>
      <c r="AN16" s="19">
        <v>123.75</v>
      </c>
      <c r="AO16" s="5"/>
      <c r="AP16" s="27">
        <f>1/1.4033</f>
        <v>0.7126060001425212</v>
      </c>
      <c r="AQ16" s="19">
        <v>123.97</v>
      </c>
      <c r="AR16" s="5"/>
      <c r="AS16" s="27">
        <f>1/1.407</f>
        <v>0.7107320540156361</v>
      </c>
      <c r="AT16" s="19">
        <v>123.87</v>
      </c>
      <c r="AU16" s="5"/>
      <c r="AV16" s="27">
        <f>1/1.41</f>
        <v>0.7092198581560284</v>
      </c>
      <c r="AW16" s="19">
        <v>123.53</v>
      </c>
      <c r="AX16" s="5"/>
      <c r="AY16" s="27">
        <f>1/1.4097</f>
        <v>0.7093707881109456</v>
      </c>
      <c r="AZ16" s="19">
        <v>123.28</v>
      </c>
      <c r="BA16" s="5"/>
      <c r="BB16" s="27">
        <f>1/1.4123</f>
        <v>0.7080648587410606</v>
      </c>
      <c r="BC16" s="19">
        <v>123.16</v>
      </c>
      <c r="BD16" s="5"/>
      <c r="BE16" s="27">
        <f>1/1.4146</f>
        <v>0.7069136151562279</v>
      </c>
      <c r="BF16" s="19">
        <v>123.26</v>
      </c>
      <c r="BG16" s="5"/>
      <c r="BH16" s="27">
        <f>1/1.4175</f>
        <v>0.7054673721340388</v>
      </c>
      <c r="BI16" s="19">
        <v>123.08</v>
      </c>
      <c r="BJ16" s="27"/>
      <c r="BK16" s="27">
        <v>0.7200040233705725</v>
      </c>
      <c r="BL16" s="19">
        <v>123.82800000000002</v>
      </c>
      <c r="BM16" s="19"/>
      <c r="BN16" s="27"/>
      <c r="BO16" s="62"/>
      <c r="BP16" s="19"/>
      <c r="BQ16" s="31"/>
      <c r="BR16" s="32"/>
      <c r="BS16" s="32"/>
    </row>
    <row r="17" spans="1:71" ht="15.75" customHeight="1">
      <c r="A17" s="16">
        <v>5</v>
      </c>
      <c r="B17" s="17" t="s">
        <v>18</v>
      </c>
      <c r="C17" s="27">
        <v>673</v>
      </c>
      <c r="D17" s="19">
        <v>60971.7</v>
      </c>
      <c r="E17" s="5"/>
      <c r="F17" s="27">
        <v>673.2</v>
      </c>
      <c r="G17" s="19">
        <v>61187.15</v>
      </c>
      <c r="H17" s="5"/>
      <c r="I17" s="27">
        <v>679.5</v>
      </c>
      <c r="J17" s="19">
        <v>61830.25</v>
      </c>
      <c r="K17" s="5"/>
      <c r="L17" s="27">
        <v>682.8</v>
      </c>
      <c r="M17" s="19">
        <v>61871.07</v>
      </c>
      <c r="N17" s="5"/>
      <c r="O17" s="27">
        <v>694.9</v>
      </c>
      <c r="P17" s="19">
        <v>62883.24</v>
      </c>
      <c r="Q17" s="5"/>
      <c r="R17" s="27">
        <v>703.9</v>
      </c>
      <c r="S17" s="19">
        <v>63296.45</v>
      </c>
      <c r="T17" s="5"/>
      <c r="U17" s="27">
        <v>704.7</v>
      </c>
      <c r="V17" s="19">
        <v>63460.44</v>
      </c>
      <c r="W17" s="5"/>
      <c r="X17" s="27">
        <v>711.6</v>
      </c>
      <c r="Y17" s="19">
        <v>63993.74</v>
      </c>
      <c r="Z17" s="5"/>
      <c r="AA17" s="27">
        <v>707.85</v>
      </c>
      <c r="AB17" s="19">
        <v>63573.78</v>
      </c>
      <c r="AC17" s="5"/>
      <c r="AD17" s="27">
        <v>707</v>
      </c>
      <c r="AE17" s="19">
        <v>63528.37</v>
      </c>
      <c r="AF17" s="5"/>
      <c r="AG17" s="27">
        <v>710.2</v>
      </c>
      <c r="AH17" s="19">
        <v>63759.09</v>
      </c>
      <c r="AI17" s="5"/>
      <c r="AJ17" s="27">
        <v>717.5</v>
      </c>
      <c r="AK17" s="19">
        <v>64226.12</v>
      </c>
      <c r="AL17" s="5"/>
      <c r="AM17" s="27">
        <v>723.3</v>
      </c>
      <c r="AN17" s="19">
        <v>64124.16</v>
      </c>
      <c r="AO17" s="5"/>
      <c r="AP17" s="27">
        <v>727.9</v>
      </c>
      <c r="AQ17" s="19">
        <v>64329.53</v>
      </c>
      <c r="AR17" s="5"/>
      <c r="AS17" s="27">
        <v>735.7</v>
      </c>
      <c r="AT17" s="19">
        <v>64764.13</v>
      </c>
      <c r="AU17" s="5"/>
      <c r="AV17" s="27">
        <v>733.45</v>
      </c>
      <c r="AW17" s="19">
        <v>64232.8</v>
      </c>
      <c r="AX17" s="5"/>
      <c r="AY17" s="27">
        <v>727.5</v>
      </c>
      <c r="AZ17" s="19">
        <v>63651.25</v>
      </c>
      <c r="BA17" s="5"/>
      <c r="BB17" s="27">
        <v>730.3</v>
      </c>
      <c r="BC17" s="19">
        <v>63708.18</v>
      </c>
      <c r="BD17" s="5"/>
      <c r="BE17" s="27">
        <v>729.5</v>
      </c>
      <c r="BF17" s="19">
        <v>63575.93</v>
      </c>
      <c r="BG17" s="5"/>
      <c r="BH17" s="27">
        <v>737.9</v>
      </c>
      <c r="BI17" s="19">
        <v>64109.67</v>
      </c>
      <c r="BJ17" s="27"/>
      <c r="BK17" s="27">
        <v>710.585</v>
      </c>
      <c r="BL17" s="19">
        <v>63353.85249999999</v>
      </c>
      <c r="BM17" s="19"/>
      <c r="BN17" s="27"/>
      <c r="BO17" s="62"/>
      <c r="BP17" s="19"/>
      <c r="BQ17" s="31"/>
      <c r="BR17" s="32"/>
      <c r="BS17" s="32"/>
    </row>
    <row r="18" spans="1:71" ht="15.75" customHeight="1">
      <c r="A18" s="16">
        <v>6</v>
      </c>
      <c r="B18" s="20" t="s">
        <v>19</v>
      </c>
      <c r="C18" s="27">
        <v>12.09</v>
      </c>
      <c r="D18" s="19">
        <v>1095.32</v>
      </c>
      <c r="E18" s="5"/>
      <c r="F18" s="27">
        <v>12.08</v>
      </c>
      <c r="G18" s="19">
        <v>1097.95</v>
      </c>
      <c r="H18" s="5"/>
      <c r="I18" s="27">
        <v>12.23</v>
      </c>
      <c r="J18" s="19">
        <v>1112.85</v>
      </c>
      <c r="K18" s="5"/>
      <c r="L18" s="27">
        <v>12.22</v>
      </c>
      <c r="M18" s="19">
        <v>1107.3</v>
      </c>
      <c r="N18" s="5"/>
      <c r="O18" s="27">
        <v>12.42</v>
      </c>
      <c r="P18" s="19">
        <v>1123.92</v>
      </c>
      <c r="Q18" s="5"/>
      <c r="R18" s="27">
        <v>12.57</v>
      </c>
      <c r="S18" s="19">
        <v>1130.33</v>
      </c>
      <c r="T18" s="5"/>
      <c r="U18" s="27">
        <v>12.54</v>
      </c>
      <c r="V18" s="19">
        <v>1129.27</v>
      </c>
      <c r="W18" s="5"/>
      <c r="X18" s="27">
        <v>12.67</v>
      </c>
      <c r="Y18" s="19">
        <v>1139.41</v>
      </c>
      <c r="Z18" s="5"/>
      <c r="AA18" s="27">
        <v>12.53</v>
      </c>
      <c r="AB18" s="19">
        <v>1125.35</v>
      </c>
      <c r="AC18" s="5"/>
      <c r="AD18" s="27">
        <v>12.51</v>
      </c>
      <c r="AE18" s="19">
        <v>1124.1</v>
      </c>
      <c r="AF18" s="5"/>
      <c r="AG18" s="27">
        <v>12.58</v>
      </c>
      <c r="AH18" s="19">
        <v>1129.39</v>
      </c>
      <c r="AI18" s="5"/>
      <c r="AJ18" s="27">
        <v>12.75</v>
      </c>
      <c r="AK18" s="19">
        <v>1141.3</v>
      </c>
      <c r="AL18" s="5"/>
      <c r="AM18" s="27">
        <v>13</v>
      </c>
      <c r="AN18" s="19">
        <v>1152.52</v>
      </c>
      <c r="AO18" s="5"/>
      <c r="AP18" s="27">
        <v>13.11</v>
      </c>
      <c r="AQ18" s="19">
        <v>1158.62</v>
      </c>
      <c r="AR18" s="5"/>
      <c r="AS18" s="27">
        <v>13.52</v>
      </c>
      <c r="AT18" s="19">
        <v>1190.17</v>
      </c>
      <c r="AU18" s="5"/>
      <c r="AV18" s="27">
        <v>13.56</v>
      </c>
      <c r="AW18" s="19">
        <v>1187.53</v>
      </c>
      <c r="AX18" s="5"/>
      <c r="AY18" s="27">
        <v>13.36</v>
      </c>
      <c r="AZ18" s="19">
        <v>1168.91</v>
      </c>
      <c r="BA18" s="5"/>
      <c r="BB18" s="27">
        <v>13.42</v>
      </c>
      <c r="BC18" s="19">
        <v>1170.7</v>
      </c>
      <c r="BD18" s="5"/>
      <c r="BE18" s="27">
        <v>13.43</v>
      </c>
      <c r="BF18" s="19">
        <v>1170.42</v>
      </c>
      <c r="BG18" s="5"/>
      <c r="BH18" s="27">
        <v>13.64</v>
      </c>
      <c r="BI18" s="19">
        <v>1185.06</v>
      </c>
      <c r="BJ18" s="27"/>
      <c r="BK18" s="27">
        <v>12.8115</v>
      </c>
      <c r="BL18" s="19">
        <v>1142.0210000000002</v>
      </c>
      <c r="BM18" s="19"/>
      <c r="BN18" s="27"/>
      <c r="BO18" s="62"/>
      <c r="BP18" s="19"/>
      <c r="BQ18" s="31"/>
      <c r="BR18" s="32"/>
      <c r="BS18" s="32"/>
    </row>
    <row r="19" spans="1:71" ht="15.75" customHeight="1">
      <c r="A19" s="16">
        <v>7</v>
      </c>
      <c r="B19" s="17" t="s">
        <v>20</v>
      </c>
      <c r="C19" s="27">
        <f>1/0.823</f>
        <v>1.2150668286755772</v>
      </c>
      <c r="D19" s="19">
        <v>74.56</v>
      </c>
      <c r="E19" s="5"/>
      <c r="F19" s="27">
        <f>1/0.8243</f>
        <v>1.213150551983501</v>
      </c>
      <c r="G19" s="19">
        <v>74.92</v>
      </c>
      <c r="H19" s="5"/>
      <c r="I19" s="27">
        <f>1/0.8209</f>
        <v>1.2181751735899622</v>
      </c>
      <c r="J19" s="19">
        <v>74.7</v>
      </c>
      <c r="K19" s="5"/>
      <c r="L19" s="27">
        <f>1/0.8267</f>
        <v>1.20962864400629</v>
      </c>
      <c r="M19" s="19">
        <v>74.91</v>
      </c>
      <c r="N19" s="5"/>
      <c r="O19" s="27">
        <f>1/0.8265</f>
        <v>1.2099213551119177</v>
      </c>
      <c r="P19" s="19">
        <v>74.79</v>
      </c>
      <c r="Q19" s="5"/>
      <c r="R19" s="27">
        <f>1/0.8232</f>
        <v>1.2147716229348882</v>
      </c>
      <c r="S19" s="19">
        <v>74.02</v>
      </c>
      <c r="T19" s="5"/>
      <c r="U19" s="27">
        <f>1/0.8275</f>
        <v>1.2084592145015105</v>
      </c>
      <c r="V19" s="19">
        <v>74.52</v>
      </c>
      <c r="W19" s="5"/>
      <c r="X19" s="27">
        <f>1/0.836</f>
        <v>1.1961722488038278</v>
      </c>
      <c r="Y19" s="19">
        <v>75.18</v>
      </c>
      <c r="Z19" s="5"/>
      <c r="AA19" s="27">
        <f>1/0.8418</f>
        <v>1.1879306248515087</v>
      </c>
      <c r="AB19" s="19">
        <v>75.6</v>
      </c>
      <c r="AC19" s="5"/>
      <c r="AD19" s="27">
        <f>1/0.8398</f>
        <v>1.1907597046915932</v>
      </c>
      <c r="AE19" s="19">
        <v>75.46</v>
      </c>
      <c r="AF19" s="5"/>
      <c r="AG19" s="27">
        <f>1/0.8392</f>
        <v>1.1916110581506196</v>
      </c>
      <c r="AH19" s="19">
        <v>75.34</v>
      </c>
      <c r="AI19" s="5"/>
      <c r="AJ19" s="27">
        <f>1/0.8339</f>
        <v>1.199184554502938</v>
      </c>
      <c r="AK19" s="19">
        <v>74.65</v>
      </c>
      <c r="AL19" s="5"/>
      <c r="AM19" s="27">
        <f>1/0.8538</f>
        <v>1.1712344811431248</v>
      </c>
      <c r="AN19" s="19">
        <v>75.69</v>
      </c>
      <c r="AO19" s="5"/>
      <c r="AP19" s="27">
        <f>1/0.8622</f>
        <v>1.1598237067965669</v>
      </c>
      <c r="AQ19" s="19">
        <v>76.2</v>
      </c>
      <c r="AR19" s="5"/>
      <c r="AS19" s="27">
        <f>1/0.8635</f>
        <v>1.1580775911986103</v>
      </c>
      <c r="AT19" s="19">
        <v>76.01</v>
      </c>
      <c r="AU19" s="5"/>
      <c r="AV19" s="27">
        <f>1/0.8676</f>
        <v>1.152604887044721</v>
      </c>
      <c r="AW19" s="19">
        <v>75.98</v>
      </c>
      <c r="AX19" s="18"/>
      <c r="AY19" s="27">
        <f>1/0.8645</f>
        <v>1.156737998843262</v>
      </c>
      <c r="AZ19" s="19">
        <v>75.64</v>
      </c>
      <c r="BA19" s="18"/>
      <c r="BB19" s="27">
        <f>1/0.8723</f>
        <v>1.14639458901754</v>
      </c>
      <c r="BC19" s="19">
        <v>76.1</v>
      </c>
      <c r="BD19" s="18"/>
      <c r="BE19" s="27">
        <f>1/0.8803</f>
        <v>1.1359763716914688</v>
      </c>
      <c r="BF19" s="19">
        <v>76.72</v>
      </c>
      <c r="BG19" s="18"/>
      <c r="BH19" s="27">
        <f>1/0.88</f>
        <v>1.1363636363636365</v>
      </c>
      <c r="BI19" s="19">
        <v>76.46</v>
      </c>
      <c r="BJ19" s="27"/>
      <c r="BK19" s="27">
        <v>1.1836022421951533</v>
      </c>
      <c r="BL19" s="19">
        <v>75.3725</v>
      </c>
      <c r="BM19" s="19"/>
      <c r="BN19" s="27"/>
      <c r="BO19" s="62"/>
      <c r="BP19" s="19"/>
      <c r="BQ19" s="31"/>
      <c r="BR19" s="32"/>
      <c r="BS19" s="32"/>
    </row>
    <row r="20" spans="1:71" ht="15.75" customHeight="1">
      <c r="A20" s="16">
        <v>8</v>
      </c>
      <c r="B20" s="17" t="s">
        <v>21</v>
      </c>
      <c r="C20" s="27">
        <v>1.0533</v>
      </c>
      <c r="D20" s="19">
        <v>86.01</v>
      </c>
      <c r="E20" s="5"/>
      <c r="F20" s="27">
        <v>1.0554</v>
      </c>
      <c r="G20" s="19">
        <v>86.12</v>
      </c>
      <c r="H20" s="5"/>
      <c r="I20" s="27">
        <v>1.0559</v>
      </c>
      <c r="J20" s="19">
        <v>86.18</v>
      </c>
      <c r="K20" s="5"/>
      <c r="L20" s="27">
        <v>1.0544</v>
      </c>
      <c r="M20" s="19">
        <v>85.94</v>
      </c>
      <c r="N20" s="5"/>
      <c r="O20" s="27">
        <v>1.051</v>
      </c>
      <c r="P20" s="19">
        <v>86.1</v>
      </c>
      <c r="Q20" s="5"/>
      <c r="R20" s="27">
        <v>1.0558</v>
      </c>
      <c r="S20" s="19">
        <v>85.17</v>
      </c>
      <c r="T20" s="5"/>
      <c r="U20" s="27">
        <v>1.0473</v>
      </c>
      <c r="V20" s="19">
        <v>85.99</v>
      </c>
      <c r="W20" s="5"/>
      <c r="X20" s="27">
        <v>1.0419</v>
      </c>
      <c r="Y20" s="19">
        <v>86.31</v>
      </c>
      <c r="Z20" s="5"/>
      <c r="AA20" s="27">
        <v>1.0317</v>
      </c>
      <c r="AB20" s="19">
        <v>87.05</v>
      </c>
      <c r="AC20" s="5"/>
      <c r="AD20" s="27">
        <v>1.032</v>
      </c>
      <c r="AE20" s="19">
        <v>87.07</v>
      </c>
      <c r="AF20" s="5"/>
      <c r="AG20" s="27">
        <v>1.0283</v>
      </c>
      <c r="AH20" s="19">
        <v>87.31</v>
      </c>
      <c r="AI20" s="5"/>
      <c r="AJ20" s="27">
        <v>1.0267</v>
      </c>
      <c r="AK20" s="19">
        <v>87.19</v>
      </c>
      <c r="AL20" s="5"/>
      <c r="AM20" s="27">
        <v>1.0142</v>
      </c>
      <c r="AN20" s="19">
        <v>87.41</v>
      </c>
      <c r="AO20" s="5"/>
      <c r="AP20" s="27">
        <v>1.0111</v>
      </c>
      <c r="AQ20" s="19">
        <v>87.41</v>
      </c>
      <c r="AR20" s="5"/>
      <c r="AS20" s="27">
        <v>1.0004</v>
      </c>
      <c r="AT20" s="19">
        <v>88</v>
      </c>
      <c r="AU20" s="5"/>
      <c r="AV20" s="27">
        <v>1.0018</v>
      </c>
      <c r="AW20" s="19">
        <v>87.42</v>
      </c>
      <c r="AX20" s="5"/>
      <c r="AY20" s="27">
        <v>1.0034</v>
      </c>
      <c r="AZ20" s="19">
        <v>87.2</v>
      </c>
      <c r="BA20" s="5"/>
      <c r="BB20" s="27">
        <v>1.0085</v>
      </c>
      <c r="BC20" s="19">
        <v>86.5</v>
      </c>
      <c r="BD20" s="5"/>
      <c r="BE20" s="27">
        <v>1.0016</v>
      </c>
      <c r="BF20" s="19">
        <v>87.01</v>
      </c>
      <c r="BG20" s="5"/>
      <c r="BH20" s="27">
        <v>1</v>
      </c>
      <c r="BI20" s="19">
        <v>86.88</v>
      </c>
      <c r="BJ20" s="27"/>
      <c r="BK20" s="27">
        <v>1.0287350000000002</v>
      </c>
      <c r="BL20" s="19">
        <v>86.7135</v>
      </c>
      <c r="BM20" s="19"/>
      <c r="BN20" s="27"/>
      <c r="BO20" s="62"/>
      <c r="BP20" s="19"/>
      <c r="BQ20" s="31"/>
      <c r="BR20" s="32"/>
      <c r="BS20" s="32"/>
    </row>
    <row r="21" spans="1:71" ht="15.75" customHeight="1">
      <c r="A21" s="16">
        <v>9</v>
      </c>
      <c r="B21" s="17" t="s">
        <v>22</v>
      </c>
      <c r="C21" s="27">
        <v>6.8753</v>
      </c>
      <c r="D21" s="19">
        <v>13.18</v>
      </c>
      <c r="E21" s="5"/>
      <c r="F21" s="27">
        <v>6.9104</v>
      </c>
      <c r="G21" s="19">
        <v>13.15</v>
      </c>
      <c r="H21" s="5"/>
      <c r="I21" s="27">
        <v>6.9166</v>
      </c>
      <c r="J21" s="19">
        <v>13.16</v>
      </c>
      <c r="K21" s="5"/>
      <c r="L21" s="27">
        <v>6.845</v>
      </c>
      <c r="M21" s="19">
        <v>13.24</v>
      </c>
      <c r="N21" s="5"/>
      <c r="O21" s="27">
        <v>6.8172</v>
      </c>
      <c r="P21" s="19">
        <v>13.27</v>
      </c>
      <c r="Q21" s="5"/>
      <c r="R21" s="27">
        <v>6.8025</v>
      </c>
      <c r="S21" s="19">
        <v>13.22</v>
      </c>
      <c r="T21" s="5"/>
      <c r="U21" s="27">
        <v>6.7741</v>
      </c>
      <c r="V21" s="19">
        <v>13.29</v>
      </c>
      <c r="W21" s="5"/>
      <c r="X21" s="27">
        <v>6.714</v>
      </c>
      <c r="Y21" s="19">
        <v>13.39</v>
      </c>
      <c r="Z21" s="5"/>
      <c r="AA21" s="27">
        <v>6.6796</v>
      </c>
      <c r="AB21" s="19">
        <v>13.45</v>
      </c>
      <c r="AC21" s="5"/>
      <c r="AD21" s="27">
        <v>6.6869</v>
      </c>
      <c r="AE21" s="19">
        <v>13.44</v>
      </c>
      <c r="AF21" s="5"/>
      <c r="AG21" s="27">
        <v>6.693</v>
      </c>
      <c r="AH21" s="19">
        <v>13.41</v>
      </c>
      <c r="AI21" s="5"/>
      <c r="AJ21" s="27">
        <v>6.6998</v>
      </c>
      <c r="AK21" s="19">
        <v>13.36</v>
      </c>
      <c r="AL21" s="5"/>
      <c r="AM21" s="27">
        <v>6.6323</v>
      </c>
      <c r="AN21" s="19">
        <v>13.37</v>
      </c>
      <c r="AO21" s="5"/>
      <c r="AP21" s="27">
        <v>6.5649</v>
      </c>
      <c r="AQ21" s="19">
        <v>13.46</v>
      </c>
      <c r="AR21" s="5"/>
      <c r="AS21" s="27">
        <v>6.5488</v>
      </c>
      <c r="AT21" s="19">
        <v>13.44</v>
      </c>
      <c r="AU21" s="5"/>
      <c r="AV21" s="27">
        <v>6.5116</v>
      </c>
      <c r="AW21" s="19">
        <v>13.45</v>
      </c>
      <c r="AX21" s="5"/>
      <c r="AY21" s="27">
        <v>6.5329</v>
      </c>
      <c r="AZ21" s="19">
        <v>13.39</v>
      </c>
      <c r="BA21" s="5"/>
      <c r="BB21" s="27">
        <v>6.5245</v>
      </c>
      <c r="BC21" s="19">
        <v>13.37</v>
      </c>
      <c r="BD21" s="5"/>
      <c r="BE21" s="27">
        <v>6.533</v>
      </c>
      <c r="BF21" s="19">
        <v>13.34</v>
      </c>
      <c r="BG21" s="5"/>
      <c r="BH21" s="27">
        <v>6.4955</v>
      </c>
      <c r="BI21" s="19">
        <v>13.38</v>
      </c>
      <c r="BJ21" s="27"/>
      <c r="BK21" s="27">
        <v>6.687894999999999</v>
      </c>
      <c r="BL21" s="19">
        <v>13.338000000000003</v>
      </c>
      <c r="BM21" s="19"/>
      <c r="BN21" s="27"/>
      <c r="BO21" s="62"/>
      <c r="BP21" s="19"/>
      <c r="BQ21" s="31"/>
      <c r="BR21" s="32"/>
      <c r="BS21" s="32"/>
    </row>
    <row r="22" spans="1:71" ht="15.75" customHeight="1">
      <c r="A22" s="16">
        <v>10</v>
      </c>
      <c r="B22" s="17" t="s">
        <v>23</v>
      </c>
      <c r="C22" s="27">
        <v>5.8122</v>
      </c>
      <c r="D22" s="19">
        <v>15.59</v>
      </c>
      <c r="E22" s="5"/>
      <c r="F22" s="27">
        <v>5.8352</v>
      </c>
      <c r="G22" s="19">
        <v>15.58</v>
      </c>
      <c r="H22" s="5"/>
      <c r="I22" s="27">
        <v>5.8195</v>
      </c>
      <c r="J22" s="19">
        <v>15.64</v>
      </c>
      <c r="K22" s="5"/>
      <c r="L22" s="27">
        <v>5.7821</v>
      </c>
      <c r="M22" s="19">
        <v>15.67</v>
      </c>
      <c r="N22" s="5"/>
      <c r="O22" s="27">
        <v>5.7766</v>
      </c>
      <c r="P22" s="19">
        <v>15.67</v>
      </c>
      <c r="Q22" s="5"/>
      <c r="R22" s="27">
        <v>5.7164</v>
      </c>
      <c r="S22" s="19">
        <v>15.73</v>
      </c>
      <c r="T22" s="5"/>
      <c r="U22" s="27">
        <v>5.6882</v>
      </c>
      <c r="V22" s="19">
        <v>15.83</v>
      </c>
      <c r="W22" s="5"/>
      <c r="X22" s="27">
        <v>5.6488</v>
      </c>
      <c r="Y22" s="19">
        <v>15.92</v>
      </c>
      <c r="Z22" s="5"/>
      <c r="AA22" s="27">
        <v>5.6228</v>
      </c>
      <c r="AB22" s="19">
        <v>15.97</v>
      </c>
      <c r="AC22" s="5"/>
      <c r="AD22" s="27">
        <v>5.6342</v>
      </c>
      <c r="AE22" s="19">
        <v>15.95</v>
      </c>
      <c r="AF22" s="5"/>
      <c r="AG22" s="27">
        <v>5.6366</v>
      </c>
      <c r="AH22" s="19">
        <v>15.93</v>
      </c>
      <c r="AI22" s="5"/>
      <c r="AJ22" s="27">
        <v>5.618</v>
      </c>
      <c r="AK22" s="19">
        <v>15.93</v>
      </c>
      <c r="AL22" s="5"/>
      <c r="AM22" s="27">
        <v>5.5733</v>
      </c>
      <c r="AN22" s="19">
        <v>15.91</v>
      </c>
      <c r="AO22" s="5"/>
      <c r="AP22" s="27">
        <v>5.5353</v>
      </c>
      <c r="AQ22" s="19">
        <v>15.97</v>
      </c>
      <c r="AR22" s="5"/>
      <c r="AS22" s="27">
        <v>5.5246</v>
      </c>
      <c r="AT22" s="19">
        <v>15.93</v>
      </c>
      <c r="AU22" s="5"/>
      <c r="AV22" s="27">
        <v>5.5103</v>
      </c>
      <c r="AW22" s="19">
        <v>15.89</v>
      </c>
      <c r="AX22" s="5"/>
      <c r="AY22" s="27">
        <v>5.5301</v>
      </c>
      <c r="AZ22" s="19">
        <v>15.82</v>
      </c>
      <c r="BA22" s="5"/>
      <c r="BB22" s="27">
        <v>5.5212</v>
      </c>
      <c r="BC22" s="19">
        <v>15.8</v>
      </c>
      <c r="BD22" s="5"/>
      <c r="BE22" s="27">
        <v>5.4872</v>
      </c>
      <c r="BF22" s="19">
        <v>15.88</v>
      </c>
      <c r="BG22" s="5"/>
      <c r="BH22" s="27">
        <v>5.4332</v>
      </c>
      <c r="BI22" s="19">
        <v>15.99</v>
      </c>
      <c r="BJ22" s="27"/>
      <c r="BK22" s="27">
        <v>5.635290000000002</v>
      </c>
      <c r="BL22" s="19">
        <v>15.83</v>
      </c>
      <c r="BM22" s="19"/>
      <c r="BN22" s="27"/>
      <c r="BO22" s="62"/>
      <c r="BP22" s="19"/>
      <c r="BQ22" s="31"/>
      <c r="BR22" s="32"/>
      <c r="BS22" s="32"/>
    </row>
    <row r="23" spans="1:71" ht="15.75" customHeight="1">
      <c r="A23" s="16">
        <v>11</v>
      </c>
      <c r="B23" s="17" t="s">
        <v>24</v>
      </c>
      <c r="C23" s="27">
        <v>5.4563</v>
      </c>
      <c r="D23" s="19">
        <v>16.6</v>
      </c>
      <c r="E23" s="5"/>
      <c r="F23" s="27">
        <v>5.4788</v>
      </c>
      <c r="G23" s="19">
        <v>16.59</v>
      </c>
      <c r="H23" s="5"/>
      <c r="I23" s="27">
        <v>5.4815</v>
      </c>
      <c r="J23" s="19">
        <v>16.6</v>
      </c>
      <c r="K23" s="5"/>
      <c r="L23" s="27">
        <v>5.4506</v>
      </c>
      <c r="M23" s="19">
        <v>16.62</v>
      </c>
      <c r="N23" s="5"/>
      <c r="O23" s="27">
        <v>5.4402</v>
      </c>
      <c r="P23" s="19">
        <v>16.63</v>
      </c>
      <c r="Q23" s="5"/>
      <c r="R23" s="27">
        <v>5.4001</v>
      </c>
      <c r="S23" s="19">
        <v>16.65</v>
      </c>
      <c r="T23" s="5"/>
      <c r="U23" s="27">
        <v>5.3924</v>
      </c>
      <c r="V23" s="19">
        <v>16.7</v>
      </c>
      <c r="W23" s="5"/>
      <c r="X23" s="27">
        <v>5.3715</v>
      </c>
      <c r="Y23" s="19">
        <v>16.74</v>
      </c>
      <c r="Z23" s="5"/>
      <c r="AA23" s="27">
        <v>5.354</v>
      </c>
      <c r="AB23" s="19">
        <v>16.77</v>
      </c>
      <c r="AC23" s="5"/>
      <c r="AD23" s="27">
        <v>5.3685</v>
      </c>
      <c r="AE23" s="19">
        <v>16.74</v>
      </c>
      <c r="AF23" s="5"/>
      <c r="AG23" s="27">
        <v>5.3724</v>
      </c>
      <c r="AH23" s="19">
        <v>16.71</v>
      </c>
      <c r="AI23" s="5"/>
      <c r="AJ23" s="27">
        <v>5.3721</v>
      </c>
      <c r="AK23" s="19">
        <v>16.66</v>
      </c>
      <c r="AL23" s="5"/>
      <c r="AM23" s="27">
        <v>5.3363</v>
      </c>
      <c r="AN23" s="19">
        <v>16.61</v>
      </c>
      <c r="AO23" s="5"/>
      <c r="AP23" s="27">
        <v>5.3092</v>
      </c>
      <c r="AQ23" s="19">
        <v>16.65</v>
      </c>
      <c r="AR23" s="5"/>
      <c r="AS23" s="27">
        <v>5.296</v>
      </c>
      <c r="AT23" s="19">
        <v>16.62</v>
      </c>
      <c r="AU23" s="5"/>
      <c r="AV23" s="27">
        <v>5.285</v>
      </c>
      <c r="AW23" s="19">
        <v>16.57</v>
      </c>
      <c r="AX23" s="5"/>
      <c r="AY23" s="27">
        <v>5.289</v>
      </c>
      <c r="AZ23" s="19">
        <v>16.54</v>
      </c>
      <c r="BA23" s="5"/>
      <c r="BB23" s="27">
        <v>5.2781</v>
      </c>
      <c r="BC23" s="19">
        <v>16.53</v>
      </c>
      <c r="BD23" s="5"/>
      <c r="BE23" s="27">
        <v>5.2688</v>
      </c>
      <c r="BF23" s="19">
        <v>16.54</v>
      </c>
      <c r="BG23" s="5"/>
      <c r="BH23" s="27">
        <v>5.2571</v>
      </c>
      <c r="BI23" s="19">
        <v>16.53</v>
      </c>
      <c r="BJ23" s="27"/>
      <c r="BK23" s="27">
        <v>5.362894999999999</v>
      </c>
      <c r="BL23" s="19">
        <v>16.63</v>
      </c>
      <c r="BM23" s="19"/>
      <c r="BN23" s="27"/>
      <c r="BO23" s="62"/>
      <c r="BP23" s="19"/>
      <c r="BQ23" s="31"/>
      <c r="BR23" s="32"/>
      <c r="BS23" s="32"/>
    </row>
    <row r="24" spans="1:71" ht="15.75" customHeight="1">
      <c r="A24" s="16">
        <v>12</v>
      </c>
      <c r="B24" s="17" t="s">
        <v>25</v>
      </c>
      <c r="C24" s="27">
        <f>1/1.53263</f>
        <v>0.6524731996633238</v>
      </c>
      <c r="D24" s="19">
        <v>138.85</v>
      </c>
      <c r="E24" s="5"/>
      <c r="F24" s="27">
        <f>1/1.53263</f>
        <v>0.6524731996633238</v>
      </c>
      <c r="G24" s="19">
        <v>139.3</v>
      </c>
      <c r="H24" s="5"/>
      <c r="I24" s="27">
        <f>1/1.53004</f>
        <v>0.6535776842435491</v>
      </c>
      <c r="J24" s="19">
        <v>139.22</v>
      </c>
      <c r="K24" s="5"/>
      <c r="L24" s="27">
        <f>1/1.52984</f>
        <v>0.6536631281702662</v>
      </c>
      <c r="M24" s="19">
        <v>138.62</v>
      </c>
      <c r="N24" s="5"/>
      <c r="O24" s="27">
        <f>1/1.53452</f>
        <v>0.6516695774574459</v>
      </c>
      <c r="P24" s="19">
        <v>138.86</v>
      </c>
      <c r="Q24" s="5"/>
      <c r="R24" s="27">
        <f>1/1.53534</f>
        <v>0.6513215313871846</v>
      </c>
      <c r="S24" s="19">
        <v>138.06</v>
      </c>
      <c r="T24" s="5"/>
      <c r="U24" s="27">
        <f>1/1.54255</f>
        <v>0.6482772033321448</v>
      </c>
      <c r="V24" s="19">
        <v>138.91</v>
      </c>
      <c r="W24" s="5"/>
      <c r="X24" s="27">
        <f>1/1.54424</f>
        <v>0.6475677355851421</v>
      </c>
      <c r="Y24" s="19">
        <v>138.87</v>
      </c>
      <c r="Z24" s="5"/>
      <c r="AA24" s="27">
        <f>1/1.54617</f>
        <v>0.6467594119663426</v>
      </c>
      <c r="AB24" s="19">
        <v>138.87</v>
      </c>
      <c r="AC24" s="5"/>
      <c r="AD24" s="27">
        <f>1/1.54445</f>
        <v>0.6474796853248729</v>
      </c>
      <c r="AE24" s="19">
        <v>138.78</v>
      </c>
      <c r="AF24" s="5"/>
      <c r="AG24" s="27">
        <f>1/1.54288</f>
        <v>0.6481385460956134</v>
      </c>
      <c r="AH24" s="19">
        <v>138.51</v>
      </c>
      <c r="AI24" s="5"/>
      <c r="AJ24" s="27">
        <f>1/1.54148</f>
        <v>0.6487271972390171</v>
      </c>
      <c r="AK24" s="19">
        <v>137.98</v>
      </c>
      <c r="AL24" s="5"/>
      <c r="AM24" s="27">
        <f>1/1.54007</f>
        <v>0.6493211347536151</v>
      </c>
      <c r="AN24" s="19">
        <v>136.53</v>
      </c>
      <c r="AO24" s="5"/>
      <c r="AP24" s="27">
        <f>1/1.54356</f>
        <v>0.6478530151079323</v>
      </c>
      <c r="AQ24" s="19">
        <v>136.42</v>
      </c>
      <c r="AR24" s="5"/>
      <c r="AS24" s="27">
        <f>1/1.54786</f>
        <v>0.6460532606308064</v>
      </c>
      <c r="AT24" s="19">
        <v>136.26</v>
      </c>
      <c r="AU24" s="5"/>
      <c r="AV24" s="27">
        <f>1/1.5494</f>
        <v>0.6454111268878275</v>
      </c>
      <c r="AW24" s="19">
        <v>135.69</v>
      </c>
      <c r="AX24" s="5"/>
      <c r="AY24" s="27">
        <f>1/1.55392</f>
        <v>0.6435337726523888</v>
      </c>
      <c r="AZ24" s="19">
        <v>135.96</v>
      </c>
      <c r="BA24" s="5"/>
      <c r="BB24" s="27">
        <f>1/1.55223</f>
        <v>0.6442344240222132</v>
      </c>
      <c r="BC24" s="19">
        <v>135.41</v>
      </c>
      <c r="BD24" s="5"/>
      <c r="BE24" s="27">
        <f>1/1.55281</f>
        <v>0.6439937918998461</v>
      </c>
      <c r="BF24" s="19">
        <v>135.33</v>
      </c>
      <c r="BG24" s="5"/>
      <c r="BH24" s="27">
        <f>1/1.55432</f>
        <v>0.6433681609964487</v>
      </c>
      <c r="BI24" s="19">
        <v>135.04</v>
      </c>
      <c r="BJ24" s="27"/>
      <c r="BK24" s="27">
        <v>0.6482948393539651</v>
      </c>
      <c r="BL24" s="19">
        <v>137.5735</v>
      </c>
      <c r="BM24" s="19"/>
      <c r="BN24" s="27"/>
      <c r="BO24" s="63"/>
      <c r="BP24" s="19"/>
      <c r="BQ24" s="31"/>
      <c r="BR24" s="32"/>
      <c r="BS24" s="32"/>
    </row>
    <row r="25" spans="1:71" ht="15.75" customHeight="1" thickBot="1">
      <c r="A25" s="35">
        <v>13</v>
      </c>
      <c r="B25" s="36" t="s">
        <v>26</v>
      </c>
      <c r="C25" s="28">
        <v>1</v>
      </c>
      <c r="D25" s="22">
        <v>90.6</v>
      </c>
      <c r="E25" s="21"/>
      <c r="F25" s="28">
        <v>1</v>
      </c>
      <c r="G25" s="22">
        <v>90.89</v>
      </c>
      <c r="H25" s="21"/>
      <c r="I25" s="28">
        <v>1</v>
      </c>
      <c r="J25" s="22">
        <v>90.99</v>
      </c>
      <c r="K25" s="21"/>
      <c r="L25" s="28">
        <v>1</v>
      </c>
      <c r="M25" s="22">
        <v>90.61</v>
      </c>
      <c r="N25" s="21"/>
      <c r="O25" s="28">
        <v>1</v>
      </c>
      <c r="P25" s="22">
        <v>90.49</v>
      </c>
      <c r="Q25" s="21"/>
      <c r="R25" s="28">
        <v>1</v>
      </c>
      <c r="S25" s="22">
        <v>89.92</v>
      </c>
      <c r="T25" s="21"/>
      <c r="U25" s="28">
        <v>1</v>
      </c>
      <c r="V25" s="22">
        <v>90.05</v>
      </c>
      <c r="W25" s="21"/>
      <c r="X25" s="28">
        <v>1</v>
      </c>
      <c r="Y25" s="22">
        <v>89.93</v>
      </c>
      <c r="Z25" s="21"/>
      <c r="AA25" s="28">
        <v>1</v>
      </c>
      <c r="AB25" s="22">
        <v>89.81</v>
      </c>
      <c r="AC25" s="21"/>
      <c r="AD25" s="28">
        <v>1</v>
      </c>
      <c r="AE25" s="22">
        <v>89.86</v>
      </c>
      <c r="AF25" s="21"/>
      <c r="AG25" s="28">
        <v>1</v>
      </c>
      <c r="AH25" s="22">
        <v>89.78</v>
      </c>
      <c r="AI25" s="21"/>
      <c r="AJ25" s="28">
        <v>1</v>
      </c>
      <c r="AK25" s="22">
        <v>89.51</v>
      </c>
      <c r="AL25" s="21"/>
      <c r="AM25" s="28">
        <v>1</v>
      </c>
      <c r="AN25" s="22">
        <v>88.66</v>
      </c>
      <c r="AO25" s="21"/>
      <c r="AP25" s="28">
        <v>1</v>
      </c>
      <c r="AQ25" s="22">
        <v>88.38</v>
      </c>
      <c r="AR25" s="21"/>
      <c r="AS25" s="28">
        <v>1</v>
      </c>
      <c r="AT25" s="22">
        <v>88.03</v>
      </c>
      <c r="AU25" s="21"/>
      <c r="AV25" s="28">
        <v>1</v>
      </c>
      <c r="AW25" s="22">
        <v>87.58</v>
      </c>
      <c r="AX25" s="21"/>
      <c r="AY25" s="28">
        <v>1</v>
      </c>
      <c r="AZ25" s="22">
        <v>87.49</v>
      </c>
      <c r="BA25" s="21"/>
      <c r="BB25" s="28">
        <v>1</v>
      </c>
      <c r="BC25" s="22">
        <v>87.24</v>
      </c>
      <c r="BD25" s="21"/>
      <c r="BE25" s="28">
        <v>1</v>
      </c>
      <c r="BF25" s="22">
        <v>87.15</v>
      </c>
      <c r="BG25" s="21"/>
      <c r="BH25" s="28">
        <v>1</v>
      </c>
      <c r="BI25" s="22">
        <v>86.88</v>
      </c>
      <c r="BJ25" s="28"/>
      <c r="BK25" s="28">
        <v>1</v>
      </c>
      <c r="BL25" s="22">
        <v>89.1925</v>
      </c>
      <c r="BM25" s="22"/>
      <c r="BN25" s="27"/>
      <c r="BO25" s="62"/>
      <c r="BQ25" s="40"/>
      <c r="BR25" s="31"/>
      <c r="BS25" s="32"/>
    </row>
    <row r="26" spans="1:71" ht="15.75" customHeight="1">
      <c r="A26" s="29"/>
      <c r="B26" s="30"/>
      <c r="C26" s="27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9"/>
      <c r="BI26" s="31"/>
      <c r="BJ26" s="31"/>
      <c r="BK26" s="31"/>
      <c r="BL26" s="31"/>
      <c r="BM26" s="31"/>
      <c r="BN26" s="31"/>
      <c r="BO26" s="32"/>
      <c r="BP26" s="32"/>
      <c r="BQ26" s="9"/>
      <c r="BR26" s="31"/>
      <c r="BS26" s="32"/>
    </row>
    <row r="27" spans="1:71" ht="15.75" customHeight="1">
      <c r="A27" s="29"/>
      <c r="B27" s="30"/>
      <c r="C27" s="27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Q27" s="40"/>
      <c r="BR27" s="31"/>
      <c r="BS27" s="40"/>
    </row>
    <row r="28" spans="1:70" ht="15.75" customHeight="1">
      <c r="A28" s="29"/>
      <c r="B28" s="30"/>
      <c r="C28" s="27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R28" s="40"/>
    </row>
    <row r="29" spans="1:53" ht="15.75" customHeight="1">
      <c r="A29" s="29"/>
      <c r="B29" s="30"/>
      <c r="C29" s="27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27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27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27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27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27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27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 thickBot="1">
      <c r="A37" s="8"/>
      <c r="B37" s="8"/>
      <c r="C37" s="2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&amp;LBANKA E SHQIPERISE
Sektori i Informacionit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2007-12-31T11:18:54Z</cp:lastPrinted>
  <dcterms:created xsi:type="dcterms:W3CDTF">2002-01-04T09:02:27Z</dcterms:created>
  <dcterms:modified xsi:type="dcterms:W3CDTF">2018-03-05T12:35:46Z</dcterms:modified>
  <cp:category/>
  <cp:version/>
  <cp:contentType/>
  <cp:contentStatus/>
</cp:coreProperties>
</file>