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520" tabRatio="675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>
    <definedName name="_xlnm.Print_Area" localSheetId="11">'Dhjetor'!$A$1:$BP$26</definedName>
    <definedName name="_xlnm.Print_Area" localSheetId="7">'Gusht'!$A$1:$BJ$26</definedName>
    <definedName name="_xlnm.Print_Area" localSheetId="0">'Janar'!$A$1:$BM$27</definedName>
    <definedName name="_xlnm.Print_Area" localSheetId="6">'Korrik'!$A$1:$BT$26</definedName>
    <definedName name="_xlnm.Print_Area" localSheetId="4">'Maj'!$A$1:$BP$26</definedName>
    <definedName name="_xlnm.Print_Area" localSheetId="2">'Mars'!$A$1:$BM$26</definedName>
    <definedName name="_xlnm.Print_Area" localSheetId="10">'Nentor'!$A$1:$BG$26</definedName>
    <definedName name="_xlnm.Print_Area" localSheetId="3">'Prill'!$A$1:$BN$26</definedName>
    <definedName name="_xlnm.Print_Area" localSheetId="5">'Qershor'!$A$1:$BD$26</definedName>
    <definedName name="_xlnm.Print_Area" localSheetId="1">'Shkurt'!$A$1:$BJ$26</definedName>
    <definedName name="_xlnm.Print_Area" localSheetId="8">'Shtator'!$A$1:$BR$26</definedName>
    <definedName name="_xlnm.Print_Area" localSheetId="9">'Tetor'!$A$1:$BS$27</definedName>
  </definedNames>
  <calcPr fullCalcOnLoad="1"/>
</workbook>
</file>

<file path=xl/sharedStrings.xml><?xml version="1.0" encoding="utf-8"?>
<sst xmlns="http://schemas.openxmlformats.org/spreadsheetml/2006/main" count="2373" uniqueCount="287">
  <si>
    <t xml:space="preserve">         Kurset e Kembimit</t>
  </si>
  <si>
    <t/>
  </si>
  <si>
    <t xml:space="preserve">   </t>
  </si>
  <si>
    <t xml:space="preserve">         KURSI  MESATAR</t>
  </si>
  <si>
    <t>Kursi</t>
  </si>
  <si>
    <t>Kursi i</t>
  </si>
  <si>
    <t>Lloji i Monedhave</t>
  </si>
  <si>
    <t>Kundrejt</t>
  </si>
  <si>
    <t>Valutave</t>
  </si>
  <si>
    <t>Lekut</t>
  </si>
  <si>
    <t>USD</t>
  </si>
  <si>
    <t xml:space="preserve">Kundrejt </t>
  </si>
  <si>
    <t>(sipas fix.)</t>
  </si>
  <si>
    <t xml:space="preserve"> 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</si>
  <si>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</si>
  <si>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</si>
  <si>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</si>
  <si>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</si>
  <si>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</si>
  <si>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</si>
  <si>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</si>
  <si>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</si>
  <si>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</si>
  <si>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</si>
  <si>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</si>
  <si>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</si>
  <si>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</si>
  <si>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 xml:space="preserve">    DT. 31.01.2002</t>
  </si>
  <si>
    <t xml:space="preserve">    DT. 06.01.2003</t>
  </si>
  <si>
    <t>Janar' 03</t>
  </si>
  <si>
    <t xml:space="preserve">    DT. 07.01.2003</t>
  </si>
  <si>
    <t xml:space="preserve">    DT. 08.01.2003</t>
  </si>
  <si>
    <t xml:space="preserve">    DT. 09.01.2003</t>
  </si>
  <si>
    <t xml:space="preserve">    DT. 13.01.2003</t>
  </si>
  <si>
    <t xml:space="preserve">    DT. 14.01.2003</t>
  </si>
  <si>
    <t xml:space="preserve">    DT. 15.01.2003</t>
  </si>
  <si>
    <t xml:space="preserve">    DT. 16.01.2003</t>
  </si>
  <si>
    <t xml:space="preserve">    DT. 20.01.2003</t>
  </si>
  <si>
    <t xml:space="preserve">    DT. 21.01.2003</t>
  </si>
  <si>
    <t xml:space="preserve">    DT. 22.01.2003</t>
  </si>
  <si>
    <t xml:space="preserve">    DT. 23.01.2003</t>
  </si>
  <si>
    <t xml:space="preserve">    DT. 27.01.2003</t>
  </si>
  <si>
    <t xml:space="preserve">    DT. 28.01.2003</t>
  </si>
  <si>
    <t xml:space="preserve">    DT. 29.01.2003</t>
  </si>
  <si>
    <t xml:space="preserve">    DT. 30.01.2003</t>
  </si>
  <si>
    <t xml:space="preserve">    DT. 10.01.2003</t>
  </si>
  <si>
    <t xml:space="preserve">    DT. 17.01.2003</t>
  </si>
  <si>
    <t xml:space="preserve">    DT. 24.01.2003</t>
  </si>
  <si>
    <t>Shkurt' 03</t>
  </si>
  <si>
    <t xml:space="preserve">    DT. 03.02.2003</t>
  </si>
  <si>
    <t xml:space="preserve">    DT. 04.02.2003</t>
  </si>
  <si>
    <t xml:space="preserve">    DT. 05.02.2003</t>
  </si>
  <si>
    <t xml:space="preserve">    DT. 06.02.2003</t>
  </si>
  <si>
    <t xml:space="preserve">    DT. 07.02.2003</t>
  </si>
  <si>
    <t xml:space="preserve">    DT. 10.02.2003</t>
  </si>
  <si>
    <t xml:space="preserve">    DT. 12.02.2003</t>
  </si>
  <si>
    <t xml:space="preserve">    DT. 13.02.2003</t>
  </si>
  <si>
    <t xml:space="preserve">    DT. 14.02.2003</t>
  </si>
  <si>
    <t xml:space="preserve">    DT. 17.02.2003</t>
  </si>
  <si>
    <t xml:space="preserve">    DT. 18.02.2003</t>
  </si>
  <si>
    <t xml:space="preserve">    DT. 19.02.2003</t>
  </si>
  <si>
    <t xml:space="preserve">    DT. 20.02.2003</t>
  </si>
  <si>
    <t xml:space="preserve">    DT. 21.02.2003</t>
  </si>
  <si>
    <t xml:space="preserve">    DT. 24.02.2003</t>
  </si>
  <si>
    <t xml:space="preserve">    DT. 25.02.2003</t>
  </si>
  <si>
    <t xml:space="preserve">    DT. 26.02.2003</t>
  </si>
  <si>
    <t xml:space="preserve">    DT. 27.02.2003</t>
  </si>
  <si>
    <t xml:space="preserve">    DT. 28.02.2003</t>
  </si>
  <si>
    <t>Mars' 03</t>
  </si>
  <si>
    <t xml:space="preserve">    DT. 07.03.2003</t>
  </si>
  <si>
    <t xml:space="preserve">    DT. 10.03.2003</t>
  </si>
  <si>
    <t xml:space="preserve">    DT. 11.03.2003</t>
  </si>
  <si>
    <t xml:space="preserve">    DT. 12.03.2003</t>
  </si>
  <si>
    <t xml:space="preserve">    DT. 13.03.2003</t>
  </si>
  <si>
    <t xml:space="preserve">    DT. 14.03.2003</t>
  </si>
  <si>
    <t xml:space="preserve">    DT. 17.03.2003</t>
  </si>
  <si>
    <t xml:space="preserve">    DT. 18.03.2003</t>
  </si>
  <si>
    <t xml:space="preserve">    DT. 19.03.2003</t>
  </si>
  <si>
    <t xml:space="preserve">    DT. 20.03.2003</t>
  </si>
  <si>
    <t xml:space="preserve">    DT. 21.03.2003</t>
  </si>
  <si>
    <t xml:space="preserve">    DT. 25.03.2003</t>
  </si>
  <si>
    <t xml:space="preserve">    DT. 26.03.2003</t>
  </si>
  <si>
    <t xml:space="preserve">    DT. 27.03.2003</t>
  </si>
  <si>
    <t xml:space="preserve">    DT. 28.03.2003</t>
  </si>
  <si>
    <t xml:space="preserve">    DT. 03.03.2003</t>
  </si>
  <si>
    <t xml:space="preserve">    DT. 04.03.2003</t>
  </si>
  <si>
    <t xml:space="preserve">    DT. 05.03.2003</t>
  </si>
  <si>
    <t xml:space="preserve">    DT. 06.03.2003</t>
  </si>
  <si>
    <t xml:space="preserve">    DT. 31.03.2003</t>
  </si>
  <si>
    <t>Prill' 03</t>
  </si>
  <si>
    <t xml:space="preserve">    DT. 01.04.2003</t>
  </si>
  <si>
    <t xml:space="preserve">    DT. 02.04.2003</t>
  </si>
  <si>
    <t xml:space="preserve">    DT. 03.04.2003</t>
  </si>
  <si>
    <t xml:space="preserve">    DT. 04.04.2003</t>
  </si>
  <si>
    <t xml:space="preserve">    DT. 07.04.2003</t>
  </si>
  <si>
    <t xml:space="preserve">    DT. 08.04.2003</t>
  </si>
  <si>
    <t xml:space="preserve">    DT. 09.04.2003</t>
  </si>
  <si>
    <t xml:space="preserve">    DT. 10.04.2003</t>
  </si>
  <si>
    <t xml:space="preserve">    DT. 11.04.2003</t>
  </si>
  <si>
    <t xml:space="preserve">    DT. 14.04.2003</t>
  </si>
  <si>
    <t xml:space="preserve">    DT. 15.04.2003</t>
  </si>
  <si>
    <t xml:space="preserve">    DT. 16.04.2003</t>
  </si>
  <si>
    <t xml:space="preserve">    DT. 17.04.2003</t>
  </si>
  <si>
    <t xml:space="preserve">    DT. 18.04.2003</t>
  </si>
  <si>
    <t xml:space="preserve">    DT. 22.04.2003</t>
  </si>
  <si>
    <t xml:space="preserve">    DT. 23.04.2003</t>
  </si>
  <si>
    <t xml:space="preserve">    DT. 24.04.2003</t>
  </si>
  <si>
    <t xml:space="preserve">    DT. 25.04.2003</t>
  </si>
  <si>
    <t xml:space="preserve">    DT. 29.04.2003</t>
  </si>
  <si>
    <t xml:space="preserve">    DT. 30.04.2003</t>
  </si>
  <si>
    <t>Maj' 03</t>
  </si>
  <si>
    <t xml:space="preserve">    DT. 02.05.2003</t>
  </si>
  <si>
    <t xml:space="preserve">    DT. 05.05.2003</t>
  </si>
  <si>
    <t xml:space="preserve">    DT. 06.05.2003</t>
  </si>
  <si>
    <t xml:space="preserve">    DT. 07.05.2003</t>
  </si>
  <si>
    <t xml:space="preserve">    DT. 08.05.2003</t>
  </si>
  <si>
    <t xml:space="preserve">    DT. 09.05.2003</t>
  </si>
  <si>
    <t xml:space="preserve">    DT. 12.05.2003</t>
  </si>
  <si>
    <t xml:space="preserve">    DT. 13.05.2003</t>
  </si>
  <si>
    <t xml:space="preserve">    DT. 14.05.2003</t>
  </si>
  <si>
    <t xml:space="preserve">    DT. 15.05.2003</t>
  </si>
  <si>
    <t xml:space="preserve">    DT. 16.05.2003</t>
  </si>
  <si>
    <t xml:space="preserve">    DT. 19.05.2003</t>
  </si>
  <si>
    <t xml:space="preserve">    DT. 20.05.2003</t>
  </si>
  <si>
    <t xml:space="preserve">    DT. 21.05.2003</t>
  </si>
  <si>
    <t xml:space="preserve">    DT. 22.05.2003</t>
  </si>
  <si>
    <t xml:space="preserve">    DT. 23.05.2003</t>
  </si>
  <si>
    <t xml:space="preserve">    DT. 26.05.2003</t>
  </si>
  <si>
    <t xml:space="preserve">    DT. 27.05.2003</t>
  </si>
  <si>
    <t xml:space="preserve">    DT. 28.05.2003</t>
  </si>
  <si>
    <t xml:space="preserve">    DT. 29.05.2003</t>
  </si>
  <si>
    <t xml:space="preserve">    DT. 30.05.2003</t>
  </si>
  <si>
    <t>Qershor' 03</t>
  </si>
  <si>
    <t xml:space="preserve">    DT. 02.06.2003</t>
  </si>
  <si>
    <t xml:space="preserve">    DT. 03.06.2003</t>
  </si>
  <si>
    <t xml:space="preserve">    DT. 04.06.2003</t>
  </si>
  <si>
    <t xml:space="preserve">    DT. 05.06.2003</t>
  </si>
  <si>
    <t xml:space="preserve">    DT. 06.06.2003</t>
  </si>
  <si>
    <t xml:space="preserve">    DT. 09.06.2003</t>
  </si>
  <si>
    <t xml:space="preserve">    DT. 10.06.2003</t>
  </si>
  <si>
    <t xml:space="preserve">    DT. 11.06.2003</t>
  </si>
  <si>
    <t xml:space="preserve">    DT. 12.06.2003</t>
  </si>
  <si>
    <t xml:space="preserve">    DT. 13.06.2003</t>
  </si>
  <si>
    <t xml:space="preserve">    DT. 16.06.2003</t>
  </si>
  <si>
    <t xml:space="preserve">    DT. 17.06.2003</t>
  </si>
  <si>
    <t xml:space="preserve">    DT. 18.06.2003</t>
  </si>
  <si>
    <t xml:space="preserve">    DT. 19.06.2003</t>
  </si>
  <si>
    <t xml:space="preserve">    DT. 20.06.2003</t>
  </si>
  <si>
    <t xml:space="preserve">    DT. 23.06.2003</t>
  </si>
  <si>
    <t xml:space="preserve">    DT. 24.06.2003</t>
  </si>
  <si>
    <t xml:space="preserve">    DT. 25.06.2003</t>
  </si>
  <si>
    <t xml:space="preserve">    DT. 26.06.2003</t>
  </si>
  <si>
    <t xml:space="preserve">    DT. 27.06.2003</t>
  </si>
  <si>
    <t xml:space="preserve">    DT. 30.06.2003</t>
  </si>
  <si>
    <t>Korrik' 03</t>
  </si>
  <si>
    <t xml:space="preserve">    DT. 01.07.2003</t>
  </si>
  <si>
    <t xml:space="preserve">    DT. 04.07.2003</t>
  </si>
  <si>
    <t xml:space="preserve">    DT. 02.07.2003</t>
  </si>
  <si>
    <t xml:space="preserve">    DT. 03.07.2003</t>
  </si>
  <si>
    <t xml:space="preserve">    DT. 07.07.2003</t>
  </si>
  <si>
    <t xml:space="preserve">    DT. 08.07.2003</t>
  </si>
  <si>
    <t xml:space="preserve">    DT. 09.07.2003</t>
  </si>
  <si>
    <t xml:space="preserve">    DT. 10.07.2003</t>
  </si>
  <si>
    <t xml:space="preserve">    DT. 11.07.2003</t>
  </si>
  <si>
    <t xml:space="preserve">    DT. 14.07.2003</t>
  </si>
  <si>
    <t xml:space="preserve">    DT. 15.07.2003</t>
  </si>
  <si>
    <t xml:space="preserve">    DT. 16.07.2003</t>
  </si>
  <si>
    <t xml:space="preserve">    DT. 17.07.2003</t>
  </si>
  <si>
    <t xml:space="preserve">    DT. 18.07.2003</t>
  </si>
  <si>
    <t xml:space="preserve">    DT. 21.07.2003</t>
  </si>
  <si>
    <t xml:space="preserve">    DT. 22.07.2003</t>
  </si>
  <si>
    <t xml:space="preserve">    DT. 23.07.2003</t>
  </si>
  <si>
    <t xml:space="preserve">    DT. 24.07.2003</t>
  </si>
  <si>
    <t xml:space="preserve">    DT. 25.07.2003</t>
  </si>
  <si>
    <t xml:space="preserve">    DT. 28.07.2003</t>
  </si>
  <si>
    <t xml:space="preserve">    DT. 29.07.2003</t>
  </si>
  <si>
    <t xml:space="preserve">    DT. 30.07.2003</t>
  </si>
  <si>
    <t xml:space="preserve">    DT. 31.07.2003</t>
  </si>
  <si>
    <t>Gusht' 03</t>
  </si>
  <si>
    <t xml:space="preserve">    DT. 01.08.2003</t>
  </si>
  <si>
    <t xml:space="preserve">    DT. 04.08.2003</t>
  </si>
  <si>
    <t xml:space="preserve">    DT. 08.08.2003</t>
  </si>
  <si>
    <t xml:space="preserve">    DT. 11.08.2003</t>
  </si>
  <si>
    <t xml:space="preserve">    DT. 14.08.2003</t>
  </si>
  <si>
    <t xml:space="preserve">    DT. 15.08.2003</t>
  </si>
  <si>
    <t xml:space="preserve">    DT. 18.08.2003</t>
  </si>
  <si>
    <t xml:space="preserve">    DT. 21.08.2003</t>
  </si>
  <si>
    <t xml:space="preserve">    DT. 22.08.2003</t>
  </si>
  <si>
    <t xml:space="preserve">    DT. 25.08.2003</t>
  </si>
  <si>
    <t xml:space="preserve">    DT. 28.08.2003</t>
  </si>
  <si>
    <t xml:space="preserve">    DT. 29.08.2003</t>
  </si>
  <si>
    <t xml:space="preserve">    DT. 05.08.2003</t>
  </si>
  <si>
    <t xml:space="preserve">    DT. 06.08.2003</t>
  </si>
  <si>
    <t xml:space="preserve">    DT. 07.08.2003</t>
  </si>
  <si>
    <t xml:space="preserve">    DT. 12.08.2003</t>
  </si>
  <si>
    <t xml:space="preserve">    DT. 13.08.2003</t>
  </si>
  <si>
    <t xml:space="preserve">    DT. 19.08.2003</t>
  </si>
  <si>
    <t xml:space="preserve">    DT. 20.08.2003</t>
  </si>
  <si>
    <t xml:space="preserve">    DT. 26.08.2003</t>
  </si>
  <si>
    <t xml:space="preserve">    DT. 27.08.2003</t>
  </si>
  <si>
    <t>Shtator' 03</t>
  </si>
  <si>
    <t xml:space="preserve">    DT. 01.09.2003</t>
  </si>
  <si>
    <t xml:space="preserve">    DT. 02.09.2003</t>
  </si>
  <si>
    <t xml:space="preserve">    DT. 03.09.2003</t>
  </si>
  <si>
    <t xml:space="preserve">    DT. 04.09.2003</t>
  </si>
  <si>
    <t xml:space="preserve">    DT. 05.09.2003</t>
  </si>
  <si>
    <t xml:space="preserve">    DT. 08.09.2003</t>
  </si>
  <si>
    <t xml:space="preserve">    DT. 09.09.2003</t>
  </si>
  <si>
    <t xml:space="preserve">    DT. 10.09.2003</t>
  </si>
  <si>
    <t xml:space="preserve">    DT. 11.09.2003</t>
  </si>
  <si>
    <t xml:space="preserve">    DT. 12.09.2003</t>
  </si>
  <si>
    <t xml:space="preserve">    DT. 15.09.2003</t>
  </si>
  <si>
    <t xml:space="preserve">    DT. 16.09.2003</t>
  </si>
  <si>
    <t xml:space="preserve">    DT. 17.09.2003</t>
  </si>
  <si>
    <t xml:space="preserve">    DT. 18.09.2003</t>
  </si>
  <si>
    <t xml:space="preserve">    DT. 19.09.2003</t>
  </si>
  <si>
    <t xml:space="preserve">    DT. 22.09.2003</t>
  </si>
  <si>
    <t xml:space="preserve">    DT. 23.09.2003</t>
  </si>
  <si>
    <t xml:space="preserve">    DT. 24.09.2003</t>
  </si>
  <si>
    <t xml:space="preserve">    DT. 25.09.2003</t>
  </si>
  <si>
    <t xml:space="preserve">    DT. 26.09.2003</t>
  </si>
  <si>
    <t xml:space="preserve">    DT. 29.09.2003</t>
  </si>
  <si>
    <t xml:space="preserve">    DT. 30.09.2003</t>
  </si>
  <si>
    <t>Tetor' 03</t>
  </si>
  <si>
    <t xml:space="preserve">    DT. 01.10.2003</t>
  </si>
  <si>
    <t xml:space="preserve">    DT. 02.10.2003</t>
  </si>
  <si>
    <t xml:space="preserve">    DT. 03.10.2003</t>
  </si>
  <si>
    <t xml:space="preserve">    DT. 06.10.2003</t>
  </si>
  <si>
    <t xml:space="preserve">    DT. 07.10.2003</t>
  </si>
  <si>
    <t xml:space="preserve">    DT. 08.10.2003</t>
  </si>
  <si>
    <t xml:space="preserve">    DT. 09.10.2003</t>
  </si>
  <si>
    <t xml:space="preserve">    DT. 10.10.2003</t>
  </si>
  <si>
    <t xml:space="preserve">    DT. 13.10.2003</t>
  </si>
  <si>
    <t xml:space="preserve">    DT. 14.10.2003</t>
  </si>
  <si>
    <t xml:space="preserve">    DT. 15.10.2003</t>
  </si>
  <si>
    <t xml:space="preserve">    DT. 16.10.2003</t>
  </si>
  <si>
    <t xml:space="preserve">    DT. 17.10.2003</t>
  </si>
  <si>
    <t xml:space="preserve">    DT. 21.10.2003</t>
  </si>
  <si>
    <t xml:space="preserve">    DT. 22.10.2003</t>
  </si>
  <si>
    <t xml:space="preserve">    DT. 23.10.2003</t>
  </si>
  <si>
    <t xml:space="preserve">    DT. 24.10.2003</t>
  </si>
  <si>
    <t xml:space="preserve">    DT. 27.10.2003</t>
  </si>
  <si>
    <t xml:space="preserve">    DT. 28.10.2003</t>
  </si>
  <si>
    <t xml:space="preserve">    DT. 29.10.2003</t>
  </si>
  <si>
    <t xml:space="preserve">    DT. 30.10.2003</t>
  </si>
  <si>
    <t xml:space="preserve">    DT. 31.10.2003</t>
  </si>
  <si>
    <t>Nentor' 03</t>
  </si>
  <si>
    <t xml:space="preserve">    DT. 03.11.2003</t>
  </si>
  <si>
    <t xml:space="preserve">    DT. 04.11.2003</t>
  </si>
  <si>
    <t xml:space="preserve">    DT. 05.11.2003</t>
  </si>
  <si>
    <t xml:space="preserve">    DT. 06.11.2003</t>
  </si>
  <si>
    <t xml:space="preserve">    DT. 07.11.2003</t>
  </si>
  <si>
    <t xml:space="preserve">    DT. 10.11.2003</t>
  </si>
  <si>
    <t xml:space="preserve">    DT. 11.11.2003</t>
  </si>
  <si>
    <t xml:space="preserve">    DT. 12.11.2003</t>
  </si>
  <si>
    <t xml:space="preserve">    DT. 13.11.2003</t>
  </si>
  <si>
    <t xml:space="preserve">    DT. 14.11.2003</t>
  </si>
  <si>
    <t xml:space="preserve">    DT. 17.11.2003</t>
  </si>
  <si>
    <t xml:space="preserve">    DT. 18.11.2003</t>
  </si>
  <si>
    <t xml:space="preserve">    DT. 19.11.2003</t>
  </si>
  <si>
    <t xml:space="preserve">    DT. 20.11.2003</t>
  </si>
  <si>
    <t xml:space="preserve">    DT. 21.11.2003</t>
  </si>
  <si>
    <t xml:space="preserve">    DT. 24.11.2003</t>
  </si>
  <si>
    <t xml:space="preserve">    DT. 26.11.2003</t>
  </si>
  <si>
    <t xml:space="preserve">    DT. 27.11.2003</t>
  </si>
  <si>
    <t>Dhjetor' 03</t>
  </si>
  <si>
    <t xml:space="preserve">    DT. 02.12.2003</t>
  </si>
  <si>
    <t xml:space="preserve">    DT. 03.12.2003</t>
  </si>
  <si>
    <t xml:space="preserve">    DT. 04.12.2003</t>
  </si>
  <si>
    <t xml:space="preserve">    DT. 05.12.2003</t>
  </si>
  <si>
    <t xml:space="preserve">    DT. 08.12.2003</t>
  </si>
  <si>
    <t xml:space="preserve">    DT. 10.12.2003</t>
  </si>
  <si>
    <t xml:space="preserve">    DT. 09.12.2003</t>
  </si>
  <si>
    <t xml:space="preserve">    DT. 11.12.2003</t>
  </si>
  <si>
    <t xml:space="preserve">    DT. 12.12.2003</t>
  </si>
  <si>
    <t xml:space="preserve">    DT. 15.12.2003</t>
  </si>
  <si>
    <t xml:space="preserve">    DT. 16.12.2003</t>
  </si>
  <si>
    <t xml:space="preserve">    DT. 17.12.2003</t>
  </si>
  <si>
    <t xml:space="preserve">    DT. 18.12.2003</t>
  </si>
  <si>
    <t xml:space="preserve">    DT. 19.12.2003</t>
  </si>
  <si>
    <t xml:space="preserve">    DT. 22.12.2003</t>
  </si>
  <si>
    <t xml:space="preserve">    DT. 23.12.2003</t>
  </si>
  <si>
    <t xml:space="preserve">    DT. 24.12.2003</t>
  </si>
  <si>
    <t xml:space="preserve">    DT. 26.12.2003</t>
  </si>
  <si>
    <t xml:space="preserve">    DT. 29.12.2003</t>
  </si>
  <si>
    <t xml:space="preserve">    DT. 30.12.2003</t>
  </si>
  <si>
    <t xml:space="preserve">    DT. 31.12.2003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</si>
</sst>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General_)"/>
    <numFmt numFmtId="187" formatCode="0.000_)"/>
    <numFmt numFmtId="188" formatCode="0.00_)"/>
    <numFmt numFmtId="189" formatCode="0.00000_)"/>
    <numFmt numFmtId="190" formatCode="0.0000_)"/>
    <numFmt numFmtId="191" formatCode="0.000"/>
    <numFmt numFmtId="192" formatCode="0.0000"/>
    <numFmt numFmtId="193" formatCode="0.0_)"/>
    <numFmt numFmtId="194" formatCode="0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000"/>
    <numFmt numFmtId="199" formatCode="0.00;[Red]0.00"/>
    <numFmt numFmtId="200" formatCode="0.00_);\(0.00\)"/>
    <numFmt numFmtId="201" formatCode="0_);\(0\)"/>
    <numFmt numFmtId="202" formatCode="0.000_);\(0.000\)"/>
    <numFmt numFmtId="203" formatCode="0.00000"/>
    <numFmt numFmtId="204" formatCode="#,##0.0000_);\(#,##0.0000\)"/>
    <numFmt numFmtId="205" formatCode="#,##0.00000_);\(#,##0.00000\)"/>
  </numFmts>
  <fonts count="50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Tms Rmn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ms Rmn"/>
      <family val="0"/>
    </font>
    <font>
      <sz val="12"/>
      <color indexed="12"/>
      <name val="Tms Rmn"/>
      <family val="0"/>
    </font>
    <font>
      <sz val="12"/>
      <name val="Helv"/>
      <family val="0"/>
    </font>
    <font>
      <sz val="12"/>
      <color indexed="12"/>
      <name val="Arial MT"/>
      <family val="0"/>
    </font>
    <font>
      <sz val="12"/>
      <color indexed="12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trike/>
      <sz val="12"/>
      <color indexed="12"/>
      <name val="Tms Rmn"/>
      <family val="0"/>
    </font>
    <font>
      <b/>
      <sz val="14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186" fontId="0" fillId="0" borderId="0" xfId="0" applyAlignment="1">
      <alignment/>
    </xf>
    <xf numFmtId="187" fontId="5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right"/>
      <protection/>
    </xf>
    <xf numFmtId="187" fontId="8" fillId="0" borderId="0" xfId="0" applyNumberFormat="1" applyFont="1" applyAlignment="1" applyProtection="1">
      <alignment horizontal="left"/>
      <protection/>
    </xf>
    <xf numFmtId="187" fontId="9" fillId="0" borderId="0" xfId="0" applyNumberFormat="1" applyFont="1" applyAlignment="1" applyProtection="1">
      <alignment/>
      <protection/>
    </xf>
    <xf numFmtId="187" fontId="9" fillId="0" borderId="0" xfId="0" applyNumberFormat="1" applyFont="1" applyAlignment="1" applyProtection="1">
      <alignment horizontal="left"/>
      <protection/>
    </xf>
    <xf numFmtId="186" fontId="9" fillId="0" borderId="0" xfId="0" applyFont="1" applyAlignment="1">
      <alignment/>
    </xf>
    <xf numFmtId="186" fontId="10" fillId="0" borderId="0" xfId="0" applyFont="1" applyAlignment="1">
      <alignment/>
    </xf>
    <xf numFmtId="187" fontId="9" fillId="0" borderId="0" xfId="0" applyNumberFormat="1" applyFont="1" applyBorder="1" applyAlignment="1" applyProtection="1">
      <alignment/>
      <protection/>
    </xf>
    <xf numFmtId="187" fontId="8" fillId="0" borderId="0" xfId="0" applyNumberFormat="1" applyFont="1" applyAlignment="1" applyProtection="1">
      <alignment/>
      <protection/>
    </xf>
    <xf numFmtId="187" fontId="9" fillId="0" borderId="10" xfId="0" applyNumberFormat="1" applyFont="1" applyBorder="1" applyAlignment="1" applyProtection="1">
      <alignment/>
      <protection/>
    </xf>
    <xf numFmtId="187" fontId="9" fillId="0" borderId="0" xfId="0" applyNumberFormat="1" applyFont="1" applyAlignment="1" applyProtection="1">
      <alignment horizontal="center"/>
      <protection/>
    </xf>
    <xf numFmtId="187" fontId="8" fillId="0" borderId="0" xfId="0" applyNumberFormat="1" applyFont="1" applyAlignment="1" applyProtection="1">
      <alignment horizontal="center"/>
      <protection/>
    </xf>
    <xf numFmtId="187" fontId="9" fillId="0" borderId="10" xfId="0" applyNumberFormat="1" applyFont="1" applyBorder="1" applyAlignment="1" applyProtection="1">
      <alignment horizontal="left"/>
      <protection/>
    </xf>
    <xf numFmtId="187" fontId="8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left"/>
      <protection/>
    </xf>
    <xf numFmtId="188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186" fontId="7" fillId="0" borderId="0" xfId="0" applyNumberFormat="1" applyFont="1" applyAlignment="1" applyProtection="1">
      <alignment horizontal="left"/>
      <protection/>
    </xf>
    <xf numFmtId="187" fontId="9" fillId="0" borderId="11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186" fontId="10" fillId="0" borderId="0" xfId="0" applyFont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86" fontId="12" fillId="0" borderId="0" xfId="0" applyFont="1" applyBorder="1" applyAlignment="1">
      <alignment/>
    </xf>
    <xf numFmtId="187" fontId="11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92" fontId="9" fillId="0" borderId="11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 horizontal="left"/>
      <protection/>
    </xf>
    <xf numFmtId="192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87" fontId="6" fillId="0" borderId="0" xfId="0" applyNumberFormat="1" applyFont="1" applyBorder="1" applyAlignment="1" applyProtection="1">
      <alignment horizontal="left"/>
      <protection/>
    </xf>
    <xf numFmtId="202" fontId="9" fillId="0" borderId="0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187" fontId="7" fillId="0" borderId="11" xfId="0" applyNumberFormat="1" applyFont="1" applyBorder="1" applyAlignment="1" applyProtection="1">
      <alignment horizontal="left"/>
      <protection/>
    </xf>
    <xf numFmtId="187" fontId="8" fillId="0" borderId="0" xfId="0" applyNumberFormat="1" applyFont="1" applyBorder="1" applyAlignment="1" applyProtection="1">
      <alignment horizontal="left"/>
      <protection/>
    </xf>
    <xf numFmtId="187" fontId="11" fillId="0" borderId="0" xfId="0" applyNumberFormat="1" applyFont="1" applyBorder="1" applyAlignment="1" applyProtection="1">
      <alignment/>
      <protection/>
    </xf>
    <xf numFmtId="187" fontId="9" fillId="0" borderId="0" xfId="0" applyNumberFormat="1" applyFont="1" applyBorder="1" applyAlignment="1" applyProtection="1">
      <alignment horizontal="center"/>
      <protection/>
    </xf>
    <xf numFmtId="186" fontId="0" fillId="0" borderId="0" xfId="0" applyBorder="1" applyAlignment="1">
      <alignment/>
    </xf>
    <xf numFmtId="192" fontId="15" fillId="0" borderId="0" xfId="0" applyNumberFormat="1" applyFont="1" applyBorder="1" applyAlignment="1" applyProtection="1">
      <alignment/>
      <protection/>
    </xf>
    <xf numFmtId="187" fontId="16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B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29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5" ht="15.75" customHeight="1">
      <c r="A4" s="6" t="s">
        <v>2</v>
      </c>
      <c r="B4" s="5"/>
      <c r="C4" s="4" t="s">
        <v>28</v>
      </c>
      <c r="D4" s="4"/>
      <c r="E4" s="10"/>
      <c r="F4" s="4" t="s">
        <v>30</v>
      </c>
      <c r="G4" s="4"/>
      <c r="H4" s="10"/>
      <c r="I4" s="4" t="s">
        <v>31</v>
      </c>
      <c r="J4" s="4"/>
      <c r="K4" s="10"/>
      <c r="L4" s="4" t="s">
        <v>32</v>
      </c>
      <c r="M4" s="4"/>
      <c r="N4" s="10"/>
      <c r="O4" s="4" t="s">
        <v>45</v>
      </c>
      <c r="P4" s="4"/>
      <c r="Q4" s="10"/>
      <c r="R4" s="4" t="s">
        <v>33</v>
      </c>
      <c r="S4" s="4"/>
      <c r="T4" s="10"/>
      <c r="U4" s="4" t="s">
        <v>34</v>
      </c>
      <c r="V4" s="4"/>
      <c r="W4" s="10"/>
      <c r="X4" s="4" t="s">
        <v>35</v>
      </c>
      <c r="Y4" s="4"/>
      <c r="Z4" s="10"/>
      <c r="AA4" s="4" t="s">
        <v>36</v>
      </c>
      <c r="AB4" s="4"/>
      <c r="AC4" s="10"/>
      <c r="AD4" s="4" t="s">
        <v>46</v>
      </c>
      <c r="AE4" s="4"/>
      <c r="AF4" s="10"/>
      <c r="AG4" s="4" t="s">
        <v>37</v>
      </c>
      <c r="AH4" s="4"/>
      <c r="AI4" s="10"/>
      <c r="AJ4" s="4" t="s">
        <v>38</v>
      </c>
      <c r="AK4" s="4"/>
      <c r="AL4" s="10"/>
      <c r="AM4" s="4" t="s">
        <v>39</v>
      </c>
      <c r="AN4" s="4"/>
      <c r="AO4" s="10"/>
      <c r="AP4" s="4" t="s">
        <v>40</v>
      </c>
      <c r="AQ4" s="4"/>
      <c r="AR4" s="10"/>
      <c r="AS4" s="4" t="s">
        <v>47</v>
      </c>
      <c r="AT4" s="4"/>
      <c r="AU4" s="10"/>
      <c r="AV4" s="4" t="s">
        <v>41</v>
      </c>
      <c r="AW4" s="4"/>
      <c r="AX4" s="10"/>
      <c r="AY4" s="4" t="s">
        <v>42</v>
      </c>
      <c r="AZ4" s="4"/>
      <c r="BA4" s="10"/>
      <c r="BB4" s="4" t="s">
        <v>43</v>
      </c>
      <c r="BC4" s="4"/>
      <c r="BD4" s="10"/>
      <c r="BE4" s="4" t="s">
        <v>44</v>
      </c>
      <c r="BF4" s="4"/>
      <c r="BG4" s="10"/>
      <c r="BH4" s="4" t="s">
        <v>27</v>
      </c>
      <c r="BI4" s="4"/>
      <c r="BJ4" s="10"/>
      <c r="BK4" s="4" t="s">
        <v>3</v>
      </c>
      <c r="BL4" s="4"/>
      <c r="BM4" s="26"/>
    </row>
    <row r="5" spans="1:65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26"/>
      <c r="BL5" s="26"/>
      <c r="BM5" s="26"/>
    </row>
    <row r="6" spans="1:65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4</v>
      </c>
      <c r="BI7" s="12" t="s">
        <v>4</v>
      </c>
      <c r="BJ7" s="12"/>
      <c r="BK7" s="12" t="s">
        <v>5</v>
      </c>
      <c r="BL7" s="12" t="s">
        <v>5</v>
      </c>
      <c r="BM7" s="12"/>
    </row>
    <row r="8" spans="1:65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7</v>
      </c>
      <c r="BI8" s="12" t="s">
        <v>7</v>
      </c>
      <c r="BJ8" s="12"/>
      <c r="BK8" s="12" t="s">
        <v>8</v>
      </c>
      <c r="BL8" s="12" t="s">
        <v>9</v>
      </c>
      <c r="BM8" s="12"/>
    </row>
    <row r="9" spans="1:65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10</v>
      </c>
      <c r="BI9" s="12" t="s">
        <v>9</v>
      </c>
      <c r="BJ9" s="12"/>
      <c r="BK9" s="12" t="s">
        <v>7</v>
      </c>
      <c r="BL9" s="12" t="s">
        <v>11</v>
      </c>
      <c r="BM9" s="12"/>
    </row>
    <row r="10" spans="1:6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5"/>
      <c r="BI10" s="12" t="s">
        <v>12</v>
      </c>
      <c r="BJ10" s="12"/>
      <c r="BK10" s="12" t="s">
        <v>10</v>
      </c>
      <c r="BL10" s="12" t="s">
        <v>12</v>
      </c>
      <c r="BM10" s="12"/>
      <c r="BN10" s="1"/>
    </row>
    <row r="11" spans="1:65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</row>
    <row r="13" spans="1:65" ht="15.75" customHeight="1">
      <c r="A13" s="16">
        <v>1</v>
      </c>
      <c r="B13" s="17" t="s">
        <v>14</v>
      </c>
      <c r="C13" s="27">
        <v>118.87</v>
      </c>
      <c r="D13" s="19">
        <v>112.5</v>
      </c>
      <c r="E13" s="5"/>
      <c r="F13" s="27">
        <v>119.84</v>
      </c>
      <c r="G13" s="19">
        <v>111.65</v>
      </c>
      <c r="H13" s="5"/>
      <c r="I13" s="27">
        <v>120.2</v>
      </c>
      <c r="J13" s="19">
        <v>111.25</v>
      </c>
      <c r="K13" s="5"/>
      <c r="L13" s="27">
        <v>119.09</v>
      </c>
      <c r="M13" s="19">
        <v>111.45</v>
      </c>
      <c r="N13" s="5"/>
      <c r="O13" s="27">
        <v>119.7</v>
      </c>
      <c r="P13" s="19">
        <v>110.69</v>
      </c>
      <c r="Q13" s="5"/>
      <c r="R13" s="27">
        <v>119.37</v>
      </c>
      <c r="S13" s="19">
        <v>110.66</v>
      </c>
      <c r="T13" s="5"/>
      <c r="U13" s="27">
        <v>118.21</v>
      </c>
      <c r="V13" s="19">
        <v>111.94</v>
      </c>
      <c r="W13" s="5"/>
      <c r="X13" s="27">
        <v>118.22</v>
      </c>
      <c r="Y13" s="19">
        <v>112.07</v>
      </c>
      <c r="Z13" s="5"/>
      <c r="AA13" s="27">
        <v>117.96</v>
      </c>
      <c r="AB13" s="19">
        <v>112.19</v>
      </c>
      <c r="AC13" s="5"/>
      <c r="AD13" s="27">
        <v>117.72</v>
      </c>
      <c r="AE13" s="19">
        <v>112.03</v>
      </c>
      <c r="AF13" s="5"/>
      <c r="AG13" s="27">
        <v>118.14</v>
      </c>
      <c r="AH13" s="19">
        <v>111.45</v>
      </c>
      <c r="AI13" s="5"/>
      <c r="AJ13" s="27">
        <v>119</v>
      </c>
      <c r="AK13" s="19">
        <v>110.64</v>
      </c>
      <c r="AL13" s="5"/>
      <c r="AM13" s="27">
        <v>118.26</v>
      </c>
      <c r="AN13" s="19">
        <v>111.03</v>
      </c>
      <c r="AO13" s="5"/>
      <c r="AP13" s="27">
        <v>118.12</v>
      </c>
      <c r="AQ13" s="19">
        <v>110.78</v>
      </c>
      <c r="AR13" s="5"/>
      <c r="AS13" s="27">
        <v>118.07</v>
      </c>
      <c r="AT13" s="19">
        <v>110.16</v>
      </c>
      <c r="AU13" s="5"/>
      <c r="AV13" s="27">
        <v>117.63</v>
      </c>
      <c r="AW13" s="19">
        <v>110.13</v>
      </c>
      <c r="AX13" s="5"/>
      <c r="AY13" s="27">
        <v>118.62</v>
      </c>
      <c r="AZ13" s="19">
        <v>109.39</v>
      </c>
      <c r="BA13" s="5"/>
      <c r="BB13" s="27">
        <v>118.21</v>
      </c>
      <c r="BC13" s="19">
        <v>109.62</v>
      </c>
      <c r="BD13" s="5"/>
      <c r="BE13" s="27">
        <v>118.93</v>
      </c>
      <c r="BF13" s="19">
        <v>109.86</v>
      </c>
      <c r="BG13" s="5"/>
      <c r="BH13" s="27">
        <v>119.07</v>
      </c>
      <c r="BI13" s="19">
        <v>109.61</v>
      </c>
      <c r="BJ13" s="5"/>
      <c r="BK13" s="27">
        <f>(C13+F13+I13+L13+O13+R13+U13+X13+AA13+AD13+AG13+AJ13+AM13+AP13+AS13+AV13+AY13+BB13+BE13+BH13)/20</f>
        <v>118.6615</v>
      </c>
      <c r="BL13" s="19">
        <f>(D13+G13+J13+M13+P13+S13+V13+Y13+AB13+AE13+AH13+AK13+AN13+AQ13+AT13+AW13+AZ13+BC13+BF13+BI13)/20</f>
        <v>110.95500000000001</v>
      </c>
      <c r="BM13" s="5"/>
    </row>
    <row r="14" spans="1:65" ht="15.75" customHeight="1">
      <c r="A14" s="16">
        <v>2</v>
      </c>
      <c r="B14" s="17" t="s">
        <v>15</v>
      </c>
      <c r="C14" s="27">
        <f>1/1.6127</f>
        <v>0.6200781298443604</v>
      </c>
      <c r="D14" s="19">
        <v>215.66</v>
      </c>
      <c r="E14" s="5"/>
      <c r="F14" s="27">
        <f>1/1.6038</f>
        <v>0.6235191420376606</v>
      </c>
      <c r="G14" s="19">
        <v>214.58</v>
      </c>
      <c r="H14" s="5"/>
      <c r="I14" s="27">
        <f>1/1.6008</f>
        <v>0.624687656171914</v>
      </c>
      <c r="J14" s="19">
        <v>214.1</v>
      </c>
      <c r="K14" s="5"/>
      <c r="L14" s="27">
        <f>1/1.6094</f>
        <v>0.6213495712687959</v>
      </c>
      <c r="M14" s="19">
        <v>213.61</v>
      </c>
      <c r="N14" s="5"/>
      <c r="O14" s="27">
        <f>1/1.6073</f>
        <v>0.6221613886642196</v>
      </c>
      <c r="P14" s="19">
        <v>212.96</v>
      </c>
      <c r="Q14" s="5"/>
      <c r="R14" s="27">
        <f>1/1.6025</f>
        <v>0.62402496099844</v>
      </c>
      <c r="S14" s="19">
        <v>211.69</v>
      </c>
      <c r="T14" s="5"/>
      <c r="U14" s="27">
        <f>1/1.6059</f>
        <v>0.6227037798119435</v>
      </c>
      <c r="V14" s="19">
        <v>212.49</v>
      </c>
      <c r="W14" s="5"/>
      <c r="X14" s="27">
        <f>1/1.599</f>
        <v>0.6253908692933083</v>
      </c>
      <c r="Y14" s="19">
        <v>211.85</v>
      </c>
      <c r="Z14" s="5"/>
      <c r="AA14" s="27">
        <f>1/1.6038</f>
        <v>0.6235191420376606</v>
      </c>
      <c r="AB14" s="19">
        <v>212.25</v>
      </c>
      <c r="AC14" s="5"/>
      <c r="AD14" s="27">
        <f>1/1.6168</f>
        <v>0.6185056902523504</v>
      </c>
      <c r="AE14" s="19">
        <v>213.23</v>
      </c>
      <c r="AF14" s="5"/>
      <c r="AG14" s="27">
        <f>1/1.6101</f>
        <v>0.621079436059872</v>
      </c>
      <c r="AH14" s="19">
        <v>212</v>
      </c>
      <c r="AI14" s="5"/>
      <c r="AJ14" s="27">
        <f>1/1.6048</f>
        <v>0.6231306081754736</v>
      </c>
      <c r="AK14" s="19">
        <v>211.3</v>
      </c>
      <c r="AL14" s="5"/>
      <c r="AM14" s="27">
        <f>1/1.6104</f>
        <v>0.620963735717834</v>
      </c>
      <c r="AN14" s="19">
        <v>211.45</v>
      </c>
      <c r="AO14" s="5"/>
      <c r="AP14" s="27">
        <f>1/1.6216</f>
        <v>0.61667488899852</v>
      </c>
      <c r="AQ14" s="19">
        <v>212.19</v>
      </c>
      <c r="AR14" s="5"/>
      <c r="AS14" s="27">
        <f>1/1.6307</f>
        <v>0.6132335806708775</v>
      </c>
      <c r="AT14" s="19">
        <v>212.1</v>
      </c>
      <c r="AU14" s="5"/>
      <c r="AV14" s="27">
        <f>1/1.6369</f>
        <v>0.6109108681043436</v>
      </c>
      <c r="AW14" s="19">
        <v>212.05</v>
      </c>
      <c r="AX14" s="5"/>
      <c r="AY14" s="27">
        <f>1/1.6353</f>
        <v>0.6115085916957134</v>
      </c>
      <c r="AZ14" s="19">
        <v>212.2</v>
      </c>
      <c r="BA14" s="5"/>
      <c r="BB14" s="27">
        <f>1/1.6462</f>
        <v>0.6074596039363382</v>
      </c>
      <c r="BC14" s="19">
        <v>213.31</v>
      </c>
      <c r="BD14" s="5"/>
      <c r="BE14" s="27">
        <f>1/1.6433</f>
        <v>0.6085316132173066</v>
      </c>
      <c r="BF14" s="19">
        <v>214.72</v>
      </c>
      <c r="BG14" s="5"/>
      <c r="BH14" s="27">
        <f>1/1.6518</f>
        <v>0.6054001695120474</v>
      </c>
      <c r="BI14" s="19">
        <v>215.57</v>
      </c>
      <c r="BJ14" s="5"/>
      <c r="BK14" s="27">
        <f aca="true" t="shared" si="0" ref="BK14:BK25">(C14+F14+I14+L14+O14+R14+U14+X14+AA14+AD14+AG14+AJ14+AM14+AP14+AS14+AV14+AY14+BB14+BE14+BH14)/20</f>
        <v>0.618241671323449</v>
      </c>
      <c r="BL14" s="19">
        <f aca="true" t="shared" si="1" ref="BL14:BL25">(D14+G14+J14+M14+P14+S14+V14+Y14+AB14+AE14+AH14+AK14+AN14+AQ14+AT14+AW14+AZ14+BC14+BF14+BI14)/20</f>
        <v>212.96549999999996</v>
      </c>
      <c r="BM14" s="5"/>
    </row>
    <row r="15" spans="1:65" ht="15.75" customHeight="1">
      <c r="A15" s="16">
        <v>3</v>
      </c>
      <c r="B15" s="17" t="s">
        <v>16</v>
      </c>
      <c r="C15" s="27">
        <v>1.3896</v>
      </c>
      <c r="D15" s="19">
        <v>96.23</v>
      </c>
      <c r="E15" s="5"/>
      <c r="F15" s="27">
        <v>1.4008</v>
      </c>
      <c r="G15" s="19">
        <v>95.51</v>
      </c>
      <c r="H15" s="5"/>
      <c r="I15" s="27">
        <v>1.4014</v>
      </c>
      <c r="J15" s="19">
        <v>95.44</v>
      </c>
      <c r="K15" s="5"/>
      <c r="L15" s="27">
        <v>1.3885</v>
      </c>
      <c r="M15" s="19">
        <v>95.59</v>
      </c>
      <c r="N15" s="5"/>
      <c r="O15" s="27">
        <v>1.388</v>
      </c>
      <c r="P15" s="19">
        <v>95.46</v>
      </c>
      <c r="Q15" s="5"/>
      <c r="R15" s="27">
        <v>1.3874</v>
      </c>
      <c r="S15" s="19">
        <v>95.21</v>
      </c>
      <c r="T15" s="5"/>
      <c r="U15" s="27">
        <v>1.3815</v>
      </c>
      <c r="V15" s="19">
        <v>95.78</v>
      </c>
      <c r="W15" s="5"/>
      <c r="X15" s="27">
        <v>1.3912</v>
      </c>
      <c r="Y15" s="19">
        <v>95.24</v>
      </c>
      <c r="Z15" s="5"/>
      <c r="AA15" s="27">
        <v>1.3839</v>
      </c>
      <c r="AB15" s="19">
        <v>95.63</v>
      </c>
      <c r="AC15" s="5"/>
      <c r="AD15" s="27">
        <v>1.3691</v>
      </c>
      <c r="AE15" s="19">
        <v>96.33</v>
      </c>
      <c r="AF15" s="5"/>
      <c r="AG15" s="27">
        <v>1.3703</v>
      </c>
      <c r="AH15" s="19">
        <v>96.09</v>
      </c>
      <c r="AI15" s="5"/>
      <c r="AJ15" s="27">
        <v>1.3732</v>
      </c>
      <c r="AK15" s="19">
        <v>95.88</v>
      </c>
      <c r="AL15" s="5"/>
      <c r="AM15" s="27">
        <v>1.3659</v>
      </c>
      <c r="AN15" s="19">
        <v>96.13</v>
      </c>
      <c r="AO15" s="5"/>
      <c r="AP15" s="27">
        <v>1.3609</v>
      </c>
      <c r="AQ15" s="19">
        <v>96.15</v>
      </c>
      <c r="AR15" s="5"/>
      <c r="AS15" s="27">
        <v>1.3617</v>
      </c>
      <c r="AT15" s="19">
        <v>95.52</v>
      </c>
      <c r="AU15" s="5"/>
      <c r="AV15" s="27">
        <v>1.3491</v>
      </c>
      <c r="AW15" s="19">
        <v>96.02</v>
      </c>
      <c r="AX15" s="5"/>
      <c r="AY15" s="27">
        <v>1.3597</v>
      </c>
      <c r="AZ15" s="19">
        <v>95.43</v>
      </c>
      <c r="BA15" s="5"/>
      <c r="BB15" s="27">
        <v>1.3499</v>
      </c>
      <c r="BC15" s="19">
        <v>95.99</v>
      </c>
      <c r="BD15" s="5"/>
      <c r="BE15" s="27">
        <v>1.3663</v>
      </c>
      <c r="BF15" s="19">
        <v>95.63</v>
      </c>
      <c r="BG15" s="5"/>
      <c r="BH15" s="27">
        <v>1.3559</v>
      </c>
      <c r="BI15" s="19">
        <v>96.25</v>
      </c>
      <c r="BJ15" s="5"/>
      <c r="BK15" s="27">
        <f t="shared" si="0"/>
        <v>1.3747149999999997</v>
      </c>
      <c r="BL15" s="19">
        <f t="shared" si="1"/>
        <v>95.77550000000001</v>
      </c>
      <c r="BM15" s="5"/>
    </row>
    <row r="16" spans="1:65" ht="15.75" customHeight="1">
      <c r="A16" s="16">
        <v>4</v>
      </c>
      <c r="B16" s="17" t="s">
        <v>17</v>
      </c>
      <c r="C16" s="27">
        <f>1/1.0474</f>
        <v>0.9547450830628221</v>
      </c>
      <c r="D16" s="19">
        <v>140.06</v>
      </c>
      <c r="E16" s="5"/>
      <c r="F16" s="27">
        <f>1/1.0406</f>
        <v>0.9609840476648088</v>
      </c>
      <c r="G16" s="19">
        <v>139.23</v>
      </c>
      <c r="H16" s="5"/>
      <c r="I16" s="27">
        <f>1/1.0405</f>
        <v>0.9610764055742431</v>
      </c>
      <c r="J16" s="19">
        <v>139.17</v>
      </c>
      <c r="K16" s="5"/>
      <c r="L16" s="27">
        <f>1/1.0504</f>
        <v>0.952018278750952</v>
      </c>
      <c r="M16" s="19">
        <v>139.42</v>
      </c>
      <c r="N16" s="5"/>
      <c r="O16" s="27">
        <f>1/1.0507</f>
        <v>0.9517464547444561</v>
      </c>
      <c r="P16" s="19">
        <v>139.21</v>
      </c>
      <c r="Q16" s="5"/>
      <c r="R16" s="27">
        <f>1/1.0534</f>
        <v>0.9493070058857035</v>
      </c>
      <c r="S16" s="19">
        <v>139.15</v>
      </c>
      <c r="T16" s="5"/>
      <c r="U16" s="27">
        <f>1/1.0581</f>
        <v>0.9450902561194594</v>
      </c>
      <c r="V16" s="19">
        <v>140.01</v>
      </c>
      <c r="W16" s="5"/>
      <c r="X16" s="27">
        <f>1/1.052</f>
        <v>0.9505703422053231</v>
      </c>
      <c r="Y16" s="19">
        <v>139.38</v>
      </c>
      <c r="Z16" s="5"/>
      <c r="AA16" s="27">
        <f>1/1.0568</f>
        <v>0.9462528387585163</v>
      </c>
      <c r="AB16" s="19">
        <v>139.86</v>
      </c>
      <c r="AC16" s="5"/>
      <c r="AD16" s="27">
        <f>1/1.0651</f>
        <v>0.9388789784996715</v>
      </c>
      <c r="AE16" s="19">
        <v>140.47</v>
      </c>
      <c r="AF16" s="5"/>
      <c r="AG16" s="27">
        <f>1/1.0656</f>
        <v>0.9384384384384383</v>
      </c>
      <c r="AH16" s="19">
        <v>140.3</v>
      </c>
      <c r="AI16" s="5"/>
      <c r="AJ16" s="27">
        <f>1/1.0641</f>
        <v>0.93976130062964</v>
      </c>
      <c r="AK16" s="19">
        <v>140.11</v>
      </c>
      <c r="AL16" s="5"/>
      <c r="AM16" s="27">
        <f>1/1.0701</f>
        <v>0.9344921035417251</v>
      </c>
      <c r="AN16" s="19">
        <v>140.51</v>
      </c>
      <c r="AO16" s="5"/>
      <c r="AP16" s="27">
        <f>1/1.0749</f>
        <v>0.9303190994511118</v>
      </c>
      <c r="AQ16" s="19">
        <v>140.65</v>
      </c>
      <c r="AR16" s="5"/>
      <c r="AS16" s="27">
        <f>1/1.0763</f>
        <v>0.9291089844838799</v>
      </c>
      <c r="AT16" s="19">
        <v>139.99</v>
      </c>
      <c r="AU16" s="5"/>
      <c r="AV16" s="27">
        <f>1/1.0876</f>
        <v>0.9194556822361163</v>
      </c>
      <c r="AW16" s="19">
        <v>140.89</v>
      </c>
      <c r="AX16" s="5"/>
      <c r="AY16" s="27">
        <f>1/1.0805</f>
        <v>0.9254974548819991</v>
      </c>
      <c r="AZ16" s="19">
        <v>140.21</v>
      </c>
      <c r="BA16" s="5"/>
      <c r="BB16" s="27">
        <f>1/1.0873</f>
        <v>0.9197093718384991</v>
      </c>
      <c r="BC16" s="19">
        <v>140.89</v>
      </c>
      <c r="BD16" s="5"/>
      <c r="BE16" s="27">
        <f>1/1.0753</f>
        <v>0.9299730307821074</v>
      </c>
      <c r="BF16" s="19">
        <v>140.5</v>
      </c>
      <c r="BG16" s="5"/>
      <c r="BH16" s="27">
        <f>1/1.0815</f>
        <v>0.9246417013407305</v>
      </c>
      <c r="BI16" s="19">
        <v>141.15</v>
      </c>
      <c r="BJ16" s="5"/>
      <c r="BK16" s="27">
        <f t="shared" si="0"/>
        <v>0.9401033429445101</v>
      </c>
      <c r="BL16" s="19">
        <f t="shared" si="1"/>
        <v>140.058</v>
      </c>
      <c r="BM16" s="5"/>
    </row>
    <row r="17" spans="1:65" ht="15.75" customHeight="1">
      <c r="A17" s="16">
        <v>5</v>
      </c>
      <c r="B17" s="17" t="s">
        <v>18</v>
      </c>
      <c r="C17" s="27">
        <v>354.35</v>
      </c>
      <c r="D17" s="19">
        <v>47385.23</v>
      </c>
      <c r="E17" s="5"/>
      <c r="F17" s="27">
        <v>348</v>
      </c>
      <c r="G17" s="19">
        <v>46561.1</v>
      </c>
      <c r="H17" s="5"/>
      <c r="I17" s="27">
        <v>346.5</v>
      </c>
      <c r="J17" s="19">
        <v>46343.94</v>
      </c>
      <c r="K17" s="5"/>
      <c r="L17" s="27">
        <v>354.5</v>
      </c>
      <c r="M17" s="19">
        <v>47051.68</v>
      </c>
      <c r="N17" s="5"/>
      <c r="O17" s="27">
        <v>353.5</v>
      </c>
      <c r="P17" s="19">
        <v>46836.1</v>
      </c>
      <c r="Q17" s="5"/>
      <c r="R17" s="27">
        <v>352.25</v>
      </c>
      <c r="S17" s="19">
        <v>46531.34</v>
      </c>
      <c r="T17" s="5"/>
      <c r="U17" s="27">
        <v>353.5</v>
      </c>
      <c r="V17" s="19">
        <v>46774.68</v>
      </c>
      <c r="W17" s="5"/>
      <c r="X17" s="27">
        <v>351.85</v>
      </c>
      <c r="Y17" s="19">
        <v>46617.27</v>
      </c>
      <c r="Z17" s="5"/>
      <c r="AA17" s="27">
        <v>350.5</v>
      </c>
      <c r="AB17" s="19">
        <v>46386.92</v>
      </c>
      <c r="AC17" s="5"/>
      <c r="AD17" s="27">
        <v>357</v>
      </c>
      <c r="AE17" s="19">
        <v>47083.39</v>
      </c>
      <c r="AF17" s="5"/>
      <c r="AG17" s="27">
        <v>355.5</v>
      </c>
      <c r="AH17" s="19">
        <v>46807.57</v>
      </c>
      <c r="AI17" s="5"/>
      <c r="AJ17" s="27">
        <v>355.5</v>
      </c>
      <c r="AK17" s="19">
        <v>46807.35</v>
      </c>
      <c r="AL17" s="5"/>
      <c r="AM17" s="27">
        <v>358.75</v>
      </c>
      <c r="AN17" s="19">
        <v>47104.32</v>
      </c>
      <c r="AO17" s="5"/>
      <c r="AP17" s="27">
        <v>362.75</v>
      </c>
      <c r="AQ17" s="19">
        <v>47466.74</v>
      </c>
      <c r="AR17" s="5"/>
      <c r="AS17" s="27">
        <v>363.75</v>
      </c>
      <c r="AT17" s="19">
        <v>47312.05</v>
      </c>
      <c r="AU17" s="5"/>
      <c r="AV17" s="27">
        <v>370.5</v>
      </c>
      <c r="AW17" s="19">
        <v>47995.73</v>
      </c>
      <c r="AX17" s="5"/>
      <c r="AY17" s="27">
        <v>366.25</v>
      </c>
      <c r="AZ17" s="19">
        <v>47525.52</v>
      </c>
      <c r="BA17" s="5"/>
      <c r="BB17" s="27">
        <v>369.5</v>
      </c>
      <c r="BC17" s="19">
        <v>47878.89</v>
      </c>
      <c r="BD17" s="5"/>
      <c r="BE17" s="27">
        <v>363.25</v>
      </c>
      <c r="BF17" s="19">
        <v>47462.93</v>
      </c>
      <c r="BG17" s="5"/>
      <c r="BH17" s="27">
        <v>370</v>
      </c>
      <c r="BI17" s="19">
        <v>48288.24</v>
      </c>
      <c r="BJ17" s="5"/>
      <c r="BK17" s="27">
        <f t="shared" si="0"/>
        <v>357.885</v>
      </c>
      <c r="BL17" s="19">
        <f t="shared" si="1"/>
        <v>47111.04950000001</v>
      </c>
      <c r="BM17" s="5"/>
    </row>
    <row r="18" spans="1:65" ht="15.75" customHeight="1">
      <c r="A18" s="16">
        <v>6</v>
      </c>
      <c r="B18" s="20" t="s">
        <v>19</v>
      </c>
      <c r="C18" s="27">
        <v>4.9</v>
      </c>
      <c r="D18" s="19">
        <v>655.25</v>
      </c>
      <c r="E18" s="5"/>
      <c r="F18" s="27">
        <v>4.83</v>
      </c>
      <c r="G18" s="19">
        <v>646.24</v>
      </c>
      <c r="H18" s="5"/>
      <c r="I18" s="27">
        <v>4.77</v>
      </c>
      <c r="J18" s="19">
        <v>637.98</v>
      </c>
      <c r="K18" s="5"/>
      <c r="L18" s="27">
        <v>4.82</v>
      </c>
      <c r="M18" s="19">
        <v>639.74</v>
      </c>
      <c r="N18" s="5"/>
      <c r="O18" s="27">
        <v>4.83</v>
      </c>
      <c r="P18" s="19">
        <v>639.94</v>
      </c>
      <c r="Q18" s="5"/>
      <c r="R18" s="27">
        <v>4.82</v>
      </c>
      <c r="S18" s="19">
        <v>636.71</v>
      </c>
      <c r="T18" s="5"/>
      <c r="U18" s="27">
        <v>4.81</v>
      </c>
      <c r="V18" s="19">
        <v>636.45</v>
      </c>
      <c r="W18" s="5"/>
      <c r="X18" s="27">
        <v>4.72</v>
      </c>
      <c r="Y18" s="19">
        <v>625.36</v>
      </c>
      <c r="Z18" s="5"/>
      <c r="AA18" s="27">
        <v>4.75</v>
      </c>
      <c r="AB18" s="19">
        <v>628.64</v>
      </c>
      <c r="AC18" s="5"/>
      <c r="AD18" s="27">
        <v>4.81</v>
      </c>
      <c r="AE18" s="19">
        <v>634.37</v>
      </c>
      <c r="AF18" s="5"/>
      <c r="AG18" s="27">
        <v>4.79</v>
      </c>
      <c r="AH18" s="19">
        <v>630.68</v>
      </c>
      <c r="AI18" s="5"/>
      <c r="AJ18" s="27">
        <v>4.78</v>
      </c>
      <c r="AK18" s="19">
        <v>629.36</v>
      </c>
      <c r="AL18" s="5"/>
      <c r="AM18" s="27">
        <v>4.83</v>
      </c>
      <c r="AN18" s="19">
        <v>634.19</v>
      </c>
      <c r="AO18" s="5"/>
      <c r="AP18" s="27">
        <v>4.85</v>
      </c>
      <c r="AQ18" s="19">
        <v>634.63</v>
      </c>
      <c r="AR18" s="5"/>
      <c r="AS18" s="27">
        <v>4.77</v>
      </c>
      <c r="AT18" s="19">
        <v>620.42</v>
      </c>
      <c r="AU18" s="5"/>
      <c r="AV18" s="27">
        <v>4.9</v>
      </c>
      <c r="AW18" s="19">
        <v>634.76</v>
      </c>
      <c r="AX18" s="5"/>
      <c r="AY18" s="27">
        <v>4.8</v>
      </c>
      <c r="AZ18" s="19">
        <v>622.86</v>
      </c>
      <c r="BA18" s="5"/>
      <c r="BB18" s="27">
        <v>4.84</v>
      </c>
      <c r="BC18" s="19">
        <v>627.16</v>
      </c>
      <c r="BD18" s="5"/>
      <c r="BE18" s="27">
        <v>4.77</v>
      </c>
      <c r="BF18" s="19">
        <v>623.26</v>
      </c>
      <c r="BG18" s="5"/>
      <c r="BH18" s="27">
        <v>4.87</v>
      </c>
      <c r="BI18" s="19">
        <v>635.58</v>
      </c>
      <c r="BJ18" s="5"/>
      <c r="BK18" s="27">
        <f t="shared" si="0"/>
        <v>4.813000000000001</v>
      </c>
      <c r="BL18" s="19">
        <f t="shared" si="1"/>
        <v>633.679</v>
      </c>
      <c r="BM18" s="5"/>
    </row>
    <row r="19" spans="1:65" ht="15.75" customHeight="1">
      <c r="A19" s="16">
        <v>7</v>
      </c>
      <c r="B19" s="17" t="s">
        <v>20</v>
      </c>
      <c r="C19" s="27">
        <f>1/0.5727</f>
        <v>1.7461148943600489</v>
      </c>
      <c r="D19" s="19">
        <v>76.58</v>
      </c>
      <c r="E19" s="5"/>
      <c r="F19" s="27">
        <f>1/0.5751</f>
        <v>1.7388280299078422</v>
      </c>
      <c r="G19" s="19">
        <v>76.95</v>
      </c>
      <c r="H19" s="5"/>
      <c r="I19" s="27">
        <f>1/0.5725</f>
        <v>1.7467248908296944</v>
      </c>
      <c r="J19" s="19">
        <v>76.57</v>
      </c>
      <c r="K19" s="5"/>
      <c r="L19" s="27">
        <f>1/0.5781</f>
        <v>1.7298045320878743</v>
      </c>
      <c r="M19" s="19">
        <v>76.73</v>
      </c>
      <c r="N19" s="5"/>
      <c r="O19" s="27">
        <f>1/0.5784</f>
        <v>1.7289073305670815</v>
      </c>
      <c r="P19" s="19">
        <v>76.63</v>
      </c>
      <c r="Q19" s="5"/>
      <c r="R19" s="27">
        <f>1/0.5815</f>
        <v>1.7196904557179706</v>
      </c>
      <c r="S19" s="19">
        <v>76.81</v>
      </c>
      <c r="T19" s="5"/>
      <c r="U19" s="27">
        <f>1/0.5846</f>
        <v>1.7105713308244954</v>
      </c>
      <c r="V19" s="19">
        <v>77.35</v>
      </c>
      <c r="W19" s="5"/>
      <c r="X19" s="27">
        <f>1/0.5839</f>
        <v>1.7126220243192327</v>
      </c>
      <c r="Y19" s="19">
        <v>77.36</v>
      </c>
      <c r="Z19" s="5"/>
      <c r="AA19" s="27">
        <f>1/0.5853</f>
        <v>1.7085255424568595</v>
      </c>
      <c r="AB19" s="19">
        <v>77.46</v>
      </c>
      <c r="AC19" s="5"/>
      <c r="AD19" s="27">
        <f>1/0.591</f>
        <v>1.6920473773265652</v>
      </c>
      <c r="AE19" s="19">
        <v>77.94</v>
      </c>
      <c r="AF19" s="5"/>
      <c r="AG19" s="27">
        <f>1/0.5896</f>
        <v>1.6960651289009498</v>
      </c>
      <c r="AH19" s="19">
        <v>77.63</v>
      </c>
      <c r="AI19" s="5"/>
      <c r="AJ19" s="27">
        <f>1/0.588</f>
        <v>1.7006802721088436</v>
      </c>
      <c r="AK19" s="19">
        <v>77.42</v>
      </c>
      <c r="AL19" s="5"/>
      <c r="AM19" s="27">
        <f>1/0.5866</f>
        <v>1.7047391749062393</v>
      </c>
      <c r="AN19" s="19">
        <v>77.02</v>
      </c>
      <c r="AO19" s="5"/>
      <c r="AP19" s="27">
        <f>1/0.5906</f>
        <v>1.6931933626820181</v>
      </c>
      <c r="AQ19" s="19">
        <v>77.28</v>
      </c>
      <c r="AR19" s="5"/>
      <c r="AS19" s="27">
        <f>1/0.5919</f>
        <v>1.6894745734076704</v>
      </c>
      <c r="AT19" s="19">
        <v>76.99</v>
      </c>
      <c r="AU19" s="5"/>
      <c r="AV19" s="27">
        <f>1/0.5922</f>
        <v>1.6886187098953058</v>
      </c>
      <c r="AW19" s="19">
        <v>76.72</v>
      </c>
      <c r="AX19" s="5"/>
      <c r="AY19" s="27">
        <f>1/0.5874</f>
        <v>1.7024174327545114</v>
      </c>
      <c r="AZ19" s="19">
        <v>76.22</v>
      </c>
      <c r="BA19" s="5"/>
      <c r="BB19" s="27">
        <f>1/0.59</f>
        <v>1.6949152542372883</v>
      </c>
      <c r="BC19" s="19">
        <v>76.45</v>
      </c>
      <c r="BD19" s="5"/>
      <c r="BE19" s="27">
        <f>1/0.5869</f>
        <v>1.7038677798602828</v>
      </c>
      <c r="BF19" s="19">
        <v>76.69</v>
      </c>
      <c r="BG19" s="5"/>
      <c r="BH19" s="27">
        <f>1/0.5886</f>
        <v>1.6989466530750934</v>
      </c>
      <c r="BI19" s="19">
        <v>76.82</v>
      </c>
      <c r="BJ19" s="5"/>
      <c r="BK19" s="27">
        <f t="shared" si="0"/>
        <v>1.7103377375112931</v>
      </c>
      <c r="BL19" s="19">
        <f t="shared" si="1"/>
        <v>76.98100000000001</v>
      </c>
      <c r="BM19" s="18"/>
    </row>
    <row r="20" spans="1:65" ht="15.75" customHeight="1">
      <c r="A20" s="16">
        <v>8</v>
      </c>
      <c r="B20" s="17" t="s">
        <v>21</v>
      </c>
      <c r="C20" s="27">
        <v>1.5617</v>
      </c>
      <c r="D20" s="19">
        <v>85.63</v>
      </c>
      <c r="E20" s="5"/>
      <c r="F20" s="27">
        <v>1.5605</v>
      </c>
      <c r="G20" s="19">
        <v>85.74</v>
      </c>
      <c r="H20" s="5"/>
      <c r="I20" s="27">
        <v>1.562</v>
      </c>
      <c r="J20" s="19">
        <v>85.63</v>
      </c>
      <c r="K20" s="5"/>
      <c r="L20" s="27">
        <v>1.5592</v>
      </c>
      <c r="M20" s="19">
        <v>85.12</v>
      </c>
      <c r="N20" s="5"/>
      <c r="O20" s="27">
        <v>1.5506</v>
      </c>
      <c r="P20" s="19">
        <v>85.45</v>
      </c>
      <c r="Q20" s="5"/>
      <c r="R20" s="27">
        <v>1.5422</v>
      </c>
      <c r="S20" s="19">
        <v>85.66</v>
      </c>
      <c r="T20" s="5"/>
      <c r="U20" s="27">
        <v>1.5398</v>
      </c>
      <c r="V20" s="19">
        <v>85.93</v>
      </c>
      <c r="W20" s="5"/>
      <c r="X20" s="27">
        <v>1.5421</v>
      </c>
      <c r="Y20" s="19">
        <v>85.92</v>
      </c>
      <c r="Z20" s="5"/>
      <c r="AA20" s="27">
        <v>1.5348</v>
      </c>
      <c r="AB20" s="19">
        <v>86.23</v>
      </c>
      <c r="AC20" s="5"/>
      <c r="AD20" s="27">
        <v>1.5305</v>
      </c>
      <c r="AE20" s="19">
        <v>86.17</v>
      </c>
      <c r="AF20" s="5"/>
      <c r="AG20" s="27">
        <v>1.5352</v>
      </c>
      <c r="AH20" s="19">
        <v>85.77</v>
      </c>
      <c r="AI20" s="5"/>
      <c r="AJ20" s="27">
        <v>1.5362</v>
      </c>
      <c r="AK20" s="19">
        <v>85.71</v>
      </c>
      <c r="AL20" s="5"/>
      <c r="AM20" s="27">
        <v>1.5309</v>
      </c>
      <c r="AN20" s="19">
        <v>85.77</v>
      </c>
      <c r="AO20" s="5"/>
      <c r="AP20" s="27">
        <v>1.5263</v>
      </c>
      <c r="AQ20" s="19">
        <v>85.73</v>
      </c>
      <c r="AR20" s="5"/>
      <c r="AS20" s="27">
        <v>1.5237</v>
      </c>
      <c r="AT20" s="19">
        <v>85.36</v>
      </c>
      <c r="AU20" s="5"/>
      <c r="AV20" s="27">
        <v>1.5187</v>
      </c>
      <c r="AW20" s="19">
        <v>85.3</v>
      </c>
      <c r="AX20" s="5"/>
      <c r="AY20" s="27">
        <v>1.5288</v>
      </c>
      <c r="AZ20" s="19">
        <v>84.88</v>
      </c>
      <c r="BA20" s="5"/>
      <c r="BB20" s="27">
        <v>1.5235</v>
      </c>
      <c r="BC20" s="19">
        <v>85.05</v>
      </c>
      <c r="BD20" s="5"/>
      <c r="BE20" s="27">
        <v>1.5272</v>
      </c>
      <c r="BF20" s="19">
        <v>85.56</v>
      </c>
      <c r="BG20" s="5"/>
      <c r="BH20" s="27">
        <v>1.5283</v>
      </c>
      <c r="BI20" s="19">
        <v>85.39</v>
      </c>
      <c r="BJ20" s="5"/>
      <c r="BK20" s="27">
        <f t="shared" si="0"/>
        <v>1.53811</v>
      </c>
      <c r="BL20" s="19">
        <f t="shared" si="1"/>
        <v>85.6</v>
      </c>
      <c r="BM20" s="5"/>
    </row>
    <row r="21" spans="1:65" ht="15.75" customHeight="1">
      <c r="A21" s="16">
        <v>9</v>
      </c>
      <c r="B21" s="17" t="s">
        <v>22</v>
      </c>
      <c r="C21" s="27">
        <v>8.6635</v>
      </c>
      <c r="D21" s="19">
        <v>15.44</v>
      </c>
      <c r="E21" s="5"/>
      <c r="F21" s="27">
        <v>8.7273</v>
      </c>
      <c r="G21" s="19">
        <v>15.33</v>
      </c>
      <c r="H21" s="5"/>
      <c r="I21" s="27">
        <v>8.706</v>
      </c>
      <c r="J21" s="19">
        <v>15.36</v>
      </c>
      <c r="K21" s="5"/>
      <c r="L21" s="27">
        <v>8.658</v>
      </c>
      <c r="M21" s="19">
        <v>15.33</v>
      </c>
      <c r="N21" s="5"/>
      <c r="O21" s="27">
        <v>8.6955</v>
      </c>
      <c r="P21" s="19">
        <v>15.24</v>
      </c>
      <c r="Q21" s="5"/>
      <c r="R21" s="27">
        <v>8.6895</v>
      </c>
      <c r="S21" s="19">
        <v>15.2</v>
      </c>
      <c r="T21" s="5"/>
      <c r="U21" s="27">
        <v>8.6589</v>
      </c>
      <c r="V21" s="19">
        <v>15.28</v>
      </c>
      <c r="W21" s="5"/>
      <c r="X21" s="27">
        <v>8.7135</v>
      </c>
      <c r="Y21" s="19">
        <v>15.21</v>
      </c>
      <c r="Z21" s="5"/>
      <c r="AA21" s="27">
        <v>8.691</v>
      </c>
      <c r="AB21" s="19">
        <v>15.23</v>
      </c>
      <c r="AC21" s="5"/>
      <c r="AD21" s="27">
        <v>8.6024</v>
      </c>
      <c r="AE21" s="19">
        <v>15.33</v>
      </c>
      <c r="AF21" s="5"/>
      <c r="AG21" s="27">
        <v>8.6344</v>
      </c>
      <c r="AH21" s="19">
        <v>15.25</v>
      </c>
      <c r="AI21" s="5"/>
      <c r="AJ21" s="27">
        <v>8.626</v>
      </c>
      <c r="AK21" s="19">
        <v>15.26</v>
      </c>
      <c r="AL21" s="5"/>
      <c r="AM21" s="27">
        <v>8.6417</v>
      </c>
      <c r="AN21" s="19">
        <v>15.19</v>
      </c>
      <c r="AO21" s="5"/>
      <c r="AP21" s="27">
        <v>8.589</v>
      </c>
      <c r="AQ21" s="19">
        <v>15.23</v>
      </c>
      <c r="AR21" s="5"/>
      <c r="AS21" s="27">
        <v>8.5762</v>
      </c>
      <c r="AT21" s="19">
        <v>15.17</v>
      </c>
      <c r="AU21" s="5"/>
      <c r="AV21" s="27">
        <v>8.512</v>
      </c>
      <c r="AW21" s="19">
        <v>15.22</v>
      </c>
      <c r="AX21" s="5"/>
      <c r="AY21" s="27">
        <v>8.5312</v>
      </c>
      <c r="AZ21" s="19">
        <v>15.21</v>
      </c>
      <c r="BA21" s="5"/>
      <c r="BB21" s="27">
        <v>8.4861</v>
      </c>
      <c r="BC21" s="19">
        <v>15.27</v>
      </c>
      <c r="BD21" s="5"/>
      <c r="BE21" s="27">
        <v>8.5433</v>
      </c>
      <c r="BF21" s="19">
        <v>15.29</v>
      </c>
      <c r="BG21" s="5"/>
      <c r="BH21" s="27">
        <v>8.5225</v>
      </c>
      <c r="BI21" s="19">
        <v>15.31</v>
      </c>
      <c r="BJ21" s="5"/>
      <c r="BK21" s="27">
        <f t="shared" si="0"/>
        <v>8.6234</v>
      </c>
      <c r="BL21" s="19">
        <f t="shared" si="1"/>
        <v>15.267499999999998</v>
      </c>
      <c r="BM21" s="5"/>
    </row>
    <row r="22" spans="1:65" ht="15.75" customHeight="1">
      <c r="A22" s="16">
        <v>10</v>
      </c>
      <c r="B22" s="17" t="s">
        <v>23</v>
      </c>
      <c r="C22" s="27">
        <v>6.9153</v>
      </c>
      <c r="D22" s="19">
        <v>19.34</v>
      </c>
      <c r="E22" s="5"/>
      <c r="F22" s="27">
        <v>6.9521</v>
      </c>
      <c r="G22" s="19">
        <v>19.25</v>
      </c>
      <c r="H22" s="5"/>
      <c r="I22" s="27">
        <v>6.9396</v>
      </c>
      <c r="J22" s="19">
        <v>19.27</v>
      </c>
      <c r="K22" s="5"/>
      <c r="L22" s="27">
        <v>6.8805</v>
      </c>
      <c r="M22" s="19">
        <v>19.29</v>
      </c>
      <c r="N22" s="5"/>
      <c r="O22" s="27">
        <v>6.8935</v>
      </c>
      <c r="P22" s="19">
        <v>19.22</v>
      </c>
      <c r="Q22" s="5"/>
      <c r="R22" s="27">
        <v>6.9102</v>
      </c>
      <c r="S22" s="19">
        <v>19.12</v>
      </c>
      <c r="T22" s="5"/>
      <c r="U22" s="27">
        <v>6.9299</v>
      </c>
      <c r="V22" s="19">
        <v>19.09</v>
      </c>
      <c r="W22" s="5"/>
      <c r="X22" s="27">
        <v>6.9501</v>
      </c>
      <c r="Y22" s="19">
        <v>19.06</v>
      </c>
      <c r="Z22" s="5"/>
      <c r="AA22" s="27">
        <v>6.8829</v>
      </c>
      <c r="AB22" s="19">
        <v>19.23</v>
      </c>
      <c r="AC22" s="5"/>
      <c r="AD22" s="27">
        <v>6.8265</v>
      </c>
      <c r="AE22" s="19">
        <v>19.32</v>
      </c>
      <c r="AF22" s="5"/>
      <c r="AG22" s="27">
        <v>6.8688</v>
      </c>
      <c r="AH22" s="19">
        <v>19.17</v>
      </c>
      <c r="AI22" s="5"/>
      <c r="AJ22" s="27">
        <v>6.8877</v>
      </c>
      <c r="AK22" s="19">
        <v>19.12</v>
      </c>
      <c r="AL22" s="5"/>
      <c r="AM22" s="27">
        <v>6.9186</v>
      </c>
      <c r="AN22" s="19">
        <v>18.98</v>
      </c>
      <c r="AO22" s="5"/>
      <c r="AP22" s="27">
        <v>6.8793</v>
      </c>
      <c r="AQ22" s="19">
        <v>19.02</v>
      </c>
      <c r="AR22" s="5"/>
      <c r="AS22" s="27">
        <v>6.918</v>
      </c>
      <c r="AT22" s="19">
        <v>18.8</v>
      </c>
      <c r="AU22" s="5"/>
      <c r="AV22" s="27">
        <v>6.8471</v>
      </c>
      <c r="AW22" s="19">
        <v>18.92</v>
      </c>
      <c r="AX22" s="5"/>
      <c r="AY22" s="27">
        <v>6.912</v>
      </c>
      <c r="AZ22" s="19">
        <v>18.77</v>
      </c>
      <c r="BA22" s="5"/>
      <c r="BB22" s="27">
        <v>6.8694</v>
      </c>
      <c r="BC22" s="19">
        <v>18.86</v>
      </c>
      <c r="BD22" s="5"/>
      <c r="BE22" s="27">
        <v>6.8905</v>
      </c>
      <c r="BF22" s="19">
        <v>18.96</v>
      </c>
      <c r="BG22" s="5"/>
      <c r="BH22" s="27">
        <v>6.8871</v>
      </c>
      <c r="BI22" s="19">
        <v>18.95</v>
      </c>
      <c r="BJ22" s="5"/>
      <c r="BK22" s="27">
        <f t="shared" si="0"/>
        <v>6.8979550000000005</v>
      </c>
      <c r="BL22" s="19">
        <f t="shared" si="1"/>
        <v>19.087</v>
      </c>
      <c r="BM22" s="5"/>
    </row>
    <row r="23" spans="1:65" ht="15.75" customHeight="1">
      <c r="A23" s="16">
        <v>11</v>
      </c>
      <c r="B23" s="17" t="s">
        <v>24</v>
      </c>
      <c r="C23" s="27">
        <v>7.0901</v>
      </c>
      <c r="D23" s="19">
        <v>18.86</v>
      </c>
      <c r="E23" s="5"/>
      <c r="F23" s="27">
        <v>7.1347</v>
      </c>
      <c r="G23" s="19">
        <v>18.75</v>
      </c>
      <c r="H23" s="5"/>
      <c r="I23" s="27">
        <v>7.137</v>
      </c>
      <c r="J23" s="19">
        <v>18.74</v>
      </c>
      <c r="K23" s="5"/>
      <c r="L23" s="27">
        <v>7.07</v>
      </c>
      <c r="M23" s="19">
        <v>18.77</v>
      </c>
      <c r="N23" s="5"/>
      <c r="O23" s="27">
        <v>7.068</v>
      </c>
      <c r="P23" s="19">
        <v>18.75</v>
      </c>
      <c r="Q23" s="5"/>
      <c r="R23" s="27">
        <v>7.05</v>
      </c>
      <c r="S23" s="19">
        <v>18.74</v>
      </c>
      <c r="T23" s="5"/>
      <c r="U23" s="27">
        <v>7.018</v>
      </c>
      <c r="V23" s="19">
        <v>18.85</v>
      </c>
      <c r="W23" s="5"/>
      <c r="X23" s="27">
        <v>7.0624</v>
      </c>
      <c r="Y23" s="19">
        <v>18.76</v>
      </c>
      <c r="Z23" s="5"/>
      <c r="AA23" s="27">
        <v>7.0306</v>
      </c>
      <c r="AB23" s="19">
        <v>18.82</v>
      </c>
      <c r="AC23" s="5"/>
      <c r="AD23" s="27">
        <v>6.976</v>
      </c>
      <c r="AE23" s="19">
        <v>18.91</v>
      </c>
      <c r="AF23" s="5"/>
      <c r="AG23" s="27">
        <v>6.9765</v>
      </c>
      <c r="AH23" s="19">
        <v>18.87</v>
      </c>
      <c r="AI23" s="5"/>
      <c r="AJ23" s="27">
        <v>6.9838</v>
      </c>
      <c r="AK23" s="19">
        <v>18.85</v>
      </c>
      <c r="AL23" s="5"/>
      <c r="AM23" s="27">
        <v>6.9472</v>
      </c>
      <c r="AN23" s="19">
        <v>18.9</v>
      </c>
      <c r="AO23" s="5"/>
      <c r="AP23" s="27">
        <v>6.9156</v>
      </c>
      <c r="AQ23" s="19">
        <v>18.92</v>
      </c>
      <c r="AR23" s="5"/>
      <c r="AS23" s="27">
        <v>6.906</v>
      </c>
      <c r="AT23" s="19">
        <v>18.83</v>
      </c>
      <c r="AU23" s="5"/>
      <c r="AV23" s="27">
        <v>6.8385</v>
      </c>
      <c r="AW23" s="19">
        <v>18.94</v>
      </c>
      <c r="AX23" s="5"/>
      <c r="AY23" s="27">
        <v>6.8813</v>
      </c>
      <c r="AZ23" s="19">
        <v>18.86</v>
      </c>
      <c r="BA23" s="5"/>
      <c r="BB23" s="27">
        <v>6.835</v>
      </c>
      <c r="BC23" s="19">
        <v>18.96</v>
      </c>
      <c r="BD23" s="5"/>
      <c r="BE23" s="27">
        <v>6.909</v>
      </c>
      <c r="BF23" s="19">
        <v>18.91</v>
      </c>
      <c r="BG23" s="5"/>
      <c r="BH23" s="27">
        <v>6.8745</v>
      </c>
      <c r="BI23" s="19">
        <v>18.98</v>
      </c>
      <c r="BJ23" s="5"/>
      <c r="BK23" s="27">
        <f t="shared" si="0"/>
        <v>6.98521</v>
      </c>
      <c r="BL23" s="19">
        <f t="shared" si="1"/>
        <v>18.848499999999998</v>
      </c>
      <c r="BM23" s="5"/>
    </row>
    <row r="24" spans="1:65" ht="15.75" customHeight="1">
      <c r="A24" s="16">
        <v>12</v>
      </c>
      <c r="B24" s="17" t="s">
        <v>25</v>
      </c>
      <c r="C24" s="27">
        <f>1/1.3511</f>
        <v>0.7401376656058027</v>
      </c>
      <c r="D24" s="19">
        <v>180.68</v>
      </c>
      <c r="E24" s="5"/>
      <c r="F24" s="27">
        <f>1/1.35928</f>
        <v>0.7356835971985168</v>
      </c>
      <c r="G24" s="19">
        <v>181.87</v>
      </c>
      <c r="H24" s="5"/>
      <c r="I24" s="27">
        <f>1/1.35318</f>
        <v>0.7389999852200003</v>
      </c>
      <c r="J24" s="19">
        <v>180.99</v>
      </c>
      <c r="K24" s="5"/>
      <c r="L24" s="27">
        <f>1/1.35259</f>
        <v>0.7393223371457722</v>
      </c>
      <c r="M24" s="19">
        <v>179.53</v>
      </c>
      <c r="N24" s="5"/>
      <c r="O24" s="27">
        <f>1/1.35957</f>
        <v>0.7355266738748281</v>
      </c>
      <c r="P24" s="19">
        <v>180.13</v>
      </c>
      <c r="Q24" s="5"/>
      <c r="R24" s="27">
        <f>1/1.35884</f>
        <v>0.7359218156663035</v>
      </c>
      <c r="S24" s="19">
        <v>179.5</v>
      </c>
      <c r="T24" s="5"/>
      <c r="U24" s="27">
        <f>1/1.36025</f>
        <v>0.7351589781290204</v>
      </c>
      <c r="V24" s="19">
        <v>179.99</v>
      </c>
      <c r="W24" s="5"/>
      <c r="X24" s="27">
        <f>1/1.36306</f>
        <v>0.7336434199521665</v>
      </c>
      <c r="Y24" s="19">
        <v>180.59</v>
      </c>
      <c r="Z24" s="5"/>
      <c r="AA24" s="27">
        <f>1/1.36035</f>
        <v>0.7351049362296468</v>
      </c>
      <c r="AB24" s="19">
        <v>180.04</v>
      </c>
      <c r="AC24" s="5"/>
      <c r="AD24" s="27">
        <f>1/1.36303</f>
        <v>0.7336595672875872</v>
      </c>
      <c r="AE24" s="19">
        <v>179.76</v>
      </c>
      <c r="AF24" s="5"/>
      <c r="AG24" s="27">
        <f>1/1.36791</f>
        <v>0.7310422469314501</v>
      </c>
      <c r="AH24" s="19">
        <v>180.11</v>
      </c>
      <c r="AI24" s="5"/>
      <c r="AJ24" s="27">
        <f>1/1.36791</f>
        <v>0.7310422469314501</v>
      </c>
      <c r="AK24" s="19">
        <v>180.11</v>
      </c>
      <c r="AL24" s="5"/>
      <c r="AM24" s="27">
        <f>1/1.36525</f>
        <v>0.7324665812122322</v>
      </c>
      <c r="AN24" s="19">
        <v>179.26</v>
      </c>
      <c r="AO24" s="5"/>
      <c r="AP24" s="27">
        <f>1/1.3691</f>
        <v>0.7304068366079907</v>
      </c>
      <c r="AQ24" s="19">
        <v>179.15</v>
      </c>
      <c r="AR24" s="5"/>
      <c r="AS24" s="27">
        <f>1/1.37234</f>
        <v>0.7286823964906657</v>
      </c>
      <c r="AT24" s="19">
        <v>178.5</v>
      </c>
      <c r="AU24" s="5"/>
      <c r="AV24" s="27">
        <f>1/1.37433</f>
        <v>0.7276272802019893</v>
      </c>
      <c r="AW24" s="19">
        <v>178.04</v>
      </c>
      <c r="AX24" s="5"/>
      <c r="AY24" s="27">
        <f>1/1.38031</f>
        <v>0.7244749367895618</v>
      </c>
      <c r="AZ24" s="19">
        <v>179.11</v>
      </c>
      <c r="BA24" s="5"/>
      <c r="BB24" s="27">
        <f>1/1.37485</f>
        <v>0.7273520747717933</v>
      </c>
      <c r="BC24" s="19">
        <v>178.15</v>
      </c>
      <c r="BD24" s="5"/>
      <c r="BE24" s="27">
        <f>1/1.37954</f>
        <v>0.7248793075952854</v>
      </c>
      <c r="BF24" s="19">
        <v>180.25</v>
      </c>
      <c r="BG24" s="5"/>
      <c r="BH24" s="27">
        <f>1/1.37267</f>
        <v>0.7285072158639732</v>
      </c>
      <c r="BI24" s="19">
        <v>179.15</v>
      </c>
      <c r="BJ24" s="5"/>
      <c r="BK24" s="27">
        <f t="shared" si="0"/>
        <v>0.7324820049853018</v>
      </c>
      <c r="BL24" s="19">
        <f t="shared" si="1"/>
        <v>179.7455</v>
      </c>
      <c r="BM24" s="5"/>
    </row>
    <row r="25" spans="1:65" ht="15.75" customHeight="1" thickBot="1">
      <c r="A25" s="35">
        <v>13</v>
      </c>
      <c r="B25" s="36" t="s">
        <v>26</v>
      </c>
      <c r="C25" s="28">
        <v>1</v>
      </c>
      <c r="D25" s="22">
        <v>133.72</v>
      </c>
      <c r="E25" s="21"/>
      <c r="F25" s="28">
        <v>1</v>
      </c>
      <c r="G25" s="22">
        <v>133.8</v>
      </c>
      <c r="H25" s="21"/>
      <c r="I25" s="28">
        <v>1</v>
      </c>
      <c r="J25" s="22">
        <v>133.75</v>
      </c>
      <c r="K25" s="21"/>
      <c r="L25" s="28">
        <v>1</v>
      </c>
      <c r="M25" s="22">
        <v>132.73</v>
      </c>
      <c r="N25" s="21"/>
      <c r="O25" s="28">
        <v>1</v>
      </c>
      <c r="P25" s="22">
        <v>132.49</v>
      </c>
      <c r="Q25" s="21"/>
      <c r="R25" s="28">
        <v>1</v>
      </c>
      <c r="S25" s="22">
        <v>132.1</v>
      </c>
      <c r="T25" s="21"/>
      <c r="U25" s="28">
        <v>1</v>
      </c>
      <c r="V25" s="22">
        <v>132.32</v>
      </c>
      <c r="W25" s="21"/>
      <c r="X25" s="28">
        <v>1</v>
      </c>
      <c r="Y25" s="22">
        <v>132.49</v>
      </c>
      <c r="Z25" s="21"/>
      <c r="AA25" s="28">
        <v>1</v>
      </c>
      <c r="AB25" s="22">
        <v>132.35</v>
      </c>
      <c r="AC25" s="21"/>
      <c r="AD25" s="28">
        <v>1</v>
      </c>
      <c r="AE25" s="22">
        <v>131.89</v>
      </c>
      <c r="AF25" s="21"/>
      <c r="AG25" s="28">
        <v>1</v>
      </c>
      <c r="AH25" s="22">
        <v>131.67</v>
      </c>
      <c r="AI25" s="21"/>
      <c r="AJ25" s="28">
        <v>1</v>
      </c>
      <c r="AK25" s="22">
        <v>131.67</v>
      </c>
      <c r="AL25" s="21"/>
      <c r="AM25" s="28">
        <v>1</v>
      </c>
      <c r="AN25" s="22">
        <v>131.3</v>
      </c>
      <c r="AO25" s="21"/>
      <c r="AP25" s="28">
        <v>1</v>
      </c>
      <c r="AQ25" s="22">
        <v>130.85</v>
      </c>
      <c r="AR25" s="21"/>
      <c r="AS25" s="28">
        <v>1</v>
      </c>
      <c r="AT25" s="22">
        <v>130.07</v>
      </c>
      <c r="AU25" s="21"/>
      <c r="AV25" s="28">
        <v>1</v>
      </c>
      <c r="AW25" s="22">
        <v>129.54</v>
      </c>
      <c r="AX25" s="21"/>
      <c r="AY25" s="28">
        <v>1</v>
      </c>
      <c r="AZ25" s="22">
        <v>129.76</v>
      </c>
      <c r="BA25" s="21"/>
      <c r="BB25" s="28">
        <v>1</v>
      </c>
      <c r="BC25" s="22">
        <v>129.58</v>
      </c>
      <c r="BD25" s="21"/>
      <c r="BE25" s="28">
        <v>1</v>
      </c>
      <c r="BF25" s="22">
        <v>130.66</v>
      </c>
      <c r="BG25" s="21"/>
      <c r="BH25" s="28">
        <v>1</v>
      </c>
      <c r="BI25" s="22">
        <v>130.51</v>
      </c>
      <c r="BJ25" s="21"/>
      <c r="BK25" s="28">
        <f t="shared" si="0"/>
        <v>1</v>
      </c>
      <c r="BL25" s="22">
        <f t="shared" si="1"/>
        <v>131.6625</v>
      </c>
      <c r="BM25" s="21"/>
    </row>
    <row r="26" spans="1:65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8" r:id="rId1"/>
  <headerFooter alignWithMargins="0">
    <oddHeader>&amp;L&amp;"Helv,Bold"&amp;12Departamenti i Teknologjise &amp; Informacionit
Sektori i Informacionit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5" sqref="C5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223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224</v>
      </c>
      <c r="D4" s="4"/>
      <c r="E4" s="10"/>
      <c r="F4" s="4" t="s">
        <v>225</v>
      </c>
      <c r="G4" s="4"/>
      <c r="H4" s="10"/>
      <c r="I4" s="4" t="s">
        <v>226</v>
      </c>
      <c r="J4" s="4"/>
      <c r="K4" s="10"/>
      <c r="L4" s="4" t="s">
        <v>227</v>
      </c>
      <c r="M4" s="4"/>
      <c r="N4" s="10"/>
      <c r="O4" s="4" t="s">
        <v>228</v>
      </c>
      <c r="P4" s="4"/>
      <c r="Q4" s="10"/>
      <c r="R4" s="4" t="s">
        <v>229</v>
      </c>
      <c r="S4" s="4"/>
      <c r="T4" s="10"/>
      <c r="U4" s="4" t="s">
        <v>230</v>
      </c>
      <c r="V4" s="4"/>
      <c r="W4" s="10"/>
      <c r="X4" s="4" t="s">
        <v>231</v>
      </c>
      <c r="Y4" s="4"/>
      <c r="Z4" s="10"/>
      <c r="AA4" s="4" t="s">
        <v>232</v>
      </c>
      <c r="AB4" s="4"/>
      <c r="AC4" s="10"/>
      <c r="AD4" s="4" t="s">
        <v>233</v>
      </c>
      <c r="AE4" s="4"/>
      <c r="AF4" s="10"/>
      <c r="AG4" s="4" t="s">
        <v>234</v>
      </c>
      <c r="AH4" s="4"/>
      <c r="AI4" s="10"/>
      <c r="AJ4" s="4" t="s">
        <v>235</v>
      </c>
      <c r="AK4" s="4"/>
      <c r="AL4" s="10"/>
      <c r="AM4" s="4" t="s">
        <v>236</v>
      </c>
      <c r="AN4" s="4"/>
      <c r="AO4" s="10"/>
      <c r="AP4" s="4" t="s">
        <v>237</v>
      </c>
      <c r="AQ4" s="4"/>
      <c r="AR4" s="10"/>
      <c r="AS4" s="4" t="s">
        <v>238</v>
      </c>
      <c r="AT4" s="4"/>
      <c r="AU4" s="10"/>
      <c r="AV4" s="4" t="s">
        <v>239</v>
      </c>
      <c r="AW4" s="4"/>
      <c r="AX4" s="26"/>
      <c r="AY4" s="4" t="s">
        <v>240</v>
      </c>
      <c r="AZ4" s="4"/>
      <c r="BA4" s="26"/>
      <c r="BB4" s="4" t="s">
        <v>241</v>
      </c>
      <c r="BC4" s="4"/>
      <c r="BD4" s="26"/>
      <c r="BE4" s="4" t="s">
        <v>242</v>
      </c>
      <c r="BF4" s="4"/>
      <c r="BG4" s="4"/>
      <c r="BH4" s="4" t="s">
        <v>243</v>
      </c>
      <c r="BI4" s="4"/>
      <c r="BJ4" s="4"/>
      <c r="BK4" s="4" t="s">
        <v>244</v>
      </c>
      <c r="BL4" s="4"/>
      <c r="BM4" s="4"/>
      <c r="BN4" s="4" t="s">
        <v>245</v>
      </c>
      <c r="BO4" s="4"/>
      <c r="BP4" s="4"/>
      <c r="BQ4" s="4" t="s">
        <v>3</v>
      </c>
      <c r="BR4" s="4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9"/>
      <c r="BT6" s="9"/>
      <c r="BU6" s="9"/>
    </row>
    <row r="7" spans="1:73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111.16</v>
      </c>
      <c r="D13" s="19">
        <v>106.06</v>
      </c>
      <c r="E13" s="5"/>
      <c r="F13" s="27">
        <v>110.96</v>
      </c>
      <c r="G13" s="19">
        <v>105.61</v>
      </c>
      <c r="H13" s="5"/>
      <c r="I13" s="27">
        <v>110.4</v>
      </c>
      <c r="J13" s="19">
        <v>106.08</v>
      </c>
      <c r="K13" s="5"/>
      <c r="L13" s="27">
        <v>110.95</v>
      </c>
      <c r="M13" s="19">
        <v>106.42</v>
      </c>
      <c r="N13" s="5"/>
      <c r="O13" s="27">
        <v>110.46</v>
      </c>
      <c r="P13" s="19">
        <v>105.83</v>
      </c>
      <c r="Q13" s="5"/>
      <c r="R13" s="27">
        <v>109.72</v>
      </c>
      <c r="S13" s="19">
        <v>106.04</v>
      </c>
      <c r="T13" s="5"/>
      <c r="U13" s="27">
        <v>109.01</v>
      </c>
      <c r="V13" s="19">
        <v>106.09</v>
      </c>
      <c r="W13" s="5"/>
      <c r="X13" s="27">
        <v>108.49</v>
      </c>
      <c r="Y13" s="19">
        <v>107.06</v>
      </c>
      <c r="Z13" s="5"/>
      <c r="AA13" s="27">
        <v>108.72</v>
      </c>
      <c r="AB13" s="19">
        <v>107.03</v>
      </c>
      <c r="AC13" s="5"/>
      <c r="AD13" s="27">
        <v>109.93</v>
      </c>
      <c r="AE13" s="19">
        <v>106.06</v>
      </c>
      <c r="AF13" s="5"/>
      <c r="AG13" s="27">
        <v>109.13</v>
      </c>
      <c r="AH13" s="19">
        <v>106.49</v>
      </c>
      <c r="AI13" s="5"/>
      <c r="AJ13" s="27">
        <v>109.77</v>
      </c>
      <c r="AK13" s="19">
        <v>106.3</v>
      </c>
      <c r="AL13" s="5"/>
      <c r="AM13" s="27">
        <v>109.71</v>
      </c>
      <c r="AN13" s="19">
        <v>106.53</v>
      </c>
      <c r="AO13" s="5"/>
      <c r="AP13" s="27">
        <v>109.96</v>
      </c>
      <c r="AQ13" s="19">
        <v>105.95</v>
      </c>
      <c r="AR13" s="5"/>
      <c r="AS13" s="27">
        <v>109.59</v>
      </c>
      <c r="AT13" s="19">
        <v>106.02</v>
      </c>
      <c r="AU13" s="5"/>
      <c r="AV13" s="27">
        <v>109.48</v>
      </c>
      <c r="AW13" s="19">
        <v>105.25</v>
      </c>
      <c r="AX13" s="5"/>
      <c r="AY13" s="27">
        <v>109.62</v>
      </c>
      <c r="AZ13" s="19">
        <v>105.15</v>
      </c>
      <c r="BA13" s="5"/>
      <c r="BB13" s="27">
        <v>108.42</v>
      </c>
      <c r="BC13" s="19">
        <v>106.49</v>
      </c>
      <c r="BD13" s="5"/>
      <c r="BE13" s="27">
        <v>108.45</v>
      </c>
      <c r="BF13" s="19">
        <v>106.5</v>
      </c>
      <c r="BG13" s="27"/>
      <c r="BH13" s="27">
        <v>107.89</v>
      </c>
      <c r="BI13" s="19">
        <v>107.07</v>
      </c>
      <c r="BJ13" s="27"/>
      <c r="BK13" s="27">
        <v>108.01</v>
      </c>
      <c r="BL13" s="19">
        <v>107.12</v>
      </c>
      <c r="BM13" s="19"/>
      <c r="BN13" s="27">
        <v>109.04</v>
      </c>
      <c r="BO13" s="19">
        <v>106.39</v>
      </c>
      <c r="BP13" s="19"/>
      <c r="BQ13" s="27">
        <f aca="true" t="shared" si="0" ref="BQ13:BR24">(+C13+F13+I13+L13+O13+R13+U13+X13+AA13+AD13+AG13+AJ13+AM13+AP13+AS13+AV13+AY13+BB13+BE13+BH13+BK13+BN13)/22</f>
        <v>109.4940909090909</v>
      </c>
      <c r="BR13" s="19">
        <f t="shared" si="0"/>
        <v>106.25181818181818</v>
      </c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1/1.6623</f>
        <v>0.601576129459183</v>
      </c>
      <c r="D14" s="19">
        <v>195.97</v>
      </c>
      <c r="E14" s="5"/>
      <c r="F14" s="27">
        <f>1/1.6655</f>
        <v>0.6004202942059441</v>
      </c>
      <c r="G14" s="19">
        <v>195.17</v>
      </c>
      <c r="H14" s="5"/>
      <c r="I14" s="27">
        <f>1/1.6685</f>
        <v>0.5993407252022774</v>
      </c>
      <c r="J14" s="19">
        <v>195.41</v>
      </c>
      <c r="K14" s="5"/>
      <c r="L14" s="27">
        <f>1/1.6641</f>
        <v>0.6009254251547383</v>
      </c>
      <c r="M14" s="19">
        <v>196.49</v>
      </c>
      <c r="N14" s="5"/>
      <c r="O14" s="27">
        <f>1/1.6754</f>
        <v>0.5968723886832995</v>
      </c>
      <c r="P14" s="19">
        <v>195.85</v>
      </c>
      <c r="Q14" s="5"/>
      <c r="R14" s="27">
        <f>1/1.6626</f>
        <v>0.6014675808973896</v>
      </c>
      <c r="S14" s="19">
        <v>193.43</v>
      </c>
      <c r="T14" s="5"/>
      <c r="U14" s="27">
        <f>1/1.6663</f>
        <v>0.6001320290463903</v>
      </c>
      <c r="V14" s="19">
        <v>192.71</v>
      </c>
      <c r="W14" s="5"/>
      <c r="X14" s="27">
        <f>1/1.6615</f>
        <v>0.6018657839301835</v>
      </c>
      <c r="Y14" s="19">
        <v>192.97</v>
      </c>
      <c r="Z14" s="5"/>
      <c r="AA14" s="27">
        <f>1/1.6569</f>
        <v>0.603536725209729</v>
      </c>
      <c r="AB14" s="19">
        <v>192.79</v>
      </c>
      <c r="AC14" s="5"/>
      <c r="AD14" s="27">
        <f>1/1.6592</f>
        <v>0.6027000964320154</v>
      </c>
      <c r="AE14" s="19">
        <v>193.44</v>
      </c>
      <c r="AF14" s="5"/>
      <c r="AG14" s="27">
        <f>1/1.6707</f>
        <v>0.5985515053570359</v>
      </c>
      <c r="AH14" s="19">
        <v>194.16</v>
      </c>
      <c r="AI14" s="5"/>
      <c r="AJ14" s="27">
        <f>1/1.6716</f>
        <v>0.5982292414453219</v>
      </c>
      <c r="AK14" s="19">
        <v>195.05</v>
      </c>
      <c r="AL14" s="5"/>
      <c r="AM14" s="27">
        <f>1/1.673</f>
        <v>0.5977286312014345</v>
      </c>
      <c r="AN14" s="19">
        <v>195.52</v>
      </c>
      <c r="AO14" s="5"/>
      <c r="AP14" s="27">
        <f>1/1.6738</f>
        <v>0.597442944198829</v>
      </c>
      <c r="AQ14" s="19">
        <v>195.01</v>
      </c>
      <c r="AR14" s="5"/>
      <c r="AS14" s="27">
        <f>1/1.6808</f>
        <v>0.5949547834364588</v>
      </c>
      <c r="AT14" s="19">
        <v>195.29</v>
      </c>
      <c r="AU14" s="5"/>
      <c r="AV14" s="27">
        <f>1/1.6934</f>
        <v>0.5905279319711823</v>
      </c>
      <c r="AW14" s="19">
        <v>195.13</v>
      </c>
      <c r="AX14" s="5"/>
      <c r="AY14" s="27">
        <f>1/1.696</f>
        <v>0.589622641509434</v>
      </c>
      <c r="AZ14" s="19">
        <v>195.49</v>
      </c>
      <c r="BA14" s="5"/>
      <c r="BB14" s="27">
        <f>1/1.6965</f>
        <v>0.5894488653109343</v>
      </c>
      <c r="BC14" s="19">
        <v>195.88</v>
      </c>
      <c r="BD14" s="5"/>
      <c r="BE14" s="27">
        <f>1/1.6935</f>
        <v>0.5904930617065249</v>
      </c>
      <c r="BF14" s="19">
        <v>195.59</v>
      </c>
      <c r="BG14" s="27"/>
      <c r="BH14" s="27">
        <f>1/1.7072</f>
        <v>0.5857544517338331</v>
      </c>
      <c r="BI14" s="19">
        <v>197.21</v>
      </c>
      <c r="BJ14" s="27"/>
      <c r="BK14" s="27">
        <f>1/1.701</f>
        <v>0.5878894767783657</v>
      </c>
      <c r="BL14" s="19">
        <v>196.8</v>
      </c>
      <c r="BM14" s="19"/>
      <c r="BN14" s="27">
        <f>1/1.6925</f>
        <v>0.5908419497784343</v>
      </c>
      <c r="BO14" s="19">
        <v>196.34</v>
      </c>
      <c r="BP14" s="19"/>
      <c r="BQ14" s="27">
        <f t="shared" si="0"/>
        <v>0.5963783028476791</v>
      </c>
      <c r="BR14" s="19">
        <f t="shared" si="0"/>
        <v>195.07727272727277</v>
      </c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1.3191</v>
      </c>
      <c r="D15" s="19">
        <v>89.37</v>
      </c>
      <c r="E15" s="5"/>
      <c r="F15" s="27">
        <v>1.3182</v>
      </c>
      <c r="G15" s="19">
        <v>88.9</v>
      </c>
      <c r="H15" s="5"/>
      <c r="I15" s="27">
        <v>1.3189</v>
      </c>
      <c r="J15" s="19">
        <v>88.8</v>
      </c>
      <c r="K15" s="5"/>
      <c r="L15" s="27">
        <v>1.3348</v>
      </c>
      <c r="M15" s="19">
        <v>88.46</v>
      </c>
      <c r="N15" s="5"/>
      <c r="O15" s="27">
        <v>1.314</v>
      </c>
      <c r="P15" s="19">
        <v>88.96</v>
      </c>
      <c r="Q15" s="5"/>
      <c r="R15" s="27">
        <v>1.3126</v>
      </c>
      <c r="S15" s="19">
        <v>88.63</v>
      </c>
      <c r="T15" s="5"/>
      <c r="U15" s="27">
        <v>1.3079</v>
      </c>
      <c r="V15" s="19">
        <v>88.43</v>
      </c>
      <c r="W15" s="5"/>
      <c r="X15" s="27">
        <v>1.318</v>
      </c>
      <c r="Y15" s="19">
        <v>88.12</v>
      </c>
      <c r="Z15" s="5"/>
      <c r="AA15" s="27">
        <v>1.3265</v>
      </c>
      <c r="AB15" s="19">
        <v>87.72</v>
      </c>
      <c r="AC15" s="5"/>
      <c r="AD15" s="27">
        <v>1.3284</v>
      </c>
      <c r="AE15" s="19">
        <v>87.77</v>
      </c>
      <c r="AF15" s="5"/>
      <c r="AG15" s="27">
        <v>1.3217</v>
      </c>
      <c r="AH15" s="19">
        <v>87.93</v>
      </c>
      <c r="AI15" s="5"/>
      <c r="AJ15" s="27">
        <v>1.3321</v>
      </c>
      <c r="AK15" s="19">
        <v>87.59</v>
      </c>
      <c r="AL15" s="5"/>
      <c r="AM15" s="27">
        <v>1.335</v>
      </c>
      <c r="AN15" s="19">
        <v>87.54</v>
      </c>
      <c r="AO15" s="5"/>
      <c r="AP15" s="27">
        <v>1.3331</v>
      </c>
      <c r="AQ15" s="19">
        <v>87.39</v>
      </c>
      <c r="AR15" s="5"/>
      <c r="AS15" s="27">
        <v>1.3289</v>
      </c>
      <c r="AT15" s="19">
        <v>87.43</v>
      </c>
      <c r="AU15" s="5"/>
      <c r="AV15" s="27">
        <v>1.3094</v>
      </c>
      <c r="AW15" s="19">
        <v>88</v>
      </c>
      <c r="AX15" s="5"/>
      <c r="AY15" s="27">
        <v>1.3134</v>
      </c>
      <c r="AZ15" s="19">
        <v>87.76</v>
      </c>
      <c r="BA15" s="5"/>
      <c r="BB15" s="27">
        <v>1.3145</v>
      </c>
      <c r="BC15" s="19">
        <v>87.84</v>
      </c>
      <c r="BD15" s="5"/>
      <c r="BE15" s="27">
        <v>1.32</v>
      </c>
      <c r="BF15" s="19">
        <v>87.5</v>
      </c>
      <c r="BG15" s="27"/>
      <c r="BH15" s="27">
        <v>1.3247</v>
      </c>
      <c r="BI15" s="19">
        <v>87.2</v>
      </c>
      <c r="BJ15" s="27"/>
      <c r="BK15" s="27">
        <v>1.3275</v>
      </c>
      <c r="BL15" s="19">
        <v>87.15</v>
      </c>
      <c r="BM15" s="19"/>
      <c r="BN15" s="27">
        <v>1.3321</v>
      </c>
      <c r="BO15" s="19">
        <v>87.08</v>
      </c>
      <c r="BP15" s="19"/>
      <c r="BQ15" s="27">
        <f t="shared" si="0"/>
        <v>1.3223090909090909</v>
      </c>
      <c r="BR15" s="19">
        <f t="shared" si="0"/>
        <v>87.98045454545455</v>
      </c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1/1.1674</f>
        <v>0.8566044200788077</v>
      </c>
      <c r="D16" s="19">
        <v>137.63</v>
      </c>
      <c r="E16" s="5"/>
      <c r="F16" s="27">
        <f>1/1.1698</f>
        <v>0.8548469823901522</v>
      </c>
      <c r="G16" s="19">
        <v>137.08</v>
      </c>
      <c r="H16" s="5"/>
      <c r="I16" s="27">
        <f>1/1.1705</f>
        <v>0.8543357539513028</v>
      </c>
      <c r="J16" s="19">
        <v>137.08</v>
      </c>
      <c r="K16" s="5"/>
      <c r="L16" s="27">
        <f>1/1.1578</f>
        <v>0.8637070305752289</v>
      </c>
      <c r="M16" s="19">
        <v>136.71</v>
      </c>
      <c r="N16" s="5"/>
      <c r="O16" s="27">
        <f>1/1.1782</f>
        <v>0.8487523340689187</v>
      </c>
      <c r="P16" s="19">
        <v>137.73</v>
      </c>
      <c r="Q16" s="5"/>
      <c r="R16" s="27">
        <f>1/1.1793</f>
        <v>0.8479606546256253</v>
      </c>
      <c r="S16" s="19">
        <v>137.2</v>
      </c>
      <c r="T16" s="5"/>
      <c r="U16" s="27">
        <f>1/1.1843</f>
        <v>0.8443806467955756</v>
      </c>
      <c r="V16" s="19">
        <v>136.97</v>
      </c>
      <c r="W16" s="5"/>
      <c r="X16" s="27">
        <f>1/1.1739</f>
        <v>0.851861316977596</v>
      </c>
      <c r="Y16" s="19">
        <v>136.34</v>
      </c>
      <c r="Z16" s="5"/>
      <c r="AA16" s="27">
        <f>1/1.1663</f>
        <v>0.8574123295892996</v>
      </c>
      <c r="AB16" s="19">
        <v>135.71</v>
      </c>
      <c r="AC16" s="5"/>
      <c r="AD16" s="27">
        <f>1/1.1658</f>
        <v>0.857780065191285</v>
      </c>
      <c r="AE16" s="19">
        <v>135.92</v>
      </c>
      <c r="AF16" s="5"/>
      <c r="AG16" s="27">
        <f>1/1.169</f>
        <v>0.8554319931565441</v>
      </c>
      <c r="AH16" s="19">
        <v>135.86</v>
      </c>
      <c r="AI16" s="5"/>
      <c r="AJ16" s="27">
        <f>1/1.162</f>
        <v>0.8605851979345955</v>
      </c>
      <c r="AK16" s="19">
        <v>135.59</v>
      </c>
      <c r="AL16" s="5"/>
      <c r="AM16" s="27">
        <f>1/1.1607</f>
        <v>0.8615490652192642</v>
      </c>
      <c r="AN16" s="19">
        <v>135.65</v>
      </c>
      <c r="AO16" s="5"/>
      <c r="AP16" s="27">
        <f>1/1.165</f>
        <v>0.8583690987124464</v>
      </c>
      <c r="AQ16" s="19">
        <v>135.73</v>
      </c>
      <c r="AR16" s="5"/>
      <c r="AS16" s="27">
        <f>1/1.1686</f>
        <v>0.8557247989046722</v>
      </c>
      <c r="AT16" s="19">
        <v>135.78</v>
      </c>
      <c r="AU16" s="5"/>
      <c r="AV16" s="27">
        <f>1/1.1805</f>
        <v>0.847098686997035</v>
      </c>
      <c r="AW16" s="19">
        <v>136.03</v>
      </c>
      <c r="AX16" s="5"/>
      <c r="AY16" s="27">
        <f>1/1.1778</f>
        <v>0.8490405841399219</v>
      </c>
      <c r="AZ16" s="19">
        <v>135.76</v>
      </c>
      <c r="BA16" s="5"/>
      <c r="BB16" s="27">
        <f>1/1.1765</f>
        <v>0.8499787505312366</v>
      </c>
      <c r="BC16" s="19">
        <v>135.84</v>
      </c>
      <c r="BD16" s="5"/>
      <c r="BE16" s="27">
        <f>1/1.1727</f>
        <v>0.8527330092947898</v>
      </c>
      <c r="BF16" s="19">
        <v>135.44</v>
      </c>
      <c r="BG16" s="27"/>
      <c r="BH16" s="27">
        <f>1/1.1708</f>
        <v>0.8541168431841476</v>
      </c>
      <c r="BI16" s="19">
        <v>135.25</v>
      </c>
      <c r="BJ16" s="27"/>
      <c r="BK16" s="27">
        <f>1/1.1692</f>
        <v>0.8552856654122477</v>
      </c>
      <c r="BL16" s="19">
        <v>135.27</v>
      </c>
      <c r="BM16" s="19"/>
      <c r="BN16" s="27">
        <f>1/1.1637</f>
        <v>0.8593280054996992</v>
      </c>
      <c r="BO16" s="19">
        <v>135</v>
      </c>
      <c r="BP16" s="19"/>
      <c r="BQ16" s="27">
        <f t="shared" si="0"/>
        <v>0.8544037833286542</v>
      </c>
      <c r="BR16" s="19">
        <f t="shared" si="0"/>
        <v>136.16227272727275</v>
      </c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384.5</v>
      </c>
      <c r="D17" s="19">
        <v>45329.35</v>
      </c>
      <c r="E17" s="5"/>
      <c r="F17" s="27">
        <v>385</v>
      </c>
      <c r="G17" s="19">
        <v>45115.58</v>
      </c>
      <c r="H17" s="5"/>
      <c r="I17" s="27">
        <v>384.1</v>
      </c>
      <c r="J17" s="19">
        <v>44984.19</v>
      </c>
      <c r="K17" s="5"/>
      <c r="L17" s="27">
        <v>372.25</v>
      </c>
      <c r="M17" s="19">
        <v>43953.42</v>
      </c>
      <c r="N17" s="5"/>
      <c r="O17" s="27">
        <v>376.3</v>
      </c>
      <c r="P17" s="19">
        <v>43989.47</v>
      </c>
      <c r="Q17" s="5"/>
      <c r="R17" s="27">
        <v>376.5</v>
      </c>
      <c r="S17" s="19">
        <v>43802.64</v>
      </c>
      <c r="T17" s="5"/>
      <c r="U17" s="27">
        <v>375.75</v>
      </c>
      <c r="V17" s="19">
        <v>43456.74</v>
      </c>
      <c r="W17" s="5"/>
      <c r="X17" s="27">
        <v>370</v>
      </c>
      <c r="Y17" s="19">
        <v>42973.34</v>
      </c>
      <c r="Z17" s="5"/>
      <c r="AA17" s="27">
        <v>371.1</v>
      </c>
      <c r="AB17" s="19">
        <v>43180.58</v>
      </c>
      <c r="AC17" s="5"/>
      <c r="AD17" s="27">
        <v>373.8</v>
      </c>
      <c r="AE17" s="19">
        <v>43580.41</v>
      </c>
      <c r="AF17" s="5"/>
      <c r="AG17" s="27">
        <v>374.5</v>
      </c>
      <c r="AH17" s="19">
        <v>43522.52</v>
      </c>
      <c r="AI17" s="5"/>
      <c r="AJ17" s="27">
        <v>371.65</v>
      </c>
      <c r="AK17" s="19">
        <v>43365.36</v>
      </c>
      <c r="AL17" s="5"/>
      <c r="AM17" s="27">
        <v>371.75</v>
      </c>
      <c r="AN17" s="19">
        <v>43446.11</v>
      </c>
      <c r="AO17" s="5"/>
      <c r="AP17" s="27">
        <v>375</v>
      </c>
      <c r="AQ17" s="19">
        <v>43689.69</v>
      </c>
      <c r="AR17" s="5"/>
      <c r="AS17" s="27">
        <v>381.5</v>
      </c>
      <c r="AT17" s="19">
        <v>44325.53</v>
      </c>
      <c r="AU17" s="5"/>
      <c r="AV17" s="27">
        <v>386.7</v>
      </c>
      <c r="AW17" s="19">
        <v>44558.8</v>
      </c>
      <c r="AX17" s="5"/>
      <c r="AY17" s="27">
        <v>384.5</v>
      </c>
      <c r="AZ17" s="19">
        <v>44320.35</v>
      </c>
      <c r="BA17" s="5"/>
      <c r="BB17" s="27">
        <v>387</v>
      </c>
      <c r="BC17" s="19">
        <v>44683.02</v>
      </c>
      <c r="BD17" s="5"/>
      <c r="BE17" s="27">
        <v>385.75</v>
      </c>
      <c r="BF17" s="19">
        <v>44552.2</v>
      </c>
      <c r="BG17" s="27"/>
      <c r="BH17" s="27">
        <v>382</v>
      </c>
      <c r="BI17" s="19">
        <v>44127.69</v>
      </c>
      <c r="BJ17" s="27"/>
      <c r="BK17" s="27">
        <v>390.25</v>
      </c>
      <c r="BL17" s="19">
        <v>45150.62</v>
      </c>
      <c r="BM17" s="19"/>
      <c r="BN17" s="27">
        <v>384.75</v>
      </c>
      <c r="BO17" s="19">
        <v>44633.24</v>
      </c>
      <c r="BP17" s="19"/>
      <c r="BQ17" s="27">
        <f t="shared" si="0"/>
        <v>379.3022727272726</v>
      </c>
      <c r="BR17" s="19">
        <f t="shared" si="0"/>
        <v>44124.58409090909</v>
      </c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5.1</v>
      </c>
      <c r="D18" s="19">
        <v>601.25</v>
      </c>
      <c r="E18" s="5"/>
      <c r="F18" s="27">
        <v>5.08</v>
      </c>
      <c r="G18" s="19">
        <v>595.29</v>
      </c>
      <c r="H18" s="5"/>
      <c r="I18" s="27">
        <v>5.07</v>
      </c>
      <c r="J18" s="19">
        <v>593.78</v>
      </c>
      <c r="K18" s="5"/>
      <c r="L18" s="27">
        <v>4.86</v>
      </c>
      <c r="M18" s="19">
        <v>573.84</v>
      </c>
      <c r="N18" s="5"/>
      <c r="O18" s="27">
        <v>4.84</v>
      </c>
      <c r="P18" s="19">
        <v>565.8</v>
      </c>
      <c r="Q18" s="5"/>
      <c r="R18" s="27">
        <v>4.87</v>
      </c>
      <c r="S18" s="19">
        <v>566.58</v>
      </c>
      <c r="T18" s="5"/>
      <c r="U18" s="27">
        <v>4.85</v>
      </c>
      <c r="V18" s="19">
        <v>560.92</v>
      </c>
      <c r="W18" s="5"/>
      <c r="X18" s="27">
        <v>4.85</v>
      </c>
      <c r="Y18" s="19">
        <v>563.3</v>
      </c>
      <c r="Z18" s="5"/>
      <c r="AA18" s="27">
        <v>4.88</v>
      </c>
      <c r="AB18" s="19">
        <v>567.83</v>
      </c>
      <c r="AC18" s="5"/>
      <c r="AD18" s="27">
        <v>4.93</v>
      </c>
      <c r="AE18" s="19">
        <v>574.78</v>
      </c>
      <c r="AF18" s="5"/>
      <c r="AG18" s="27">
        <v>4.9</v>
      </c>
      <c r="AH18" s="19">
        <v>569.45</v>
      </c>
      <c r="AI18" s="5"/>
      <c r="AJ18" s="27">
        <v>4.89</v>
      </c>
      <c r="AK18" s="19">
        <v>570.58</v>
      </c>
      <c r="AL18" s="5"/>
      <c r="AM18" s="27">
        <v>4.9</v>
      </c>
      <c r="AN18" s="19">
        <v>572.66</v>
      </c>
      <c r="AO18" s="5"/>
      <c r="AP18" s="27">
        <v>5</v>
      </c>
      <c r="AQ18" s="19">
        <v>582.53</v>
      </c>
      <c r="AR18" s="5"/>
      <c r="AS18" s="27">
        <v>5.09</v>
      </c>
      <c r="AT18" s="19">
        <v>591.39</v>
      </c>
      <c r="AU18" s="5"/>
      <c r="AV18" s="27">
        <v>5.14</v>
      </c>
      <c r="AW18" s="19">
        <v>592.27</v>
      </c>
      <c r="AX18" s="5"/>
      <c r="AY18" s="27">
        <v>5.14</v>
      </c>
      <c r="AZ18" s="19">
        <v>592.47</v>
      </c>
      <c r="BA18" s="5"/>
      <c r="BB18" s="27">
        <v>5.12</v>
      </c>
      <c r="BC18" s="19">
        <v>591.16</v>
      </c>
      <c r="BD18" s="5"/>
      <c r="BE18" s="27">
        <v>5.14</v>
      </c>
      <c r="BF18" s="19">
        <v>593.64</v>
      </c>
      <c r="BG18" s="27"/>
      <c r="BH18" s="27">
        <v>5.09</v>
      </c>
      <c r="BI18" s="19">
        <v>587.98</v>
      </c>
      <c r="BJ18" s="27"/>
      <c r="BK18" s="27">
        <v>5.17</v>
      </c>
      <c r="BL18" s="19">
        <v>598.15</v>
      </c>
      <c r="BM18" s="19"/>
      <c r="BN18" s="27">
        <v>5.12</v>
      </c>
      <c r="BO18" s="19">
        <v>593.95</v>
      </c>
      <c r="BP18" s="19"/>
      <c r="BQ18" s="27">
        <f t="shared" si="0"/>
        <v>5.001363636363638</v>
      </c>
      <c r="BR18" s="19">
        <f t="shared" si="0"/>
        <v>581.8</v>
      </c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1/0.6814</f>
        <v>1.4675667742882301</v>
      </c>
      <c r="D19" s="19">
        <v>80.33</v>
      </c>
      <c r="E19" s="5"/>
      <c r="F19" s="27">
        <f>1/0.6829</f>
        <v>1.464343242055938</v>
      </c>
      <c r="G19" s="19">
        <v>80.02</v>
      </c>
      <c r="H19" s="5"/>
      <c r="I19" s="27">
        <f>1/0.6845</f>
        <v>1.4609203798392987</v>
      </c>
      <c r="J19" s="19">
        <v>80.17</v>
      </c>
      <c r="K19" s="5"/>
      <c r="L19" s="27">
        <f>1/0.6795</f>
        <v>1.4716703458425313</v>
      </c>
      <c r="M19" s="19">
        <v>80.23</v>
      </c>
      <c r="N19" s="5"/>
      <c r="O19" s="27">
        <f>1/0.6885</f>
        <v>1.4524328249818446</v>
      </c>
      <c r="P19" s="19">
        <v>80.49</v>
      </c>
      <c r="Q19" s="5"/>
      <c r="R19" s="27">
        <f>1/0.6902</f>
        <v>1.4488554042306576</v>
      </c>
      <c r="S19" s="19">
        <v>80.3</v>
      </c>
      <c r="T19" s="5"/>
      <c r="U19" s="27">
        <f>1/0.6948</f>
        <v>1.4392630972941853</v>
      </c>
      <c r="V19" s="19">
        <v>80.36</v>
      </c>
      <c r="W19" s="5"/>
      <c r="X19" s="27">
        <f>1/0.6882</f>
        <v>1.4530659691950014</v>
      </c>
      <c r="Y19" s="19">
        <v>79.93</v>
      </c>
      <c r="Z19" s="5"/>
      <c r="AA19" s="27">
        <f>1/0.6864</f>
        <v>1.456876456876457</v>
      </c>
      <c r="AB19" s="19">
        <v>79.87</v>
      </c>
      <c r="AC19" s="5"/>
      <c r="AD19" s="27">
        <f>1/0.6864</f>
        <v>1.456876456876457</v>
      </c>
      <c r="AE19" s="19">
        <v>80.03</v>
      </c>
      <c r="AF19" s="5"/>
      <c r="AG19" s="27">
        <f>1/0.6898</f>
        <v>1.4496955639315745</v>
      </c>
      <c r="AH19" s="19">
        <v>80.17</v>
      </c>
      <c r="AI19" s="5"/>
      <c r="AJ19" s="27">
        <f>1/0.6879</f>
        <v>1.453699665649077</v>
      </c>
      <c r="AK19" s="19">
        <v>80.27</v>
      </c>
      <c r="AL19" s="5"/>
      <c r="AM19" s="27">
        <f>1/0.6902</f>
        <v>1.4488554042306576</v>
      </c>
      <c r="AN19" s="19">
        <v>80.66</v>
      </c>
      <c r="AO19" s="5"/>
      <c r="AP19" s="27">
        <f>1/0.6937</f>
        <v>1.4415453366008362</v>
      </c>
      <c r="AQ19" s="19">
        <v>80.82</v>
      </c>
      <c r="AR19" s="5"/>
      <c r="AS19" s="27">
        <f>1/0.6999</f>
        <v>1.4287755393627661</v>
      </c>
      <c r="AT19" s="19">
        <v>81.32</v>
      </c>
      <c r="AU19" s="5"/>
      <c r="AV19" s="27">
        <f>1/0.699</f>
        <v>1.430615164520744</v>
      </c>
      <c r="AW19" s="19">
        <v>80.54</v>
      </c>
      <c r="AX19" s="18"/>
      <c r="AY19" s="27">
        <f>1/0.7</f>
        <v>1.4285714285714286</v>
      </c>
      <c r="AZ19" s="19">
        <v>80.69</v>
      </c>
      <c r="BA19" s="18"/>
      <c r="BB19" s="27">
        <f>1/0.7043</f>
        <v>1.419849495953429</v>
      </c>
      <c r="BC19" s="19">
        <v>81.32</v>
      </c>
      <c r="BD19" s="18"/>
      <c r="BE19" s="27">
        <f>1/0.7036</f>
        <v>1.4212620807276861</v>
      </c>
      <c r="BF19" s="19">
        <v>81.26</v>
      </c>
      <c r="BG19" s="27"/>
      <c r="BH19" s="27">
        <f>1/0.7054</f>
        <v>1.417635384179189</v>
      </c>
      <c r="BI19" s="19">
        <v>81.49</v>
      </c>
      <c r="BJ19" s="27"/>
      <c r="BK19" s="27">
        <f>1/0.7084</f>
        <v>1.411631846414455</v>
      </c>
      <c r="BL19" s="19">
        <v>81.96</v>
      </c>
      <c r="BM19" s="19"/>
      <c r="BN19" s="27">
        <f>1/0.7045</f>
        <v>1.4194464158977997</v>
      </c>
      <c r="BO19" s="19">
        <v>81.73</v>
      </c>
      <c r="BP19" s="19"/>
      <c r="BQ19" s="27">
        <f t="shared" si="0"/>
        <v>1.442884285341829</v>
      </c>
      <c r="BR19" s="19">
        <f t="shared" si="0"/>
        <v>80.63454545454545</v>
      </c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1.3464</v>
      </c>
      <c r="D20" s="19">
        <v>87.56</v>
      </c>
      <c r="E20" s="5"/>
      <c r="F20" s="27">
        <v>1.3472</v>
      </c>
      <c r="G20" s="19">
        <v>86.98</v>
      </c>
      <c r="H20" s="5"/>
      <c r="I20" s="27">
        <v>1.3395</v>
      </c>
      <c r="J20" s="19">
        <v>87.43</v>
      </c>
      <c r="K20" s="5"/>
      <c r="L20" s="27">
        <v>1.3458</v>
      </c>
      <c r="M20" s="19">
        <v>87.74</v>
      </c>
      <c r="N20" s="5"/>
      <c r="O20" s="27">
        <v>1.3367</v>
      </c>
      <c r="P20" s="19">
        <v>87.45</v>
      </c>
      <c r="Q20" s="5"/>
      <c r="R20" s="27">
        <v>1.3305</v>
      </c>
      <c r="S20" s="19">
        <v>87.44</v>
      </c>
      <c r="T20" s="5"/>
      <c r="U20" s="27">
        <v>1.3293</v>
      </c>
      <c r="V20" s="19">
        <v>87</v>
      </c>
      <c r="W20" s="5"/>
      <c r="X20" s="27">
        <v>1.3362</v>
      </c>
      <c r="Y20" s="19">
        <v>86.92</v>
      </c>
      <c r="Z20" s="5"/>
      <c r="AA20" s="27">
        <v>1.3255</v>
      </c>
      <c r="AB20" s="19">
        <v>87.78</v>
      </c>
      <c r="AC20" s="5"/>
      <c r="AD20" s="27">
        <v>1.327</v>
      </c>
      <c r="AE20" s="19">
        <v>87.86</v>
      </c>
      <c r="AF20" s="5"/>
      <c r="AG20" s="27">
        <v>1.3254</v>
      </c>
      <c r="AH20" s="19">
        <v>87.68</v>
      </c>
      <c r="AI20" s="5"/>
      <c r="AJ20" s="27">
        <v>1.3273</v>
      </c>
      <c r="AK20" s="19">
        <v>87.91</v>
      </c>
      <c r="AL20" s="5"/>
      <c r="AM20" s="27">
        <v>1.3159</v>
      </c>
      <c r="AN20" s="19">
        <v>88.81</v>
      </c>
      <c r="AO20" s="5"/>
      <c r="AP20" s="27">
        <v>1.3217</v>
      </c>
      <c r="AQ20" s="19">
        <v>88.15</v>
      </c>
      <c r="AR20" s="5"/>
      <c r="AS20" s="27">
        <v>1.3166</v>
      </c>
      <c r="AT20" s="19">
        <v>88.25</v>
      </c>
      <c r="AU20" s="5"/>
      <c r="AV20" s="27">
        <v>1.3064</v>
      </c>
      <c r="AW20" s="19">
        <v>88.2</v>
      </c>
      <c r="AX20" s="5"/>
      <c r="AY20" s="27">
        <v>1.3051</v>
      </c>
      <c r="AZ20" s="19">
        <v>88.32</v>
      </c>
      <c r="BA20" s="5"/>
      <c r="BB20" s="27">
        <v>1.307</v>
      </c>
      <c r="BC20" s="19">
        <v>88.34</v>
      </c>
      <c r="BD20" s="5"/>
      <c r="BE20" s="27">
        <v>1.3127</v>
      </c>
      <c r="BF20" s="19">
        <v>87.98</v>
      </c>
      <c r="BG20" s="27"/>
      <c r="BH20" s="27">
        <v>1.308</v>
      </c>
      <c r="BI20" s="19">
        <v>88.32</v>
      </c>
      <c r="BJ20" s="27"/>
      <c r="BK20" s="27">
        <v>1.3092</v>
      </c>
      <c r="BL20" s="19">
        <v>88.37</v>
      </c>
      <c r="BM20" s="19"/>
      <c r="BN20" s="27">
        <v>1.3163</v>
      </c>
      <c r="BO20" s="19">
        <v>88.13</v>
      </c>
      <c r="BP20" s="19"/>
      <c r="BQ20" s="27">
        <f t="shared" si="0"/>
        <v>1.32435</v>
      </c>
      <c r="BR20" s="19">
        <f t="shared" si="0"/>
        <v>87.84636363636363</v>
      </c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7.7848</v>
      </c>
      <c r="D21" s="19">
        <v>15.14</v>
      </c>
      <c r="E21" s="5"/>
      <c r="F21" s="27">
        <v>7.6825</v>
      </c>
      <c r="G21" s="19">
        <v>15.25</v>
      </c>
      <c r="H21" s="5"/>
      <c r="I21" s="27">
        <v>7.6787</v>
      </c>
      <c r="J21" s="19">
        <v>15.25</v>
      </c>
      <c r="K21" s="5"/>
      <c r="L21" s="27">
        <v>7.7436</v>
      </c>
      <c r="M21" s="19">
        <v>15.25</v>
      </c>
      <c r="N21" s="5"/>
      <c r="O21" s="27">
        <v>7.5889</v>
      </c>
      <c r="P21" s="19">
        <v>15.4</v>
      </c>
      <c r="Q21" s="5"/>
      <c r="R21" s="27">
        <v>7.6193</v>
      </c>
      <c r="S21" s="19">
        <v>15.27</v>
      </c>
      <c r="T21" s="5"/>
      <c r="U21" s="27">
        <v>7.5767</v>
      </c>
      <c r="V21" s="19">
        <v>15.26</v>
      </c>
      <c r="W21" s="5"/>
      <c r="X21" s="27">
        <v>7.646</v>
      </c>
      <c r="Y21" s="19">
        <v>15.19</v>
      </c>
      <c r="Z21" s="5"/>
      <c r="AA21" s="27">
        <v>7.7132</v>
      </c>
      <c r="AB21" s="19">
        <v>15.09</v>
      </c>
      <c r="AC21" s="5"/>
      <c r="AD21" s="27">
        <v>7.6887</v>
      </c>
      <c r="AE21" s="19">
        <v>15.16</v>
      </c>
      <c r="AF21" s="5"/>
      <c r="AG21" s="27">
        <v>7.6516</v>
      </c>
      <c r="AH21" s="19">
        <v>15.19</v>
      </c>
      <c r="AI21" s="5"/>
      <c r="AJ21" s="27">
        <v>7.689</v>
      </c>
      <c r="AK21" s="19">
        <v>15.18</v>
      </c>
      <c r="AL21" s="5"/>
      <c r="AM21" s="27">
        <v>7.7329</v>
      </c>
      <c r="AN21" s="19">
        <v>15.11</v>
      </c>
      <c r="AO21" s="5"/>
      <c r="AP21" s="27">
        <v>7.7608</v>
      </c>
      <c r="AQ21" s="19">
        <v>15.01</v>
      </c>
      <c r="AR21" s="5"/>
      <c r="AS21" s="27">
        <v>7.7222</v>
      </c>
      <c r="AT21" s="19">
        <v>15.05</v>
      </c>
      <c r="AU21" s="5"/>
      <c r="AV21" s="27">
        <v>7.6409</v>
      </c>
      <c r="AW21" s="19">
        <v>15.08</v>
      </c>
      <c r="AX21" s="5"/>
      <c r="AY21" s="27">
        <v>7.6802</v>
      </c>
      <c r="AZ21" s="19">
        <v>15.01</v>
      </c>
      <c r="BA21" s="5"/>
      <c r="BB21" s="27">
        <v>7.7044</v>
      </c>
      <c r="BC21" s="19">
        <v>14.99</v>
      </c>
      <c r="BD21" s="5"/>
      <c r="BE21" s="27">
        <v>7.722</v>
      </c>
      <c r="BF21" s="19">
        <v>14.96</v>
      </c>
      <c r="BG21" s="27"/>
      <c r="BH21" s="27">
        <v>7.7066</v>
      </c>
      <c r="BI21" s="19">
        <v>14.99</v>
      </c>
      <c r="BJ21" s="27"/>
      <c r="BK21" s="27">
        <v>7.6985</v>
      </c>
      <c r="BL21" s="19">
        <v>15.03</v>
      </c>
      <c r="BM21" s="19"/>
      <c r="BN21" s="27">
        <v>7.7623</v>
      </c>
      <c r="BO21" s="19">
        <v>14.94</v>
      </c>
      <c r="BP21" s="19"/>
      <c r="BQ21" s="27">
        <f t="shared" si="0"/>
        <v>7.690627272727275</v>
      </c>
      <c r="BR21" s="19">
        <f t="shared" si="0"/>
        <v>15.127272727272727</v>
      </c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7.0334</v>
      </c>
      <c r="D22" s="19">
        <v>16.76</v>
      </c>
      <c r="E22" s="5"/>
      <c r="F22" s="27">
        <v>7.0076</v>
      </c>
      <c r="G22" s="19">
        <v>16.72</v>
      </c>
      <c r="H22" s="5"/>
      <c r="I22" s="27">
        <v>6.9753</v>
      </c>
      <c r="J22" s="19">
        <v>16.79</v>
      </c>
      <c r="K22" s="5"/>
      <c r="L22" s="27">
        <v>7.0569</v>
      </c>
      <c r="M22" s="19">
        <v>16.73</v>
      </c>
      <c r="N22" s="5"/>
      <c r="O22" s="27">
        <v>6.9649</v>
      </c>
      <c r="P22" s="19">
        <v>16.78</v>
      </c>
      <c r="Q22" s="5"/>
      <c r="R22" s="27">
        <v>6.9526</v>
      </c>
      <c r="S22" s="19">
        <v>16.73</v>
      </c>
      <c r="T22" s="5"/>
      <c r="U22" s="27">
        <v>6.9517</v>
      </c>
      <c r="V22" s="19">
        <v>16.64</v>
      </c>
      <c r="W22" s="5"/>
      <c r="X22" s="27">
        <v>7.0059</v>
      </c>
      <c r="Y22" s="19">
        <v>16.58</v>
      </c>
      <c r="Z22" s="5"/>
      <c r="AA22" s="27">
        <v>7.0489</v>
      </c>
      <c r="AB22" s="19">
        <v>16.51</v>
      </c>
      <c r="AC22" s="5"/>
      <c r="AD22" s="27">
        <v>7.0546</v>
      </c>
      <c r="AE22" s="19">
        <v>16.53</v>
      </c>
      <c r="AF22" s="5"/>
      <c r="AG22" s="27">
        <v>7.0582</v>
      </c>
      <c r="AH22" s="19">
        <v>16.47</v>
      </c>
      <c r="AI22" s="5"/>
      <c r="AJ22" s="27">
        <v>7.0939</v>
      </c>
      <c r="AK22" s="19">
        <v>16.45</v>
      </c>
      <c r="AL22" s="5"/>
      <c r="AM22" s="27">
        <v>7.0987</v>
      </c>
      <c r="AN22" s="19">
        <v>16.46</v>
      </c>
      <c r="AO22" s="5"/>
      <c r="AP22" s="27">
        <v>7.115</v>
      </c>
      <c r="AQ22" s="19">
        <v>16.37</v>
      </c>
      <c r="AR22" s="5"/>
      <c r="AS22" s="27">
        <v>7.0658</v>
      </c>
      <c r="AT22" s="19">
        <v>16.44</v>
      </c>
      <c r="AU22" s="5"/>
      <c r="AV22" s="27">
        <v>6.9749</v>
      </c>
      <c r="AW22" s="19">
        <v>16.52</v>
      </c>
      <c r="AX22" s="5"/>
      <c r="AY22" s="27">
        <v>6.9933</v>
      </c>
      <c r="AZ22" s="19">
        <v>16.48</v>
      </c>
      <c r="BA22" s="5"/>
      <c r="BB22" s="27">
        <v>7.0137</v>
      </c>
      <c r="BC22" s="19">
        <v>16.46</v>
      </c>
      <c r="BD22" s="5"/>
      <c r="BE22" s="27">
        <v>7.029</v>
      </c>
      <c r="BF22" s="19">
        <v>16.43</v>
      </c>
      <c r="BG22" s="27"/>
      <c r="BH22" s="27">
        <v>7.0078</v>
      </c>
      <c r="BI22" s="19">
        <v>16.48</v>
      </c>
      <c r="BJ22" s="27"/>
      <c r="BK22" s="27">
        <v>7.0286</v>
      </c>
      <c r="BL22" s="19">
        <v>16.46</v>
      </c>
      <c r="BM22" s="19"/>
      <c r="BN22" s="27">
        <v>7.0492</v>
      </c>
      <c r="BO22" s="19">
        <v>16.46</v>
      </c>
      <c r="BP22" s="19"/>
      <c r="BQ22" s="27">
        <f t="shared" si="0"/>
        <v>7.026359090909093</v>
      </c>
      <c r="BR22" s="19">
        <f t="shared" si="0"/>
        <v>16.556818181818183</v>
      </c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6.8697</v>
      </c>
      <c r="D23" s="19">
        <v>17.16</v>
      </c>
      <c r="E23" s="5"/>
      <c r="F23" s="27">
        <v>6.3484</v>
      </c>
      <c r="G23" s="19">
        <v>18.46</v>
      </c>
      <c r="H23" s="5"/>
      <c r="I23" s="27">
        <v>6.3449</v>
      </c>
      <c r="J23" s="19">
        <v>18.46</v>
      </c>
      <c r="K23" s="5"/>
      <c r="L23" s="27">
        <v>6.416</v>
      </c>
      <c r="M23" s="19">
        <v>18.4</v>
      </c>
      <c r="N23" s="5"/>
      <c r="O23" s="27">
        <v>6.3036</v>
      </c>
      <c r="P23" s="19">
        <v>18.54</v>
      </c>
      <c r="Q23" s="5"/>
      <c r="R23" s="27">
        <v>6.2978</v>
      </c>
      <c r="S23" s="19">
        <v>18.47</v>
      </c>
      <c r="T23" s="5"/>
      <c r="U23" s="27">
        <v>6.2697</v>
      </c>
      <c r="V23" s="19">
        <v>18.45</v>
      </c>
      <c r="W23" s="5"/>
      <c r="X23" s="27">
        <v>6.3274</v>
      </c>
      <c r="Y23" s="19">
        <v>18.36</v>
      </c>
      <c r="Z23" s="5"/>
      <c r="AA23" s="27">
        <v>6.3689</v>
      </c>
      <c r="AB23" s="19">
        <v>18.27</v>
      </c>
      <c r="AC23" s="5"/>
      <c r="AD23" s="27">
        <v>6.3721</v>
      </c>
      <c r="AE23" s="19">
        <v>18.3</v>
      </c>
      <c r="AF23" s="5"/>
      <c r="AG23" s="27">
        <v>6.3532</v>
      </c>
      <c r="AH23" s="19">
        <v>18.29</v>
      </c>
      <c r="AI23" s="5"/>
      <c r="AJ23" s="27">
        <v>6.3906</v>
      </c>
      <c r="AK23" s="19">
        <v>18.26</v>
      </c>
      <c r="AL23" s="5"/>
      <c r="AM23" s="27">
        <v>6.3984</v>
      </c>
      <c r="AN23" s="19">
        <v>18.27</v>
      </c>
      <c r="AO23" s="5"/>
      <c r="AP23" s="27">
        <v>6.3772</v>
      </c>
      <c r="AQ23" s="19">
        <v>18.27</v>
      </c>
      <c r="AR23" s="5"/>
      <c r="AS23" s="27">
        <v>6.3581</v>
      </c>
      <c r="AT23" s="19">
        <v>18.27</v>
      </c>
      <c r="AU23" s="5"/>
      <c r="AV23" s="27">
        <v>6.294</v>
      </c>
      <c r="AW23" s="19">
        <v>18.31</v>
      </c>
      <c r="AX23" s="5"/>
      <c r="AY23" s="27">
        <v>6.3084</v>
      </c>
      <c r="AZ23" s="19">
        <v>18.27</v>
      </c>
      <c r="BA23" s="5"/>
      <c r="BB23" s="27">
        <v>6.3148</v>
      </c>
      <c r="BC23" s="19">
        <v>18.28</v>
      </c>
      <c r="BD23" s="5"/>
      <c r="BE23" s="27">
        <v>6.3349</v>
      </c>
      <c r="BF23" s="19">
        <v>18.23</v>
      </c>
      <c r="BG23" s="27"/>
      <c r="BH23" s="27">
        <v>6.3451</v>
      </c>
      <c r="BI23" s="19">
        <v>18.21</v>
      </c>
      <c r="BJ23" s="27"/>
      <c r="BK23" s="27">
        <v>6.3552</v>
      </c>
      <c r="BL23" s="19">
        <v>18.21</v>
      </c>
      <c r="BM23" s="19"/>
      <c r="BN23" s="27">
        <v>6.387</v>
      </c>
      <c r="BO23" s="19">
        <v>18.16</v>
      </c>
      <c r="BP23" s="19"/>
      <c r="BQ23" s="27">
        <f t="shared" si="0"/>
        <v>6.36979090909091</v>
      </c>
      <c r="BR23" s="19">
        <f t="shared" si="0"/>
        <v>18.26818181818182</v>
      </c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1/1.42979</f>
        <v>0.699403408892215</v>
      </c>
      <c r="D24" s="19">
        <v>168.56</v>
      </c>
      <c r="E24" s="5"/>
      <c r="F24" s="27">
        <f>1/1.427</f>
        <v>0.7007708479327259</v>
      </c>
      <c r="G24" s="19">
        <v>167.22</v>
      </c>
      <c r="H24" s="5"/>
      <c r="I24" s="27">
        <f>1/1.42733</f>
        <v>0.700608829072464</v>
      </c>
      <c r="J24" s="19">
        <v>167.16</v>
      </c>
      <c r="K24" s="5"/>
      <c r="L24" s="27">
        <f>1/1.42972</f>
        <v>0.6994376521276893</v>
      </c>
      <c r="M24" s="19">
        <v>168.81</v>
      </c>
      <c r="N24" s="5"/>
      <c r="O24" s="27">
        <f>1/1.42315</f>
        <v>0.7026666198222253</v>
      </c>
      <c r="P24" s="19">
        <v>166.37</v>
      </c>
      <c r="Q24" s="5"/>
      <c r="R24" s="27">
        <f>1/1.43321</f>
        <v>0.6977344562206514</v>
      </c>
      <c r="S24" s="19">
        <v>166.74</v>
      </c>
      <c r="T24" s="5"/>
      <c r="U24" s="27">
        <f>1/1.43417</f>
        <v>0.6972674090240348</v>
      </c>
      <c r="V24" s="19">
        <v>165.87</v>
      </c>
      <c r="W24" s="5"/>
      <c r="X24" s="27">
        <f>1/1.43635</f>
        <v>0.6962091412260243</v>
      </c>
      <c r="Y24" s="19">
        <v>166.82</v>
      </c>
      <c r="Z24" s="5"/>
      <c r="AA24" s="27">
        <f>1/1.43686</f>
        <v>0.6959620283117353</v>
      </c>
      <c r="AB24" s="19">
        <v>167.19</v>
      </c>
      <c r="AC24" s="5"/>
      <c r="AD24" s="27">
        <f>1/1.43686</f>
        <v>0.6959620283117353</v>
      </c>
      <c r="AE24" s="19">
        <v>167.52</v>
      </c>
      <c r="AF24" s="5"/>
      <c r="AG24" s="27">
        <f>1/1.42761</f>
        <v>0.7004714172638186</v>
      </c>
      <c r="AH24" s="19">
        <v>165.91</v>
      </c>
      <c r="AI24" s="5"/>
      <c r="AJ24" s="27">
        <f>1/1.43142</f>
        <v>0.6986069776864932</v>
      </c>
      <c r="AK24" s="19">
        <v>167.02</v>
      </c>
      <c r="AL24" s="5"/>
      <c r="AM24" s="27">
        <f>1/1.42782</f>
        <v>0.7003683937751257</v>
      </c>
      <c r="AN24" s="19">
        <v>166.87</v>
      </c>
      <c r="AO24" s="5"/>
      <c r="AP24" s="27">
        <f>1/1.4297</f>
        <v>0.6994474365251452</v>
      </c>
      <c r="AQ24" s="19">
        <v>166.57</v>
      </c>
      <c r="AR24" s="5"/>
      <c r="AS24" s="27">
        <f>1/1.42753</f>
        <v>0.7005106722800922</v>
      </c>
      <c r="AT24" s="19">
        <v>165.86</v>
      </c>
      <c r="AU24" s="5"/>
      <c r="AV24" s="27">
        <f>1/1.43116</f>
        <v>0.6987338941837391</v>
      </c>
      <c r="AW24" s="19">
        <v>164.91</v>
      </c>
      <c r="AX24" s="5"/>
      <c r="AY24" s="27">
        <f>1/1.43687</f>
        <v>0.6959571847139964</v>
      </c>
      <c r="AZ24" s="19">
        <v>165.62</v>
      </c>
      <c r="BA24" s="5"/>
      <c r="BB24" s="27">
        <f>1/1.43651</f>
        <v>0.6961315967170434</v>
      </c>
      <c r="BC24" s="19">
        <v>165.86</v>
      </c>
      <c r="BD24" s="5"/>
      <c r="BE24" s="27">
        <f>1/1.43836</f>
        <v>0.6952362412747851</v>
      </c>
      <c r="BF24" s="19">
        <v>166.12</v>
      </c>
      <c r="BG24" s="27"/>
      <c r="BH24" s="27">
        <f>1/1.43467</f>
        <v>0.697024402824343</v>
      </c>
      <c r="BI24" s="19">
        <v>165.73</v>
      </c>
      <c r="BJ24" s="27"/>
      <c r="BK24" s="27">
        <f>1/1.43798</f>
        <v>0.6954199641163298</v>
      </c>
      <c r="BL24" s="19">
        <v>166.37</v>
      </c>
      <c r="BM24" s="19"/>
      <c r="BN24" s="27">
        <f>1/1.43786</f>
        <v>0.6954780020307958</v>
      </c>
      <c r="BO24" s="19">
        <v>166.8</v>
      </c>
      <c r="BP24" s="19"/>
      <c r="BQ24" s="27">
        <f t="shared" si="0"/>
        <v>0.6981549365606005</v>
      </c>
      <c r="BR24" s="19">
        <f t="shared" si="0"/>
        <v>166.63181818181818</v>
      </c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117.89</v>
      </c>
      <c r="E25" s="21"/>
      <c r="F25" s="28">
        <v>1</v>
      </c>
      <c r="G25" s="22">
        <v>117.18</v>
      </c>
      <c r="H25" s="21"/>
      <c r="I25" s="28">
        <v>1</v>
      </c>
      <c r="J25" s="22">
        <v>117.12</v>
      </c>
      <c r="K25" s="21"/>
      <c r="L25" s="28">
        <v>1</v>
      </c>
      <c r="M25" s="22">
        <v>118.08</v>
      </c>
      <c r="N25" s="21"/>
      <c r="O25" s="28">
        <v>1</v>
      </c>
      <c r="P25" s="22">
        <v>116.9</v>
      </c>
      <c r="Q25" s="21"/>
      <c r="R25" s="28">
        <v>1</v>
      </c>
      <c r="S25" s="22">
        <v>116.34</v>
      </c>
      <c r="T25" s="21"/>
      <c r="U25" s="28">
        <v>1</v>
      </c>
      <c r="V25" s="22">
        <v>115.65</v>
      </c>
      <c r="W25" s="21"/>
      <c r="X25" s="28">
        <v>1</v>
      </c>
      <c r="Y25" s="22">
        <v>116.14</v>
      </c>
      <c r="Z25" s="21"/>
      <c r="AA25" s="28">
        <v>1</v>
      </c>
      <c r="AB25" s="22">
        <v>116.36</v>
      </c>
      <c r="AC25" s="21"/>
      <c r="AD25" s="28">
        <v>1</v>
      </c>
      <c r="AE25" s="22">
        <v>116.59</v>
      </c>
      <c r="AF25" s="21"/>
      <c r="AG25" s="28">
        <v>1</v>
      </c>
      <c r="AH25" s="22">
        <v>116.22</v>
      </c>
      <c r="AI25" s="21"/>
      <c r="AJ25" s="28">
        <v>1</v>
      </c>
      <c r="AK25" s="22">
        <v>116.68</v>
      </c>
      <c r="AL25" s="21"/>
      <c r="AM25" s="28">
        <v>1</v>
      </c>
      <c r="AN25" s="22">
        <v>116.87</v>
      </c>
      <c r="AO25" s="21"/>
      <c r="AP25" s="28">
        <v>1</v>
      </c>
      <c r="AQ25" s="22">
        <v>116.51</v>
      </c>
      <c r="AR25" s="21"/>
      <c r="AS25" s="28">
        <v>1</v>
      </c>
      <c r="AT25" s="22">
        <v>116.19</v>
      </c>
      <c r="AU25" s="21"/>
      <c r="AV25" s="28">
        <v>1</v>
      </c>
      <c r="AW25" s="22">
        <v>115.23</v>
      </c>
      <c r="AX25" s="21"/>
      <c r="AY25" s="28">
        <v>1</v>
      </c>
      <c r="AZ25" s="22">
        <v>115.27</v>
      </c>
      <c r="BA25" s="21"/>
      <c r="BB25" s="28">
        <v>1</v>
      </c>
      <c r="BC25" s="22">
        <v>115.46</v>
      </c>
      <c r="BD25" s="21"/>
      <c r="BE25" s="28">
        <v>1</v>
      </c>
      <c r="BF25" s="22">
        <v>115.5</v>
      </c>
      <c r="BG25" s="28"/>
      <c r="BH25" s="28">
        <v>1</v>
      </c>
      <c r="BI25" s="22">
        <v>115.52</v>
      </c>
      <c r="BJ25" s="28"/>
      <c r="BK25" s="28">
        <v>1</v>
      </c>
      <c r="BL25" s="22">
        <v>115.7</v>
      </c>
      <c r="BM25" s="22"/>
      <c r="BN25" s="28">
        <v>1</v>
      </c>
      <c r="BO25" s="22">
        <v>116.01</v>
      </c>
      <c r="BP25" s="22"/>
      <c r="BQ25" s="28">
        <f>(+C25+F25+I25+L25+O25+R25+U25+X25+AA25+AD25+AG25+AJ25+AM25+AP25+AS25+AV25+AY25+BB25+BE25+BH25+BK25+BN25)/22</f>
        <v>1</v>
      </c>
      <c r="BR25" s="22">
        <f>(+D25+G25+J25+M25+P25+S25+V25+Y25+AB25+AE25+AH25+AK25+AN25+AQ25+AT25+AW25+AZ25+BC25+BF25+BI25+BL25+BO25)/22</f>
        <v>116.33681818181817</v>
      </c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31"/>
      <c r="BI26" s="31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6" r:id="rId1"/>
  <headerFooter alignWithMargins="0">
    <oddHeader>&amp;L&amp;"Helv,Bold"&amp;12BANKA E SHQIPERISE
Sektori i Informacionit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V16384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247</v>
      </c>
      <c r="D4" s="4"/>
      <c r="E4" s="10"/>
      <c r="F4" s="4" t="s">
        <v>248</v>
      </c>
      <c r="G4" s="4"/>
      <c r="H4" s="10"/>
      <c r="I4" s="4" t="s">
        <v>249</v>
      </c>
      <c r="J4" s="4"/>
      <c r="K4" s="10"/>
      <c r="L4" s="4" t="s">
        <v>250</v>
      </c>
      <c r="M4" s="4"/>
      <c r="N4" s="10"/>
      <c r="O4" s="4" t="s">
        <v>251</v>
      </c>
      <c r="P4" s="4"/>
      <c r="Q4" s="10"/>
      <c r="R4" s="4" t="s">
        <v>252</v>
      </c>
      <c r="S4" s="4"/>
      <c r="T4" s="10"/>
      <c r="U4" s="4" t="s">
        <v>253</v>
      </c>
      <c r="V4" s="4"/>
      <c r="W4" s="10"/>
      <c r="X4" s="4" t="s">
        <v>254</v>
      </c>
      <c r="Y4" s="4"/>
      <c r="Z4" s="10"/>
      <c r="AA4" s="4" t="s">
        <v>255</v>
      </c>
      <c r="AB4" s="4"/>
      <c r="AC4" s="10"/>
      <c r="AD4" s="4" t="s">
        <v>256</v>
      </c>
      <c r="AE4" s="4"/>
      <c r="AF4" s="10"/>
      <c r="AG4" s="4" t="s">
        <v>257</v>
      </c>
      <c r="AH4" s="4"/>
      <c r="AI4" s="10"/>
      <c r="AJ4" s="4" t="s">
        <v>258</v>
      </c>
      <c r="AK4" s="4"/>
      <c r="AL4" s="10"/>
      <c r="AM4" s="4" t="s">
        <v>259</v>
      </c>
      <c r="AN4" s="4"/>
      <c r="AO4" s="10"/>
      <c r="AP4" s="4" t="s">
        <v>260</v>
      </c>
      <c r="AQ4" s="4"/>
      <c r="AR4" s="10"/>
      <c r="AS4" s="4" t="s">
        <v>261</v>
      </c>
      <c r="AT4" s="4"/>
      <c r="AU4" s="10"/>
      <c r="AV4" s="4" t="s">
        <v>262</v>
      </c>
      <c r="AW4" s="4"/>
      <c r="AX4" s="26"/>
      <c r="AY4" s="4" t="s">
        <v>263</v>
      </c>
      <c r="AZ4" s="4"/>
      <c r="BA4" s="26"/>
      <c r="BB4" s="4" t="s">
        <v>264</v>
      </c>
      <c r="BC4" s="4"/>
      <c r="BD4" s="26"/>
      <c r="BE4" s="4" t="s">
        <v>3</v>
      </c>
      <c r="BF4" s="4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110.45</v>
      </c>
      <c r="D13" s="19">
        <v>105.18</v>
      </c>
      <c r="E13" s="5"/>
      <c r="F13" s="27">
        <v>110.37</v>
      </c>
      <c r="G13" s="19">
        <v>105.92</v>
      </c>
      <c r="H13" s="5"/>
      <c r="I13" s="27">
        <v>109.64</v>
      </c>
      <c r="J13" s="19">
        <v>106.7</v>
      </c>
      <c r="K13" s="5"/>
      <c r="L13" s="27">
        <v>109.93</v>
      </c>
      <c r="M13" s="19">
        <v>106.43</v>
      </c>
      <c r="N13" s="5"/>
      <c r="O13" s="27">
        <v>110.13</v>
      </c>
      <c r="P13" s="19">
        <v>106.44</v>
      </c>
      <c r="Q13" s="5"/>
      <c r="R13" s="27">
        <v>108.62</v>
      </c>
      <c r="S13" s="19">
        <v>107.6</v>
      </c>
      <c r="T13" s="5"/>
      <c r="U13" s="27">
        <v>108.7</v>
      </c>
      <c r="V13" s="19">
        <v>107.5</v>
      </c>
      <c r="W13" s="5"/>
      <c r="X13" s="27">
        <v>108.86</v>
      </c>
      <c r="Y13" s="19">
        <v>106.76</v>
      </c>
      <c r="Z13" s="5"/>
      <c r="AA13" s="27">
        <v>108.25</v>
      </c>
      <c r="AB13" s="19">
        <v>106.68</v>
      </c>
      <c r="AC13" s="5"/>
      <c r="AD13" s="27">
        <v>108.03</v>
      </c>
      <c r="AE13" s="19">
        <v>106.41</v>
      </c>
      <c r="AF13" s="5"/>
      <c r="AG13" s="27">
        <v>109.24</v>
      </c>
      <c r="AH13" s="19">
        <v>105.21</v>
      </c>
      <c r="AI13" s="5"/>
      <c r="AJ13" s="27">
        <v>108.96</v>
      </c>
      <c r="AK13" s="19">
        <v>105.58</v>
      </c>
      <c r="AL13" s="5"/>
      <c r="AM13" s="27">
        <v>108.89</v>
      </c>
      <c r="AN13" s="19">
        <v>104.85</v>
      </c>
      <c r="AO13" s="5"/>
      <c r="AP13" s="27">
        <v>109.09</v>
      </c>
      <c r="AQ13" s="19">
        <v>104.68</v>
      </c>
      <c r="AR13" s="5"/>
      <c r="AS13" s="27">
        <v>108.87</v>
      </c>
      <c r="AT13" s="19">
        <v>104.93</v>
      </c>
      <c r="AU13" s="5"/>
      <c r="AV13" s="27">
        <v>109.03</v>
      </c>
      <c r="AW13" s="19">
        <v>104.76</v>
      </c>
      <c r="AX13" s="5"/>
      <c r="AY13" s="27">
        <v>109.67</v>
      </c>
      <c r="AZ13" s="19">
        <v>104.11</v>
      </c>
      <c r="BA13" s="5"/>
      <c r="BB13" s="27">
        <v>109.13</v>
      </c>
      <c r="BC13" s="19">
        <v>104.15</v>
      </c>
      <c r="BD13" s="5"/>
      <c r="BE13" s="27">
        <f>(+C13+F13+I13+L13+O13+R13+U13+X13+AA13+AD13+AG13+AJ13+AM13+AP13+AS13+AV13+AY13+BB13)/18</f>
        <v>109.21444444444445</v>
      </c>
      <c r="BF13" s="19">
        <f>(+D13+G13+J13+M13+P13+S13+V13+Y13+AB13+AE13+AH13+AK13+AN13+AQ13+AT13+AW13+AZ13+BC13)/18</f>
        <v>105.77166666666668</v>
      </c>
      <c r="BG13" s="31"/>
      <c r="BH13" s="31"/>
      <c r="BI13" s="32"/>
      <c r="BJ13" s="31"/>
      <c r="BK13" s="31"/>
      <c r="BL13" s="32"/>
      <c r="BM13" s="32"/>
      <c r="BN13" s="31"/>
      <c r="BO13" s="32"/>
      <c r="BP13" s="32"/>
      <c r="BQ13" s="31"/>
      <c r="BR13" s="32"/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1/1.6948</f>
        <v>0.5900401227283455</v>
      </c>
      <c r="D14" s="19">
        <v>196.89</v>
      </c>
      <c r="E14" s="5"/>
      <c r="F14" s="27">
        <f>1/1.6753</f>
        <v>0.5969080164746613</v>
      </c>
      <c r="G14" s="19">
        <v>195.85</v>
      </c>
      <c r="H14" s="5"/>
      <c r="I14" s="27">
        <f>1/1.6762</f>
        <v>0.5965875193890944</v>
      </c>
      <c r="J14" s="19">
        <v>196.09</v>
      </c>
      <c r="K14" s="5"/>
      <c r="L14" s="27">
        <f>1/1.6725</f>
        <v>0.5979073243647234</v>
      </c>
      <c r="M14" s="19">
        <v>195.68</v>
      </c>
      <c r="N14" s="5"/>
      <c r="O14" s="27">
        <f>1/1.6643</f>
        <v>0.6008532115604158</v>
      </c>
      <c r="P14" s="19">
        <v>195.09</v>
      </c>
      <c r="Q14" s="5"/>
      <c r="R14" s="27">
        <f>1/1.6722</f>
        <v>0.598014591556034</v>
      </c>
      <c r="S14" s="19">
        <v>195.43</v>
      </c>
      <c r="T14" s="5"/>
      <c r="U14" s="27">
        <f>1/1.6668</f>
        <v>0.5999520038396928</v>
      </c>
      <c r="V14" s="19">
        <v>194.77</v>
      </c>
      <c r="W14" s="5"/>
      <c r="X14" s="27">
        <f>1/1.67</f>
        <v>0.5988023952095809</v>
      </c>
      <c r="Y14" s="19">
        <v>194.09</v>
      </c>
      <c r="Z14" s="5"/>
      <c r="AA14" s="27">
        <f>1/1.6834</f>
        <v>0.5940358797671379</v>
      </c>
      <c r="AB14" s="19">
        <v>194.41</v>
      </c>
      <c r="AC14" s="5"/>
      <c r="AD14" s="27">
        <f>1/1.6887</f>
        <v>0.5921714928643335</v>
      </c>
      <c r="AE14" s="19">
        <v>194.12</v>
      </c>
      <c r="AF14" s="5"/>
      <c r="AG14" s="27">
        <f>1/1.6915</f>
        <v>0.5911912503694945</v>
      </c>
      <c r="AH14" s="19">
        <v>194.41</v>
      </c>
      <c r="AI14" s="5"/>
      <c r="AJ14" s="27">
        <f>1/1.6932</f>
        <v>0.5905976848570753</v>
      </c>
      <c r="AK14" s="19">
        <v>194.79</v>
      </c>
      <c r="AL14" s="5"/>
      <c r="AM14" s="27">
        <f>1/1.6991</f>
        <v>0.5885468777588134</v>
      </c>
      <c r="AN14" s="19">
        <v>193.99</v>
      </c>
      <c r="AO14" s="5"/>
      <c r="AP14" s="27">
        <f>1/1.7014</f>
        <v>0.5877512636652169</v>
      </c>
      <c r="AQ14" s="19">
        <v>194.3</v>
      </c>
      <c r="AR14" s="5"/>
      <c r="AS14" s="27">
        <f>1/1.7021</f>
        <v>0.5875095470301392</v>
      </c>
      <c r="AT14" s="19">
        <v>194.45</v>
      </c>
      <c r="AU14" s="5"/>
      <c r="AV14" s="27">
        <f>1/1.6954</f>
        <v>0.5898313082458417</v>
      </c>
      <c r="AW14" s="19">
        <v>193.65</v>
      </c>
      <c r="AX14" s="5"/>
      <c r="AY14" s="27">
        <f>1/1.6971</f>
        <v>0.5892404690354134</v>
      </c>
      <c r="AZ14" s="19">
        <v>193.77</v>
      </c>
      <c r="BA14" s="5"/>
      <c r="BB14" s="27">
        <f>1/1.7143</f>
        <v>0.5833284722627312</v>
      </c>
      <c r="BC14" s="19">
        <v>194.84</v>
      </c>
      <c r="BD14" s="5"/>
      <c r="BE14" s="27">
        <f aca="true" t="shared" si="0" ref="BE14:BE25">(+C14+F14+I14+L14+O14+R14+U14+X14+AA14+AD14+AG14+AJ14+AM14+AP14+AS14+AV14+AY14+BB14)/18</f>
        <v>0.5929594128321525</v>
      </c>
      <c r="BF14" s="19">
        <f aca="true" t="shared" si="1" ref="BF14:BF25">(+D14+G14+J14+M14+P14+S14+V14+Y14+AB14+AE14+AH14+AK14+AN14+AQ14+AT14+AW14+AZ14+BC14)/18</f>
        <v>194.8122222222222</v>
      </c>
      <c r="BG14" s="31"/>
      <c r="BH14" s="31"/>
      <c r="BI14" s="32"/>
      <c r="BJ14" s="31"/>
      <c r="BK14" s="31"/>
      <c r="BL14" s="32"/>
      <c r="BM14" s="32"/>
      <c r="BN14" s="31"/>
      <c r="BO14" s="32"/>
      <c r="BP14" s="32"/>
      <c r="BQ14" s="31"/>
      <c r="BR14" s="32"/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1.341</v>
      </c>
      <c r="D15" s="19">
        <v>86.63</v>
      </c>
      <c r="E15" s="5"/>
      <c r="F15" s="27">
        <v>1.3605</v>
      </c>
      <c r="G15" s="19">
        <v>85.93</v>
      </c>
      <c r="H15" s="5"/>
      <c r="I15" s="27">
        <v>1.3666</v>
      </c>
      <c r="J15" s="19">
        <v>85.6</v>
      </c>
      <c r="K15" s="5"/>
      <c r="L15" s="27">
        <v>1.3668</v>
      </c>
      <c r="M15" s="19">
        <v>85.6</v>
      </c>
      <c r="N15" s="5"/>
      <c r="O15" s="27">
        <v>1.3723</v>
      </c>
      <c r="P15" s="19">
        <v>85.42</v>
      </c>
      <c r="Q15" s="5"/>
      <c r="R15" s="27">
        <v>1.3697</v>
      </c>
      <c r="S15" s="19">
        <v>85.33</v>
      </c>
      <c r="T15" s="5"/>
      <c r="U15" s="27">
        <v>1.3657</v>
      </c>
      <c r="V15" s="19">
        <v>85.56</v>
      </c>
      <c r="W15" s="5"/>
      <c r="X15" s="27">
        <v>1.3503</v>
      </c>
      <c r="Y15" s="19">
        <v>86.07</v>
      </c>
      <c r="Z15" s="5"/>
      <c r="AA15" s="27">
        <v>1.343</v>
      </c>
      <c r="AB15" s="19">
        <v>85.99</v>
      </c>
      <c r="AC15" s="5"/>
      <c r="AD15" s="27">
        <v>1.331</v>
      </c>
      <c r="AE15" s="19">
        <v>86.36</v>
      </c>
      <c r="AF15" s="5"/>
      <c r="AG15" s="27">
        <v>1.319</v>
      </c>
      <c r="AH15" s="19">
        <v>87.14</v>
      </c>
      <c r="AI15" s="5"/>
      <c r="AJ15" s="27">
        <v>1.3224</v>
      </c>
      <c r="AK15" s="19">
        <v>87</v>
      </c>
      <c r="AL15" s="5"/>
      <c r="AM15" s="27">
        <v>1.3004</v>
      </c>
      <c r="AN15" s="19">
        <v>87.8</v>
      </c>
      <c r="AO15" s="5"/>
      <c r="AP15" s="27">
        <v>1.3005</v>
      </c>
      <c r="AQ15" s="19">
        <v>87.81</v>
      </c>
      <c r="AR15" s="5"/>
      <c r="AS15" s="27">
        <v>1.3011</v>
      </c>
      <c r="AT15" s="19">
        <v>87.8</v>
      </c>
      <c r="AU15" s="5"/>
      <c r="AV15" s="27">
        <v>1.3139</v>
      </c>
      <c r="AW15" s="19">
        <v>86.93</v>
      </c>
      <c r="AX15" s="5"/>
      <c r="AY15" s="27">
        <v>1.3108</v>
      </c>
      <c r="AZ15" s="19">
        <v>87.1</v>
      </c>
      <c r="BA15" s="5"/>
      <c r="BB15" s="27">
        <v>1.2999</v>
      </c>
      <c r="BC15" s="19">
        <v>87.43</v>
      </c>
      <c r="BD15" s="5"/>
      <c r="BE15" s="27">
        <f t="shared" si="0"/>
        <v>1.3352722222222224</v>
      </c>
      <c r="BF15" s="19">
        <f t="shared" si="1"/>
        <v>86.52777777777777</v>
      </c>
      <c r="BG15" s="31"/>
      <c r="BH15" s="31"/>
      <c r="BI15" s="32"/>
      <c r="BJ15" s="31"/>
      <c r="BK15" s="31"/>
      <c r="BL15" s="32"/>
      <c r="BM15" s="32"/>
      <c r="BN15" s="31"/>
      <c r="BO15" s="32"/>
      <c r="BP15" s="32"/>
      <c r="BQ15" s="31"/>
      <c r="BR15" s="32"/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1/1.1581</f>
        <v>0.8634832915983076</v>
      </c>
      <c r="D16" s="19">
        <v>134.54</v>
      </c>
      <c r="E16" s="5"/>
      <c r="F16" s="27">
        <f>1/1.1462</f>
        <v>0.8724480893386842</v>
      </c>
      <c r="G16" s="19">
        <v>134</v>
      </c>
      <c r="H16" s="5"/>
      <c r="I16" s="27">
        <f>1/1.1458</f>
        <v>0.8727526618956188</v>
      </c>
      <c r="J16" s="19">
        <v>134.04</v>
      </c>
      <c r="K16" s="5"/>
      <c r="L16" s="27">
        <f>1/1.1449</f>
        <v>0.8734387282732116</v>
      </c>
      <c r="M16" s="19">
        <v>133.95</v>
      </c>
      <c r="N16" s="5"/>
      <c r="O16" s="27">
        <f>1/1.1424</f>
        <v>0.8753501400560223</v>
      </c>
      <c r="P16" s="19">
        <v>133.91</v>
      </c>
      <c r="Q16" s="5"/>
      <c r="R16" s="27">
        <f>1/1.1479</f>
        <v>0.8711560240439064</v>
      </c>
      <c r="S16" s="19">
        <v>134.16</v>
      </c>
      <c r="T16" s="5"/>
      <c r="U16" s="27">
        <f>1/1.1488</f>
        <v>0.8704735376044568</v>
      </c>
      <c r="V16" s="19">
        <v>134.24</v>
      </c>
      <c r="W16" s="5"/>
      <c r="X16" s="27">
        <f>1/1.1595</f>
        <v>0.8624407072013799</v>
      </c>
      <c r="Y16" s="19">
        <v>134.76</v>
      </c>
      <c r="Z16" s="5"/>
      <c r="AA16" s="27">
        <f>1/1.1692</f>
        <v>0.8552856654122477</v>
      </c>
      <c r="AB16" s="19">
        <v>135.03</v>
      </c>
      <c r="AC16" s="5"/>
      <c r="AD16" s="27">
        <f>1/1.1779</f>
        <v>0.8489685032685288</v>
      </c>
      <c r="AE16" s="19">
        <v>135.4</v>
      </c>
      <c r="AF16" s="5"/>
      <c r="AG16" s="27">
        <f>1/1.1819</f>
        <v>0.8460952703274389</v>
      </c>
      <c r="AH16" s="19">
        <v>135.84</v>
      </c>
      <c r="AI16" s="5"/>
      <c r="AJ16" s="27">
        <f>1/1.176</f>
        <v>0.8503401360544218</v>
      </c>
      <c r="AK16" s="19">
        <v>135.29</v>
      </c>
      <c r="AL16" s="5"/>
      <c r="AM16" s="27">
        <f>1/1.1923</f>
        <v>0.8387150884844419</v>
      </c>
      <c r="AN16" s="19">
        <v>136.12</v>
      </c>
      <c r="AO16" s="5"/>
      <c r="AP16" s="27">
        <f>1/1.1917</f>
        <v>0.8391373667869431</v>
      </c>
      <c r="AQ16" s="19">
        <v>136.09</v>
      </c>
      <c r="AR16" s="5"/>
      <c r="AS16" s="27">
        <f>1/1.1874</f>
        <v>0.8421761832575375</v>
      </c>
      <c r="AT16" s="19">
        <v>135.65</v>
      </c>
      <c r="AU16" s="5"/>
      <c r="AV16" s="27">
        <f>1/1.1804</f>
        <v>0.8471704506946799</v>
      </c>
      <c r="AW16" s="19">
        <v>134.83</v>
      </c>
      <c r="AX16" s="5"/>
      <c r="AY16" s="27">
        <f>1/1.1828</f>
        <v>0.8454514710855596</v>
      </c>
      <c r="AZ16" s="19">
        <v>135.05</v>
      </c>
      <c r="BA16" s="5"/>
      <c r="BB16" s="27">
        <f>1/1.1908</f>
        <v>0.8397715821296606</v>
      </c>
      <c r="BC16" s="19">
        <v>135.34</v>
      </c>
      <c r="BD16" s="5"/>
      <c r="BE16" s="27">
        <f t="shared" si="0"/>
        <v>0.8563697165285026</v>
      </c>
      <c r="BF16" s="19">
        <f t="shared" si="1"/>
        <v>134.90222222222224</v>
      </c>
      <c r="BG16" s="31"/>
      <c r="BH16" s="31"/>
      <c r="BI16" s="32"/>
      <c r="BJ16" s="31"/>
      <c r="BK16" s="31"/>
      <c r="BL16" s="32"/>
      <c r="BM16" s="32"/>
      <c r="BN16" s="31"/>
      <c r="BO16" s="32"/>
      <c r="BP16" s="32"/>
      <c r="BQ16" s="31"/>
      <c r="BR16" s="32"/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383</v>
      </c>
      <c r="D17" s="19">
        <v>44494.71</v>
      </c>
      <c r="E17" s="5"/>
      <c r="F17" s="27">
        <v>378.5</v>
      </c>
      <c r="G17" s="19">
        <v>44248.23</v>
      </c>
      <c r="H17" s="5"/>
      <c r="I17" s="27">
        <v>382</v>
      </c>
      <c r="J17" s="19">
        <v>44687.63</v>
      </c>
      <c r="K17" s="5"/>
      <c r="L17" s="27">
        <v>381.75</v>
      </c>
      <c r="M17" s="19">
        <v>44664.75</v>
      </c>
      <c r="N17" s="5"/>
      <c r="O17" s="27">
        <v>381</v>
      </c>
      <c r="P17" s="19">
        <v>44660.82</v>
      </c>
      <c r="Q17" s="5"/>
      <c r="R17" s="27">
        <v>382.9</v>
      </c>
      <c r="S17" s="19">
        <v>44749.84</v>
      </c>
      <c r="T17" s="5"/>
      <c r="U17" s="27">
        <v>386</v>
      </c>
      <c r="V17" s="19">
        <v>45105.39</v>
      </c>
      <c r="W17" s="5"/>
      <c r="X17" s="27">
        <v>387.85</v>
      </c>
      <c r="Y17" s="19">
        <v>45076.57</v>
      </c>
      <c r="Z17" s="5"/>
      <c r="AA17" s="27">
        <v>395</v>
      </c>
      <c r="AB17" s="19">
        <v>45616.58</v>
      </c>
      <c r="AC17" s="5"/>
      <c r="AD17" s="27">
        <v>395</v>
      </c>
      <c r="AE17" s="19">
        <v>45405.91</v>
      </c>
      <c r="AF17" s="5"/>
      <c r="AG17" s="27">
        <v>397.8</v>
      </c>
      <c r="AH17" s="19">
        <v>45720.48</v>
      </c>
      <c r="AI17" s="5"/>
      <c r="AJ17" s="27">
        <v>392</v>
      </c>
      <c r="AK17" s="19">
        <v>45097.64</v>
      </c>
      <c r="AL17" s="5"/>
      <c r="AM17" s="27">
        <v>396.8</v>
      </c>
      <c r="AN17" s="19">
        <v>45302.66</v>
      </c>
      <c r="AO17" s="5"/>
      <c r="AP17" s="27">
        <v>395.75</v>
      </c>
      <c r="AQ17" s="19">
        <v>45194.65</v>
      </c>
      <c r="AR17" s="5"/>
      <c r="AS17" s="27">
        <v>393.75</v>
      </c>
      <c r="AT17" s="19">
        <v>44982.33</v>
      </c>
      <c r="AU17" s="5"/>
      <c r="AV17" s="27">
        <v>393.25</v>
      </c>
      <c r="AW17" s="19">
        <v>44917.02</v>
      </c>
      <c r="AX17" s="5"/>
      <c r="AY17" s="27">
        <v>392.25</v>
      </c>
      <c r="AZ17" s="19">
        <v>44785.14</v>
      </c>
      <c r="BA17" s="5"/>
      <c r="BB17" s="27">
        <v>395.75</v>
      </c>
      <c r="BC17" s="19">
        <v>44978.97</v>
      </c>
      <c r="BD17" s="5"/>
      <c r="BE17" s="27">
        <f t="shared" si="0"/>
        <v>389.4638888888889</v>
      </c>
      <c r="BF17" s="19">
        <f t="shared" si="1"/>
        <v>44982.740000000005</v>
      </c>
      <c r="BG17" s="31"/>
      <c r="BH17" s="31"/>
      <c r="BI17" s="32"/>
      <c r="BJ17" s="31"/>
      <c r="BK17" s="31"/>
      <c r="BL17" s="32"/>
      <c r="BM17" s="32"/>
      <c r="BN17" s="31"/>
      <c r="BO17" s="32"/>
      <c r="BP17" s="32"/>
      <c r="BQ17" s="31"/>
      <c r="BR17" s="32"/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5.05</v>
      </c>
      <c r="D18" s="19">
        <v>586.68</v>
      </c>
      <c r="E18" s="5"/>
      <c r="F18" s="27">
        <v>4.94</v>
      </c>
      <c r="G18" s="19">
        <v>577.51</v>
      </c>
      <c r="H18" s="5"/>
      <c r="I18" s="27">
        <v>5.01</v>
      </c>
      <c r="J18" s="19">
        <v>586.09</v>
      </c>
      <c r="K18" s="5"/>
      <c r="L18" s="27">
        <v>4.97</v>
      </c>
      <c r="M18" s="19">
        <v>581.49</v>
      </c>
      <c r="N18" s="5"/>
      <c r="O18" s="27">
        <v>4.95</v>
      </c>
      <c r="P18" s="19">
        <v>580.24</v>
      </c>
      <c r="Q18" s="5"/>
      <c r="R18" s="27">
        <v>5.03</v>
      </c>
      <c r="S18" s="19">
        <v>587.86</v>
      </c>
      <c r="T18" s="5"/>
      <c r="U18" s="27">
        <v>5.06</v>
      </c>
      <c r="V18" s="19">
        <v>591.28</v>
      </c>
      <c r="W18" s="5"/>
      <c r="X18" s="27">
        <v>5.05</v>
      </c>
      <c r="Y18" s="19">
        <v>586.92</v>
      </c>
      <c r="Z18" s="5"/>
      <c r="AA18" s="27">
        <v>5.3</v>
      </c>
      <c r="AB18" s="19">
        <v>612.07</v>
      </c>
      <c r="AC18" s="5"/>
      <c r="AD18" s="27">
        <v>5.27</v>
      </c>
      <c r="AE18" s="19">
        <v>605.8</v>
      </c>
      <c r="AF18" s="5"/>
      <c r="AG18" s="27">
        <v>5.38</v>
      </c>
      <c r="AH18" s="19">
        <v>618.34</v>
      </c>
      <c r="AI18" s="5"/>
      <c r="AJ18" s="27">
        <v>5.22</v>
      </c>
      <c r="AK18" s="19">
        <v>600.53</v>
      </c>
      <c r="AL18" s="5"/>
      <c r="AM18" s="27">
        <v>5.32</v>
      </c>
      <c r="AN18" s="19">
        <v>607.38</v>
      </c>
      <c r="AO18" s="5"/>
      <c r="AP18" s="27">
        <v>5.27</v>
      </c>
      <c r="AQ18" s="19">
        <v>601.83</v>
      </c>
      <c r="AR18" s="5"/>
      <c r="AS18" s="27">
        <v>5.24</v>
      </c>
      <c r="AT18" s="19">
        <v>598.62</v>
      </c>
      <c r="AU18" s="5"/>
      <c r="AV18" s="27">
        <v>5.24</v>
      </c>
      <c r="AW18" s="19">
        <v>598.51</v>
      </c>
      <c r="AX18" s="5"/>
      <c r="AY18" s="27">
        <v>5.3</v>
      </c>
      <c r="AZ18" s="19">
        <v>605.13</v>
      </c>
      <c r="BA18" s="5"/>
      <c r="BB18" s="27">
        <v>5.31</v>
      </c>
      <c r="BC18" s="19">
        <v>603.51</v>
      </c>
      <c r="BD18" s="5"/>
      <c r="BE18" s="27">
        <f t="shared" si="0"/>
        <v>5.161666666666665</v>
      </c>
      <c r="BF18" s="19">
        <f t="shared" si="1"/>
        <v>596.0994444444445</v>
      </c>
      <c r="BG18" s="31"/>
      <c r="BH18" s="31"/>
      <c r="BI18" s="32"/>
      <c r="BJ18" s="31"/>
      <c r="BK18" s="31"/>
      <c r="BL18" s="32"/>
      <c r="BM18" s="32"/>
      <c r="BN18" s="31"/>
      <c r="BO18" s="32"/>
      <c r="BP18" s="32"/>
      <c r="BQ18" s="31"/>
      <c r="BR18" s="32"/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1/0.7066</f>
        <v>1.4152278516841212</v>
      </c>
      <c r="D19" s="19">
        <v>82.09</v>
      </c>
      <c r="E19" s="5"/>
      <c r="F19" s="27">
        <f>1/0.6993</f>
        <v>1.4300014300014299</v>
      </c>
      <c r="G19" s="19">
        <v>81.75</v>
      </c>
      <c r="H19" s="5"/>
      <c r="I19" s="27">
        <f>1/0.7094</f>
        <v>1.40964195094446</v>
      </c>
      <c r="J19" s="19">
        <v>82.99</v>
      </c>
      <c r="K19" s="5"/>
      <c r="L19" s="27">
        <f>1/0.7101</f>
        <v>1.4082523588227012</v>
      </c>
      <c r="M19" s="19">
        <v>83.08</v>
      </c>
      <c r="N19" s="5"/>
      <c r="O19" s="27">
        <f>1/0.7069</f>
        <v>1.4146272457207527</v>
      </c>
      <c r="P19" s="19">
        <v>82.86</v>
      </c>
      <c r="Q19" s="5"/>
      <c r="R19" s="27">
        <f>1/0.7139</f>
        <v>1.4007564084605688</v>
      </c>
      <c r="S19" s="19">
        <v>83.43</v>
      </c>
      <c r="T19" s="5"/>
      <c r="U19" s="27">
        <f>1/0.7137</f>
        <v>1.4011489421325487</v>
      </c>
      <c r="V19" s="19">
        <v>83.4</v>
      </c>
      <c r="W19" s="5"/>
      <c r="X19" s="27">
        <f>1/0.7154</f>
        <v>1.3978194017332959</v>
      </c>
      <c r="Y19" s="19">
        <v>83.14</v>
      </c>
      <c r="Z19" s="5"/>
      <c r="AA19" s="27">
        <f>1/0.7202</f>
        <v>1.3885031935573453</v>
      </c>
      <c r="AB19" s="19">
        <v>83.17</v>
      </c>
      <c r="AC19" s="5"/>
      <c r="AD19" s="27">
        <f>1/0.7212</f>
        <v>1.3865779256794233</v>
      </c>
      <c r="AE19" s="19">
        <v>82.9</v>
      </c>
      <c r="AF19" s="5"/>
      <c r="AG19" s="27">
        <f>1/0.7163</f>
        <v>1.3960631020522127</v>
      </c>
      <c r="AH19" s="19">
        <v>82.33</v>
      </c>
      <c r="AI19" s="5"/>
      <c r="AJ19" s="27">
        <f>1/0.7166</f>
        <v>1.3954786491766675</v>
      </c>
      <c r="AK19" s="19">
        <v>82.44</v>
      </c>
      <c r="AL19" s="5"/>
      <c r="AM19" s="27">
        <f>1/0.721</f>
        <v>1.3869625520110958</v>
      </c>
      <c r="AN19" s="19">
        <v>82.32</v>
      </c>
      <c r="AO19" s="5"/>
      <c r="AP19" s="27">
        <f>1/0.7225</f>
        <v>1.3840830449826989</v>
      </c>
      <c r="AQ19" s="19">
        <v>82.51</v>
      </c>
      <c r="AR19" s="5"/>
      <c r="AS19" s="27">
        <f>1/0.7212</f>
        <v>1.3865779256794233</v>
      </c>
      <c r="AT19" s="19">
        <v>82.39</v>
      </c>
      <c r="AU19" s="5"/>
      <c r="AV19" s="27">
        <f>1/0.7213</f>
        <v>1.3863856924996534</v>
      </c>
      <c r="AW19" s="19">
        <v>82.39</v>
      </c>
      <c r="AX19" s="18"/>
      <c r="AY19" s="27">
        <f>1/0.7191</f>
        <v>1.3906271728549577</v>
      </c>
      <c r="AZ19" s="19">
        <v>82.1</v>
      </c>
      <c r="BA19" s="18"/>
      <c r="BB19" s="27">
        <f>1/0.7224</f>
        <v>1.3842746400885935</v>
      </c>
      <c r="BC19" s="19">
        <v>82.1</v>
      </c>
      <c r="BD19" s="18"/>
      <c r="BE19" s="27">
        <f t="shared" si="0"/>
        <v>1.3979449715601084</v>
      </c>
      <c r="BF19" s="19">
        <f t="shared" si="1"/>
        <v>82.63277777777778</v>
      </c>
      <c r="BG19" s="31"/>
      <c r="BH19" s="31"/>
      <c r="BI19" s="32"/>
      <c r="BJ19" s="31"/>
      <c r="BK19" s="31"/>
      <c r="BL19" s="32"/>
      <c r="BM19" s="32"/>
      <c r="BN19" s="31"/>
      <c r="BO19" s="32"/>
      <c r="BP19" s="32"/>
      <c r="BQ19" s="31"/>
      <c r="BR19" s="32"/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1.3235</v>
      </c>
      <c r="D20" s="19">
        <v>87.78</v>
      </c>
      <c r="E20" s="5"/>
      <c r="F20" s="27">
        <v>1.341</v>
      </c>
      <c r="G20" s="19">
        <v>87.18</v>
      </c>
      <c r="H20" s="5"/>
      <c r="I20" s="27">
        <v>1.3313</v>
      </c>
      <c r="J20" s="19">
        <v>87.87</v>
      </c>
      <c r="K20" s="5"/>
      <c r="L20" s="27">
        <v>1.3322</v>
      </c>
      <c r="M20" s="19">
        <v>87.82</v>
      </c>
      <c r="N20" s="5"/>
      <c r="O20" s="27">
        <v>1.3367</v>
      </c>
      <c r="P20" s="19">
        <v>87.69</v>
      </c>
      <c r="Q20" s="5"/>
      <c r="R20" s="27">
        <v>1.3216</v>
      </c>
      <c r="S20" s="19">
        <v>88.43</v>
      </c>
      <c r="T20" s="5"/>
      <c r="U20" s="27">
        <v>1.3124</v>
      </c>
      <c r="V20" s="19">
        <v>89.04</v>
      </c>
      <c r="W20" s="5"/>
      <c r="X20" s="27">
        <v>1.3112</v>
      </c>
      <c r="Y20" s="19">
        <v>88.64</v>
      </c>
      <c r="Z20" s="5"/>
      <c r="AA20" s="27">
        <v>1.2991</v>
      </c>
      <c r="AB20" s="19">
        <v>88.9</v>
      </c>
      <c r="AC20" s="5"/>
      <c r="AD20" s="27">
        <v>1.2978</v>
      </c>
      <c r="AE20" s="19">
        <v>88.57</v>
      </c>
      <c r="AF20" s="5"/>
      <c r="AG20" s="27">
        <v>1.3034</v>
      </c>
      <c r="AH20" s="19">
        <v>88.18</v>
      </c>
      <c r="AI20" s="5"/>
      <c r="AJ20" s="27">
        <v>1.3099</v>
      </c>
      <c r="AK20" s="19">
        <v>87.83</v>
      </c>
      <c r="AL20" s="5"/>
      <c r="AM20" s="27">
        <v>1.3005</v>
      </c>
      <c r="AN20" s="19">
        <v>87.79</v>
      </c>
      <c r="AO20" s="5"/>
      <c r="AP20" s="27">
        <v>1.3025</v>
      </c>
      <c r="AQ20" s="19">
        <v>87.68</v>
      </c>
      <c r="AR20" s="5"/>
      <c r="AS20" s="27">
        <v>1.3054</v>
      </c>
      <c r="AT20" s="19">
        <v>87.51</v>
      </c>
      <c r="AU20" s="5"/>
      <c r="AV20" s="27">
        <v>1.3079</v>
      </c>
      <c r="AW20" s="19">
        <v>87.33</v>
      </c>
      <c r="AX20" s="5"/>
      <c r="AY20" s="27">
        <v>1.3105</v>
      </c>
      <c r="AZ20" s="19">
        <v>87.12</v>
      </c>
      <c r="BA20" s="5"/>
      <c r="BB20" s="27">
        <v>1.3069</v>
      </c>
      <c r="BC20" s="19">
        <v>86.97</v>
      </c>
      <c r="BD20" s="5"/>
      <c r="BE20" s="27">
        <f t="shared" si="0"/>
        <v>1.3140999999999998</v>
      </c>
      <c r="BF20" s="19">
        <f t="shared" si="1"/>
        <v>87.9072222222222</v>
      </c>
      <c r="BG20" s="31"/>
      <c r="BH20" s="31"/>
      <c r="BI20" s="32"/>
      <c r="BJ20" s="31"/>
      <c r="BK20" s="31"/>
      <c r="BL20" s="32"/>
      <c r="BM20" s="32"/>
      <c r="BN20" s="31"/>
      <c r="BO20" s="32"/>
      <c r="BP20" s="32"/>
      <c r="BQ20" s="31"/>
      <c r="BR20" s="32"/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7.8371</v>
      </c>
      <c r="D21" s="19">
        <v>14.82</v>
      </c>
      <c r="E21" s="5"/>
      <c r="F21" s="27">
        <v>7.892</v>
      </c>
      <c r="G21" s="19">
        <v>14.81</v>
      </c>
      <c r="H21" s="5"/>
      <c r="I21" s="27">
        <v>7.8785</v>
      </c>
      <c r="J21" s="19">
        <v>14.85</v>
      </c>
      <c r="K21" s="5"/>
      <c r="L21" s="27">
        <v>7.8677</v>
      </c>
      <c r="M21" s="19">
        <v>14.87</v>
      </c>
      <c r="N21" s="5"/>
      <c r="O21" s="27">
        <v>7.8551</v>
      </c>
      <c r="P21" s="19">
        <v>14.92</v>
      </c>
      <c r="Q21" s="5"/>
      <c r="R21" s="27">
        <v>7.8258</v>
      </c>
      <c r="S21" s="19">
        <v>14.93</v>
      </c>
      <c r="T21" s="5"/>
      <c r="U21" s="27">
        <v>7.8193</v>
      </c>
      <c r="V21" s="19">
        <v>14.94</v>
      </c>
      <c r="W21" s="5"/>
      <c r="X21" s="27">
        <v>7.74</v>
      </c>
      <c r="Y21" s="19">
        <v>15.02</v>
      </c>
      <c r="Z21" s="5"/>
      <c r="AA21" s="27">
        <v>7.6597</v>
      </c>
      <c r="AB21" s="19">
        <v>15.08</v>
      </c>
      <c r="AC21" s="5"/>
      <c r="AD21" s="27">
        <v>7.6007</v>
      </c>
      <c r="AE21" s="19">
        <v>15.12</v>
      </c>
      <c r="AF21" s="5"/>
      <c r="AG21" s="27">
        <v>7.5822</v>
      </c>
      <c r="AH21" s="19">
        <v>15.16</v>
      </c>
      <c r="AI21" s="5"/>
      <c r="AJ21" s="27">
        <v>7.6241</v>
      </c>
      <c r="AK21" s="19">
        <v>15.09</v>
      </c>
      <c r="AL21" s="5"/>
      <c r="AM21" s="27">
        <v>7.534</v>
      </c>
      <c r="AN21" s="19">
        <v>15.15</v>
      </c>
      <c r="AO21" s="5"/>
      <c r="AP21" s="27">
        <v>7.5285</v>
      </c>
      <c r="AQ21" s="19">
        <v>15.17</v>
      </c>
      <c r="AR21" s="5"/>
      <c r="AS21" s="27">
        <v>7.5493</v>
      </c>
      <c r="AT21" s="19">
        <v>15.13</v>
      </c>
      <c r="AU21" s="5"/>
      <c r="AV21" s="27">
        <v>7.578</v>
      </c>
      <c r="AW21" s="19">
        <v>15.07</v>
      </c>
      <c r="AX21" s="5"/>
      <c r="AY21" s="27">
        <v>7.595</v>
      </c>
      <c r="AZ21" s="19">
        <v>15.03</v>
      </c>
      <c r="BA21" s="5"/>
      <c r="BB21" s="27">
        <v>7.5812</v>
      </c>
      <c r="BC21" s="19">
        <v>14.99</v>
      </c>
      <c r="BD21" s="5"/>
      <c r="BE21" s="27">
        <f t="shared" si="0"/>
        <v>7.697122222222223</v>
      </c>
      <c r="BF21" s="19">
        <f t="shared" si="1"/>
        <v>15.008333333333333</v>
      </c>
      <c r="BG21" s="31"/>
      <c r="BH21" s="31"/>
      <c r="BI21" s="32"/>
      <c r="BJ21" s="31"/>
      <c r="BK21" s="31"/>
      <c r="BL21" s="32"/>
      <c r="BM21" s="32"/>
      <c r="BN21" s="31"/>
      <c r="BO21" s="32"/>
      <c r="BP21" s="32"/>
      <c r="BQ21" s="31"/>
      <c r="BR21" s="32"/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7.1072</v>
      </c>
      <c r="D22" s="19">
        <v>16.35</v>
      </c>
      <c r="E22" s="5"/>
      <c r="F22" s="27">
        <v>7.1777</v>
      </c>
      <c r="G22" s="19">
        <v>16.29</v>
      </c>
      <c r="H22" s="5"/>
      <c r="I22" s="27">
        <v>7.2029</v>
      </c>
      <c r="J22" s="19">
        <v>16.24</v>
      </c>
      <c r="K22" s="5"/>
      <c r="L22" s="27">
        <v>7.2018</v>
      </c>
      <c r="M22" s="19">
        <v>16.25</v>
      </c>
      <c r="N22" s="5"/>
      <c r="O22" s="27">
        <v>7.2079</v>
      </c>
      <c r="P22" s="19">
        <v>16.26</v>
      </c>
      <c r="Q22" s="5"/>
      <c r="R22" s="27">
        <v>7.112</v>
      </c>
      <c r="S22" s="19">
        <v>16.27</v>
      </c>
      <c r="T22" s="5"/>
      <c r="U22" s="27">
        <v>7.1444</v>
      </c>
      <c r="V22" s="19">
        <v>16.36</v>
      </c>
      <c r="W22" s="5"/>
      <c r="X22" s="27">
        <v>7.0758</v>
      </c>
      <c r="Y22" s="19">
        <v>16.43</v>
      </c>
      <c r="Z22" s="5"/>
      <c r="AA22" s="27">
        <v>6.9901</v>
      </c>
      <c r="AB22" s="19">
        <v>16.52</v>
      </c>
      <c r="AC22" s="5"/>
      <c r="AD22" s="27">
        <v>6.9568</v>
      </c>
      <c r="AE22" s="19">
        <v>16.52</v>
      </c>
      <c r="AF22" s="5"/>
      <c r="AG22" s="27">
        <v>6.9477</v>
      </c>
      <c r="AH22" s="19">
        <v>16.54</v>
      </c>
      <c r="AI22" s="5"/>
      <c r="AJ22" s="27">
        <v>6.9577</v>
      </c>
      <c r="AK22" s="19">
        <v>16.53</v>
      </c>
      <c r="AL22" s="5"/>
      <c r="AM22" s="27">
        <v>6.8554</v>
      </c>
      <c r="AN22" s="19">
        <v>16.65</v>
      </c>
      <c r="AO22" s="5"/>
      <c r="AP22" s="27">
        <v>6.8554</v>
      </c>
      <c r="AQ22" s="19">
        <v>16.66</v>
      </c>
      <c r="AR22" s="5"/>
      <c r="AS22" s="27">
        <v>6.8701</v>
      </c>
      <c r="AT22" s="19">
        <v>16.63</v>
      </c>
      <c r="AU22" s="5"/>
      <c r="AV22" s="27">
        <v>6.9115</v>
      </c>
      <c r="AW22" s="19">
        <v>16.53</v>
      </c>
      <c r="AX22" s="5"/>
      <c r="AY22" s="27">
        <v>6.8931</v>
      </c>
      <c r="AZ22" s="19">
        <v>16.56</v>
      </c>
      <c r="BA22" s="5"/>
      <c r="BB22" s="27">
        <v>6.8577</v>
      </c>
      <c r="BC22" s="19">
        <v>16.57</v>
      </c>
      <c r="BD22" s="5"/>
      <c r="BE22" s="27">
        <f t="shared" si="0"/>
        <v>7.018066666666667</v>
      </c>
      <c r="BF22" s="19">
        <f t="shared" si="1"/>
        <v>16.453333333333333</v>
      </c>
      <c r="BG22" s="31"/>
      <c r="BH22" s="31"/>
      <c r="BI22" s="32"/>
      <c r="BJ22" s="31"/>
      <c r="BK22" s="31"/>
      <c r="BL22" s="32"/>
      <c r="BM22" s="32"/>
      <c r="BN22" s="31"/>
      <c r="BO22" s="32"/>
      <c r="BP22" s="32"/>
      <c r="BQ22" s="31"/>
      <c r="BR22" s="32"/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6.4166</v>
      </c>
      <c r="D23" s="19">
        <v>18.11</v>
      </c>
      <c r="E23" s="5"/>
      <c r="F23" s="27">
        <v>6.4827</v>
      </c>
      <c r="G23" s="19">
        <v>18.03</v>
      </c>
      <c r="H23" s="5"/>
      <c r="I23" s="27">
        <v>6.4884</v>
      </c>
      <c r="J23" s="19">
        <v>18.03</v>
      </c>
      <c r="K23" s="5"/>
      <c r="L23" s="27">
        <v>6.4922</v>
      </c>
      <c r="M23" s="19">
        <v>18.02</v>
      </c>
      <c r="N23" s="5"/>
      <c r="O23" s="27">
        <v>6.506</v>
      </c>
      <c r="P23" s="19">
        <v>18.02</v>
      </c>
      <c r="Q23" s="5"/>
      <c r="R23" s="27">
        <v>6.4754</v>
      </c>
      <c r="S23" s="19">
        <v>18.05</v>
      </c>
      <c r="T23" s="5"/>
      <c r="U23" s="27">
        <v>6.4715</v>
      </c>
      <c r="V23" s="19">
        <v>18.06</v>
      </c>
      <c r="W23" s="5"/>
      <c r="X23" s="27">
        <v>6.4112</v>
      </c>
      <c r="Y23" s="19">
        <v>18.13</v>
      </c>
      <c r="Z23" s="5"/>
      <c r="AA23" s="27">
        <v>6.3577</v>
      </c>
      <c r="AB23" s="19">
        <v>18.16</v>
      </c>
      <c r="AC23" s="5"/>
      <c r="AD23" s="27">
        <v>6.3115</v>
      </c>
      <c r="AE23" s="19">
        <v>18.21</v>
      </c>
      <c r="AF23" s="5"/>
      <c r="AG23" s="27">
        <v>6.2919</v>
      </c>
      <c r="AH23" s="19">
        <v>18.27</v>
      </c>
      <c r="AI23" s="5"/>
      <c r="AJ23" s="27">
        <v>6.3234</v>
      </c>
      <c r="AK23" s="19">
        <v>18.19</v>
      </c>
      <c r="AL23" s="5"/>
      <c r="AM23" s="27">
        <v>6.2366</v>
      </c>
      <c r="AN23" s="19">
        <v>18.31</v>
      </c>
      <c r="AO23" s="5"/>
      <c r="AP23" s="27">
        <v>6.2381</v>
      </c>
      <c r="AQ23" s="19">
        <v>18.31</v>
      </c>
      <c r="AR23" s="5"/>
      <c r="AS23" s="27">
        <v>6.2614</v>
      </c>
      <c r="AT23" s="19">
        <v>18.25</v>
      </c>
      <c r="AU23" s="5"/>
      <c r="AV23" s="27">
        <v>6.2982</v>
      </c>
      <c r="AW23" s="19">
        <v>18.14</v>
      </c>
      <c r="AX23" s="5"/>
      <c r="AY23" s="27">
        <v>6.2873</v>
      </c>
      <c r="AZ23" s="19">
        <v>18.16</v>
      </c>
      <c r="BA23" s="5"/>
      <c r="BB23" s="27">
        <v>6.2465</v>
      </c>
      <c r="BC23" s="19">
        <v>18.19</v>
      </c>
      <c r="BD23" s="5"/>
      <c r="BE23" s="27">
        <f t="shared" si="0"/>
        <v>6.366477777777778</v>
      </c>
      <c r="BF23" s="19">
        <f t="shared" si="1"/>
        <v>18.146666666666665</v>
      </c>
      <c r="BG23" s="31"/>
      <c r="BH23" s="31"/>
      <c r="BI23" s="32"/>
      <c r="BJ23" s="31"/>
      <c r="BK23" s="31"/>
      <c r="BL23" s="32"/>
      <c r="BM23" s="32"/>
      <c r="BN23" s="31"/>
      <c r="BO23" s="32"/>
      <c r="BP23" s="32"/>
      <c r="BQ23" s="31"/>
      <c r="BR23" s="32"/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1/1.43178</f>
        <v>0.698431323247985</v>
      </c>
      <c r="D24" s="19">
        <v>166.34</v>
      </c>
      <c r="E24" s="5"/>
      <c r="F24" s="27">
        <f>1/1.42918</f>
        <v>0.6997019269791069</v>
      </c>
      <c r="G24" s="19">
        <v>167.08</v>
      </c>
      <c r="H24" s="5"/>
      <c r="I24" s="27">
        <f>1/1.42071</f>
        <v>0.7038734154049736</v>
      </c>
      <c r="J24" s="19">
        <v>166.2</v>
      </c>
      <c r="K24" s="5"/>
      <c r="L24" s="27">
        <f>1/1.42129</f>
        <v>0.7035861787531046</v>
      </c>
      <c r="M24" s="19">
        <v>166.29</v>
      </c>
      <c r="N24" s="5"/>
      <c r="O24" s="27">
        <f>1/1.42079</f>
        <v>0.703833782613898</v>
      </c>
      <c r="P24" s="19">
        <v>166.55</v>
      </c>
      <c r="Q24" s="5"/>
      <c r="R24" s="27">
        <f>1/1.41845</f>
        <v>0.7049948887870563</v>
      </c>
      <c r="S24" s="19">
        <v>165.78</v>
      </c>
      <c r="T24" s="5"/>
      <c r="U24" s="27">
        <f>1/1.42363</f>
        <v>0.7024297043473374</v>
      </c>
      <c r="V24" s="19">
        <v>166.36</v>
      </c>
      <c r="W24" s="5"/>
      <c r="X24" s="27">
        <f>1/1.42415</f>
        <v>0.7021732261348874</v>
      </c>
      <c r="Y24" s="19">
        <v>165.52</v>
      </c>
      <c r="Z24" s="5"/>
      <c r="AA24" s="27">
        <f>1/1.42875</f>
        <v>0.699912510936133</v>
      </c>
      <c r="AB24" s="19">
        <v>165</v>
      </c>
      <c r="AC24" s="5"/>
      <c r="AD24" s="27">
        <f>1/1.43426</f>
        <v>0.6972236554041805</v>
      </c>
      <c r="AE24" s="19">
        <v>164.87</v>
      </c>
      <c r="AF24" s="5"/>
      <c r="AG24" s="27">
        <f>1/1.43989</f>
        <v>0.6944974963365258</v>
      </c>
      <c r="AH24" s="19">
        <v>165.49</v>
      </c>
      <c r="AI24" s="5"/>
      <c r="AJ24" s="27">
        <f>1/1.43906</f>
        <v>0.6948980584548247</v>
      </c>
      <c r="AK24" s="19">
        <v>165.56</v>
      </c>
      <c r="AL24" s="5"/>
      <c r="AM24" s="27">
        <f>1/1.43585</f>
        <v>0.6964515792039558</v>
      </c>
      <c r="AN24" s="19">
        <v>163.93</v>
      </c>
      <c r="AO24" s="5"/>
      <c r="AP24" s="27">
        <f>1/1.44427</f>
        <v>0.6923913118738186</v>
      </c>
      <c r="AQ24" s="19">
        <v>164.94</v>
      </c>
      <c r="AR24" s="5"/>
      <c r="AS24" s="27">
        <f>1/1.4451</f>
        <v>0.6919936336585704</v>
      </c>
      <c r="AT24" s="19">
        <v>165.09</v>
      </c>
      <c r="AU24" s="5"/>
      <c r="AV24" s="27">
        <f>1/1.44333</f>
        <v>0.6928422467488378</v>
      </c>
      <c r="AW24" s="19">
        <v>164.86</v>
      </c>
      <c r="AX24" s="5"/>
      <c r="AY24" s="27">
        <f>1/1.43699</f>
        <v>0.6958990667993514</v>
      </c>
      <c r="AZ24" s="19">
        <v>164.07</v>
      </c>
      <c r="BA24" s="5"/>
      <c r="BB24" s="27">
        <f>1/1.43958</f>
        <v>0.6946470498339793</v>
      </c>
      <c r="BC24" s="19">
        <v>163.62</v>
      </c>
      <c r="BD24" s="5"/>
      <c r="BE24" s="27">
        <f t="shared" si="0"/>
        <v>0.6983211697510292</v>
      </c>
      <c r="BF24" s="19">
        <f t="shared" si="1"/>
        <v>165.41944444444445</v>
      </c>
      <c r="BG24" s="31"/>
      <c r="BH24" s="31"/>
      <c r="BI24" s="32"/>
      <c r="BJ24" s="31"/>
      <c r="BK24" s="31"/>
      <c r="BL24" s="32"/>
      <c r="BM24" s="32"/>
      <c r="BN24" s="31"/>
      <c r="BO24" s="32"/>
      <c r="BP24" s="32"/>
      <c r="BQ24" s="31"/>
      <c r="BR24" s="32"/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116.17</v>
      </c>
      <c r="E25" s="21"/>
      <c r="F25" s="28">
        <v>1</v>
      </c>
      <c r="G25" s="22">
        <v>116.9</v>
      </c>
      <c r="H25" s="21"/>
      <c r="I25" s="28">
        <v>1</v>
      </c>
      <c r="J25" s="22">
        <v>116.98</v>
      </c>
      <c r="K25" s="21"/>
      <c r="L25" s="28">
        <v>1</v>
      </c>
      <c r="M25" s="22">
        <v>117</v>
      </c>
      <c r="N25" s="21"/>
      <c r="O25" s="28">
        <v>1</v>
      </c>
      <c r="P25" s="22">
        <v>117.22</v>
      </c>
      <c r="Q25" s="21"/>
      <c r="R25" s="28">
        <v>1</v>
      </c>
      <c r="S25" s="22">
        <v>116.87</v>
      </c>
      <c r="T25" s="21"/>
      <c r="U25" s="28">
        <v>1</v>
      </c>
      <c r="V25" s="22">
        <v>116.85</v>
      </c>
      <c r="W25" s="21"/>
      <c r="X25" s="28">
        <v>1</v>
      </c>
      <c r="Y25" s="22">
        <v>116.22</v>
      </c>
      <c r="Z25" s="21"/>
      <c r="AA25" s="28">
        <v>1</v>
      </c>
      <c r="AB25" s="22">
        <v>115.49</v>
      </c>
      <c r="AC25" s="21"/>
      <c r="AD25" s="28">
        <v>1</v>
      </c>
      <c r="AE25" s="22">
        <v>114.95</v>
      </c>
      <c r="AF25" s="21"/>
      <c r="AG25" s="28">
        <v>1</v>
      </c>
      <c r="AH25" s="22">
        <v>114.93</v>
      </c>
      <c r="AI25" s="21"/>
      <c r="AJ25" s="28">
        <v>1</v>
      </c>
      <c r="AK25" s="22">
        <v>115.05</v>
      </c>
      <c r="AL25" s="21"/>
      <c r="AM25" s="28">
        <v>1</v>
      </c>
      <c r="AN25" s="22">
        <v>114.17</v>
      </c>
      <c r="AO25" s="21"/>
      <c r="AP25" s="28">
        <v>1</v>
      </c>
      <c r="AQ25" s="22">
        <v>114.2</v>
      </c>
      <c r="AR25" s="21"/>
      <c r="AS25" s="28">
        <v>1</v>
      </c>
      <c r="AT25" s="22">
        <v>114.24</v>
      </c>
      <c r="AU25" s="21"/>
      <c r="AV25" s="28">
        <v>1</v>
      </c>
      <c r="AW25" s="22">
        <v>114.22</v>
      </c>
      <c r="AX25" s="21"/>
      <c r="AY25" s="28">
        <v>1</v>
      </c>
      <c r="AZ25" s="22">
        <v>114.18</v>
      </c>
      <c r="BA25" s="21"/>
      <c r="BB25" s="28">
        <v>1</v>
      </c>
      <c r="BC25" s="22">
        <v>113.66</v>
      </c>
      <c r="BD25" s="21"/>
      <c r="BE25" s="28">
        <f t="shared" si="0"/>
        <v>1</v>
      </c>
      <c r="BF25" s="22">
        <f t="shared" si="1"/>
        <v>115.51666666666668</v>
      </c>
      <c r="BG25" s="31"/>
      <c r="BH25" s="31"/>
      <c r="BI25" s="32"/>
      <c r="BJ25" s="31"/>
      <c r="BK25" s="31"/>
      <c r="BL25" s="32"/>
      <c r="BM25" s="32"/>
      <c r="BN25" s="31"/>
      <c r="BO25" s="32"/>
      <c r="BP25" s="32"/>
      <c r="BQ25" s="31"/>
      <c r="BR25" s="32"/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31"/>
      <c r="BF26" s="32"/>
      <c r="BG26" s="31"/>
      <c r="BH26" s="31"/>
      <c r="BI26" s="31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20" r:id="rId1"/>
  <headerFooter alignWithMargins="0">
    <oddHeader>&amp;LBanka e Shqiperise
Sektori i Statistikave Monetare dhe Financiare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tabSelected="1" zoomScale="75" zoomScaleNormal="75" zoomScalePageLayoutView="0" workbookViewId="0" topLeftCell="A1">
      <pane xSplit="2" ySplit="11" topLeftCell="AT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B4" sqref="BB4:BC25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265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266</v>
      </c>
      <c r="D4" s="4"/>
      <c r="E4" s="10"/>
      <c r="F4" s="4" t="s">
        <v>267</v>
      </c>
      <c r="G4" s="4"/>
      <c r="H4" s="10"/>
      <c r="I4" s="4" t="s">
        <v>268</v>
      </c>
      <c r="J4" s="4"/>
      <c r="K4" s="10"/>
      <c r="L4" s="4" t="s">
        <v>269</v>
      </c>
      <c r="M4" s="4"/>
      <c r="N4" s="10"/>
      <c r="O4" s="4" t="s">
        <v>270</v>
      </c>
      <c r="P4" s="4"/>
      <c r="Q4" s="10"/>
      <c r="R4" s="4" t="s">
        <v>272</v>
      </c>
      <c r="S4" s="4"/>
      <c r="T4" s="10"/>
      <c r="U4" s="4" t="s">
        <v>271</v>
      </c>
      <c r="V4" s="4"/>
      <c r="W4" s="10"/>
      <c r="X4" s="4" t="s">
        <v>273</v>
      </c>
      <c r="Y4" s="4"/>
      <c r="Z4" s="10"/>
      <c r="AA4" s="4" t="s">
        <v>274</v>
      </c>
      <c r="AB4" s="4"/>
      <c r="AC4" s="10"/>
      <c r="AD4" s="4" t="s">
        <v>275</v>
      </c>
      <c r="AE4" s="4"/>
      <c r="AF4" s="10"/>
      <c r="AG4" s="4" t="s">
        <v>276</v>
      </c>
      <c r="AH4" s="4"/>
      <c r="AI4" s="10"/>
      <c r="AJ4" s="4" t="s">
        <v>277</v>
      </c>
      <c r="AK4" s="4"/>
      <c r="AL4" s="10"/>
      <c r="AM4" s="4" t="s">
        <v>278</v>
      </c>
      <c r="AN4" s="4"/>
      <c r="AO4" s="10"/>
      <c r="AP4" s="4" t="s">
        <v>279</v>
      </c>
      <c r="AQ4" s="4"/>
      <c r="AR4" s="10"/>
      <c r="AS4" s="4" t="s">
        <v>280</v>
      </c>
      <c r="AT4" s="4"/>
      <c r="AU4" s="10"/>
      <c r="AV4" s="4" t="s">
        <v>281</v>
      </c>
      <c r="AW4" s="4"/>
      <c r="AX4" s="26"/>
      <c r="AY4" s="4" t="s">
        <v>282</v>
      </c>
      <c r="AZ4" s="4"/>
      <c r="BA4" s="26"/>
      <c r="BB4" s="4" t="s">
        <v>283</v>
      </c>
      <c r="BC4" s="4"/>
      <c r="BD4" s="26"/>
      <c r="BE4" s="4" t="s">
        <v>284</v>
      </c>
      <c r="BF4" s="4"/>
      <c r="BG4" s="26"/>
      <c r="BH4" s="4" t="s">
        <v>285</v>
      </c>
      <c r="BI4" s="4"/>
      <c r="BJ4" s="26"/>
      <c r="BK4" s="4" t="s">
        <v>286</v>
      </c>
      <c r="BL4" s="4"/>
      <c r="BM4" s="26"/>
      <c r="BN4" s="4" t="s">
        <v>3</v>
      </c>
      <c r="BO4" s="4"/>
      <c r="BP4" s="37"/>
      <c r="BQ4" s="37"/>
      <c r="BR4" s="37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38"/>
      <c r="BQ5" s="38"/>
      <c r="BR5" s="38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9"/>
      <c r="BQ6" s="9"/>
      <c r="BR6" s="9"/>
      <c r="BS6" s="9"/>
      <c r="BT6" s="9"/>
      <c r="BU6" s="9"/>
    </row>
    <row r="7" spans="1:73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39"/>
      <c r="BQ7" s="39"/>
      <c r="BR7" s="39"/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39"/>
      <c r="BQ8" s="39"/>
      <c r="BR8" s="39"/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39"/>
      <c r="BQ9" s="39"/>
      <c r="BR9" s="39"/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39"/>
      <c r="BQ10" s="39"/>
      <c r="BR10" s="39"/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9"/>
      <c r="BQ11" s="9"/>
      <c r="BR11" s="9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9"/>
      <c r="BQ12" s="9"/>
      <c r="BR12" s="9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109.65</v>
      </c>
      <c r="D13" s="19">
        <v>103.08</v>
      </c>
      <c r="E13" s="5"/>
      <c r="F13" s="27">
        <v>108.42</v>
      </c>
      <c r="G13" s="19">
        <v>103.4</v>
      </c>
      <c r="H13" s="5"/>
      <c r="I13" s="27">
        <v>108.17</v>
      </c>
      <c r="J13" s="19">
        <v>103.16</v>
      </c>
      <c r="K13" s="5"/>
      <c r="L13" s="27">
        <v>108.23</v>
      </c>
      <c r="M13" s="19">
        <v>102.24</v>
      </c>
      <c r="N13" s="5"/>
      <c r="O13" s="27">
        <v>107.61</v>
      </c>
      <c r="P13" s="19">
        <v>103.56</v>
      </c>
      <c r="Q13" s="5"/>
      <c r="R13" s="27">
        <v>107.11</v>
      </c>
      <c r="S13" s="19">
        <v>103.32</v>
      </c>
      <c r="T13" s="5"/>
      <c r="U13" s="27">
        <v>108.22</v>
      </c>
      <c r="V13" s="19">
        <v>102.13</v>
      </c>
      <c r="W13" s="5"/>
      <c r="X13" s="27">
        <v>108.24</v>
      </c>
      <c r="Y13" s="19">
        <v>101.77</v>
      </c>
      <c r="Z13" s="5"/>
      <c r="AA13" s="27">
        <v>107.85</v>
      </c>
      <c r="AB13" s="19">
        <v>101</v>
      </c>
      <c r="AC13" s="5"/>
      <c r="AD13" s="27">
        <v>108.03</v>
      </c>
      <c r="AE13" s="19">
        <v>100.9</v>
      </c>
      <c r="AF13" s="5"/>
      <c r="AG13" s="27">
        <v>107.56</v>
      </c>
      <c r="AH13" s="19">
        <v>100.45</v>
      </c>
      <c r="AI13" s="5"/>
      <c r="AJ13" s="27">
        <v>107.58</v>
      </c>
      <c r="AK13" s="19">
        <v>100.8</v>
      </c>
      <c r="AL13" s="5"/>
      <c r="AM13" s="27">
        <v>107.58</v>
      </c>
      <c r="AN13" s="19">
        <v>100.13</v>
      </c>
      <c r="AO13" s="5"/>
      <c r="AP13" s="27">
        <v>107.74</v>
      </c>
      <c r="AQ13" s="19">
        <v>99.89</v>
      </c>
      <c r="AR13" s="5"/>
      <c r="AS13" s="27">
        <v>107.45</v>
      </c>
      <c r="AT13" s="19">
        <v>98.59</v>
      </c>
      <c r="AU13" s="5"/>
      <c r="AV13" s="27">
        <v>107.41</v>
      </c>
      <c r="AW13" s="19">
        <v>99.08</v>
      </c>
      <c r="AX13" s="5"/>
      <c r="AY13" s="27">
        <v>107.28</v>
      </c>
      <c r="AZ13" s="19">
        <v>98.41</v>
      </c>
      <c r="BA13" s="5"/>
      <c r="BB13" s="27">
        <v>106.99</v>
      </c>
      <c r="BC13" s="19">
        <v>98.01</v>
      </c>
      <c r="BD13" s="5"/>
      <c r="BE13" s="27">
        <v>106.9</v>
      </c>
      <c r="BF13" s="19">
        <v>99.14</v>
      </c>
      <c r="BG13" s="5"/>
      <c r="BH13" s="27">
        <v>106.93</v>
      </c>
      <c r="BI13" s="19">
        <v>100.27</v>
      </c>
      <c r="BJ13" s="5"/>
      <c r="BK13" s="27">
        <v>106.92</v>
      </c>
      <c r="BL13" s="19">
        <v>99.69</v>
      </c>
      <c r="BM13" s="5"/>
      <c r="BN13" s="27">
        <f>(+C13+F13+I13+L13+O13+R13+U13+X13+AA13+AD13+AG13+AJ13+AM13+AP13+AS13+AV13+AY13+BB13+BE13+BH13+BK13)/21</f>
        <v>107.70809523809524</v>
      </c>
      <c r="BO13" s="19">
        <f>(+D13+G13+J13+M13+P13+S13+V13+Y13+AB13+AE13+AH13+AK13+AN13+AQ13+AT13+AW13+AZ13+BC13+BF13+BI13+BL13)/21</f>
        <v>100.90571428571428</v>
      </c>
      <c r="BP13" s="32"/>
      <c r="BQ13" s="31"/>
      <c r="BR13" s="32"/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1/1.7193</f>
        <v>0.5816320595591229</v>
      </c>
      <c r="D14" s="19">
        <v>194.34</v>
      </c>
      <c r="E14" s="5"/>
      <c r="F14" s="27">
        <f>1/1.7288</f>
        <v>0.5784359093012494</v>
      </c>
      <c r="G14" s="19">
        <v>193.81</v>
      </c>
      <c r="H14" s="5"/>
      <c r="I14" s="27">
        <f>1/1.7233</f>
        <v>0.5802820170602913</v>
      </c>
      <c r="J14" s="19">
        <v>192.3</v>
      </c>
      <c r="K14" s="5"/>
      <c r="L14" s="27">
        <f>1/1.7208</f>
        <v>0.5811250581125058</v>
      </c>
      <c r="M14" s="19">
        <v>190.41</v>
      </c>
      <c r="N14" s="5"/>
      <c r="O14" s="27">
        <f>1/1.7311</f>
        <v>0.5776673791231008</v>
      </c>
      <c r="P14" s="19">
        <v>192.92</v>
      </c>
      <c r="Q14" s="5"/>
      <c r="R14" s="27">
        <f>1/1.7411</f>
        <v>0.5743495491356039</v>
      </c>
      <c r="S14" s="19">
        <v>192.68</v>
      </c>
      <c r="T14" s="5"/>
      <c r="U14" s="27">
        <f>1/1.7438</f>
        <v>0.5734602592040372</v>
      </c>
      <c r="V14" s="19">
        <v>192.73</v>
      </c>
      <c r="W14" s="5"/>
      <c r="X14" s="27">
        <f>1/1.7426</f>
        <v>0.5738551589578791</v>
      </c>
      <c r="Y14" s="19">
        <v>191.96</v>
      </c>
      <c r="Z14" s="5"/>
      <c r="AA14" s="27">
        <f>1/1.748</f>
        <v>0.5720823798627003</v>
      </c>
      <c r="AB14" s="19">
        <v>190.4</v>
      </c>
      <c r="AC14" s="5"/>
      <c r="AD14" s="27">
        <f>1/1.7408</f>
        <v>0.5744485294117647</v>
      </c>
      <c r="AE14" s="19">
        <v>189.75</v>
      </c>
      <c r="AF14" s="5"/>
      <c r="AG14" s="27">
        <f>1/1.7482</f>
        <v>0.5720169317011784</v>
      </c>
      <c r="AH14" s="19">
        <v>188.88</v>
      </c>
      <c r="AI14" s="5"/>
      <c r="AJ14" s="27">
        <f>1/1.7512</f>
        <v>0.5710370031978071</v>
      </c>
      <c r="AK14" s="19">
        <v>189.9</v>
      </c>
      <c r="AL14" s="5"/>
      <c r="AM14" s="27">
        <f>1/1.7657</f>
        <v>0.5663476241717166</v>
      </c>
      <c r="AN14" s="19">
        <v>190.2</v>
      </c>
      <c r="AO14" s="5"/>
      <c r="AP14" s="27">
        <f>1/1.7661</f>
        <v>0.5662193533774984</v>
      </c>
      <c r="AQ14" s="19">
        <v>190.06</v>
      </c>
      <c r="AR14" s="5"/>
      <c r="AS14" s="27">
        <f>1/1.7633</f>
        <v>0.567118471048602</v>
      </c>
      <c r="AT14" s="19">
        <v>186.79</v>
      </c>
      <c r="AU14" s="5"/>
      <c r="AV14" s="27">
        <f>1/1.7644</f>
        <v>0.5667649059170257</v>
      </c>
      <c r="AW14" s="19">
        <v>187.76</v>
      </c>
      <c r="AX14" s="5"/>
      <c r="AY14" s="27">
        <f>1/17649</f>
        <v>5.666043401892458E-05</v>
      </c>
      <c r="AZ14" s="19">
        <v>186.33</v>
      </c>
      <c r="BA14" s="5"/>
      <c r="BB14" s="27">
        <f>1/1.7718</f>
        <v>0.5643977875606727</v>
      </c>
      <c r="BC14" s="19">
        <v>185.8</v>
      </c>
      <c r="BD14" s="5"/>
      <c r="BE14" s="27">
        <f>1/1.7743</f>
        <v>0.5636025474835147</v>
      </c>
      <c r="BF14" s="19">
        <v>188.04</v>
      </c>
      <c r="BG14" s="5"/>
      <c r="BH14" s="27">
        <f>1/1.7741</f>
        <v>0.5636660842117129</v>
      </c>
      <c r="BI14" s="19">
        <v>190.22</v>
      </c>
      <c r="BJ14" s="5"/>
      <c r="BK14" s="27">
        <f>1/1.7819</f>
        <v>0.5611987204669173</v>
      </c>
      <c r="BL14" s="19">
        <v>189.92</v>
      </c>
      <c r="BM14" s="5"/>
      <c r="BN14" s="27">
        <f aca="true" t="shared" si="0" ref="BN14:BN25">(+C14+F14+I14+L14+O14+R14+U14+X14+AA14+AD14+AG14+AJ14+AM14+AP14+AS14+AV14+AY14+BB14+BE14+BH14+BK14)/21</f>
        <v>0.54427449472852</v>
      </c>
      <c r="BO14" s="19">
        <f aca="true" t="shared" si="1" ref="BO14:BO25">(+D14+G14+J14+M14+P14+S14+V14+Y14+AB14+AE14+AH14+AK14+AN14+AQ14+AT14+AW14+AZ14+BC14+BF14+BI14+BL14)/21</f>
        <v>190.24761904761905</v>
      </c>
      <c r="BP14" s="32"/>
      <c r="BQ14" s="31"/>
      <c r="BR14" s="32"/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1.3005</v>
      </c>
      <c r="D15" s="19">
        <v>86.91</v>
      </c>
      <c r="E15" s="5"/>
      <c r="F15" s="27">
        <v>1.2864</v>
      </c>
      <c r="G15" s="19">
        <v>87.15</v>
      </c>
      <c r="H15" s="5"/>
      <c r="I15" s="27">
        <v>1.2912</v>
      </c>
      <c r="J15" s="19">
        <v>86.42</v>
      </c>
      <c r="K15" s="5"/>
      <c r="L15" s="27">
        <v>1.2895</v>
      </c>
      <c r="M15" s="19">
        <v>85.81</v>
      </c>
      <c r="N15" s="5"/>
      <c r="O15" s="27">
        <v>1.2723</v>
      </c>
      <c r="P15" s="19">
        <v>87.59</v>
      </c>
      <c r="Q15" s="5"/>
      <c r="R15" s="27">
        <v>1.2624</v>
      </c>
      <c r="S15" s="19">
        <v>87.66</v>
      </c>
      <c r="T15" s="5"/>
      <c r="U15" s="27">
        <v>1.2658</v>
      </c>
      <c r="V15" s="19">
        <v>87.32</v>
      </c>
      <c r="W15" s="5"/>
      <c r="X15" s="27">
        <v>1.2757</v>
      </c>
      <c r="Y15" s="19">
        <v>86.35</v>
      </c>
      <c r="Z15" s="5"/>
      <c r="AA15" s="27">
        <v>1.2653</v>
      </c>
      <c r="AB15" s="19">
        <v>86.09</v>
      </c>
      <c r="AC15" s="5"/>
      <c r="AD15" s="27">
        <v>1.2693</v>
      </c>
      <c r="AE15" s="19">
        <v>85.88</v>
      </c>
      <c r="AF15" s="5"/>
      <c r="AG15" s="27">
        <v>1.2582</v>
      </c>
      <c r="AH15" s="19">
        <v>85.87</v>
      </c>
      <c r="AI15" s="5"/>
      <c r="AJ15" s="27">
        <v>1.2605</v>
      </c>
      <c r="AK15" s="19">
        <v>86.03</v>
      </c>
      <c r="AL15" s="5"/>
      <c r="AM15" s="27">
        <v>1.2524</v>
      </c>
      <c r="AN15" s="19">
        <v>86.01</v>
      </c>
      <c r="AO15" s="5"/>
      <c r="AP15" s="27">
        <v>1.253</v>
      </c>
      <c r="AQ15" s="19">
        <v>85.89</v>
      </c>
      <c r="AR15" s="5"/>
      <c r="AS15" s="27">
        <v>1.2505</v>
      </c>
      <c r="AT15" s="19">
        <v>84.71</v>
      </c>
      <c r="AU15" s="5"/>
      <c r="AV15" s="27">
        <v>1.2581</v>
      </c>
      <c r="AW15" s="19">
        <v>84.59</v>
      </c>
      <c r="AX15" s="5"/>
      <c r="AY15" s="27">
        <v>1.256</v>
      </c>
      <c r="AZ15" s="19">
        <v>84.06</v>
      </c>
      <c r="BA15" s="5"/>
      <c r="BB15" s="27">
        <v>1.248</v>
      </c>
      <c r="BC15" s="19">
        <v>84.03</v>
      </c>
      <c r="BD15" s="5"/>
      <c r="BE15" s="27">
        <v>1.2494</v>
      </c>
      <c r="BF15" s="19">
        <v>84.82</v>
      </c>
      <c r="BG15" s="5"/>
      <c r="BH15" s="27">
        <v>1.2473</v>
      </c>
      <c r="BI15" s="19">
        <v>85.96</v>
      </c>
      <c r="BJ15" s="5"/>
      <c r="BK15" s="27">
        <v>1.2364</v>
      </c>
      <c r="BL15" s="19">
        <v>86.2</v>
      </c>
      <c r="BM15" s="5"/>
      <c r="BN15" s="27">
        <f t="shared" si="0"/>
        <v>1.2642</v>
      </c>
      <c r="BO15" s="19">
        <f t="shared" si="1"/>
        <v>85.96904761904761</v>
      </c>
      <c r="BP15" s="32"/>
      <c r="BQ15" s="31"/>
      <c r="BR15" s="32"/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1/1.1969</f>
        <v>0.8354916868577157</v>
      </c>
      <c r="D16" s="19">
        <v>135.29</v>
      </c>
      <c r="E16" s="5"/>
      <c r="F16" s="27">
        <f>1/1.21</f>
        <v>0.8264462809917356</v>
      </c>
      <c r="G16" s="19">
        <v>135.65</v>
      </c>
      <c r="H16" s="5"/>
      <c r="I16" s="27">
        <f>1/1.2063</f>
        <v>0.8289811821271658</v>
      </c>
      <c r="J16" s="19">
        <v>134.61</v>
      </c>
      <c r="K16" s="5"/>
      <c r="L16" s="27">
        <v>1.2075</v>
      </c>
      <c r="M16" s="19">
        <v>133.61</v>
      </c>
      <c r="N16" s="5"/>
      <c r="O16" s="27">
        <f>1/1.218</f>
        <v>0.8210180623973727</v>
      </c>
      <c r="P16" s="19">
        <v>135.74</v>
      </c>
      <c r="Q16" s="5"/>
      <c r="R16" s="27">
        <f>1/1.226</f>
        <v>0.8156606851549756</v>
      </c>
      <c r="S16" s="19">
        <v>135.68</v>
      </c>
      <c r="T16" s="5"/>
      <c r="U16" s="27">
        <f>1/1.222</f>
        <v>0.8183306055646481</v>
      </c>
      <c r="V16" s="19">
        <v>135.06</v>
      </c>
      <c r="W16" s="5"/>
      <c r="X16" s="27">
        <f>1/1.2167</f>
        <v>0.8218952905399852</v>
      </c>
      <c r="Y16" s="19">
        <v>134.03</v>
      </c>
      <c r="Z16" s="5"/>
      <c r="AA16" s="27">
        <f>1/1.2243</f>
        <v>0.8167932696234583</v>
      </c>
      <c r="AB16" s="19">
        <v>133.36</v>
      </c>
      <c r="AC16" s="5"/>
      <c r="AD16" s="27">
        <f>1/1.2224</f>
        <v>0.8180628272251309</v>
      </c>
      <c r="AE16" s="19">
        <v>133.25</v>
      </c>
      <c r="AF16" s="5"/>
      <c r="AG16" s="27">
        <f>1/1.235</f>
        <v>0.8097165991902834</v>
      </c>
      <c r="AH16" s="19">
        <v>133.43</v>
      </c>
      <c r="AI16" s="5"/>
      <c r="AJ16" s="27">
        <f>1/1.2327</f>
        <v>0.8112273870365864</v>
      </c>
      <c r="AK16" s="19">
        <v>133.68</v>
      </c>
      <c r="AL16" s="5"/>
      <c r="AM16" s="27">
        <f>1/1.2425</f>
        <v>0.8048289738430584</v>
      </c>
      <c r="AN16" s="19">
        <v>133.84</v>
      </c>
      <c r="AO16" s="5"/>
      <c r="AP16" s="27">
        <f>1/1.241</f>
        <v>0.8058017727639</v>
      </c>
      <c r="AQ16" s="19">
        <v>133.55</v>
      </c>
      <c r="AR16" s="5"/>
      <c r="AS16" s="27">
        <f>1/1.2435</f>
        <v>0.8041817450743868</v>
      </c>
      <c r="AT16" s="19">
        <v>131.73</v>
      </c>
      <c r="AU16" s="5"/>
      <c r="AV16" s="27">
        <f>1/1.2408</f>
        <v>0.8059316569954869</v>
      </c>
      <c r="AW16" s="19">
        <v>132.04</v>
      </c>
      <c r="AX16" s="5"/>
      <c r="AY16" s="27">
        <f>1/1.2411</f>
        <v>0.8057368463459833</v>
      </c>
      <c r="AZ16" s="19">
        <v>131.03</v>
      </c>
      <c r="BA16" s="5"/>
      <c r="BB16" s="27">
        <f>1/1.2445</f>
        <v>0.8035355564483729</v>
      </c>
      <c r="BC16" s="19">
        <v>130.51</v>
      </c>
      <c r="BD16" s="5"/>
      <c r="BE16" s="27">
        <f>1/1.248</f>
        <v>0.8012820512820513</v>
      </c>
      <c r="BF16" s="19">
        <v>132.26</v>
      </c>
      <c r="BG16" s="5"/>
      <c r="BH16" s="27">
        <f>1/1.25</f>
        <v>0.8</v>
      </c>
      <c r="BI16" s="19">
        <v>134.03</v>
      </c>
      <c r="BJ16" s="5"/>
      <c r="BK16" s="27">
        <f>1/1.2602</f>
        <v>0.7935248373274083</v>
      </c>
      <c r="BL16" s="19">
        <v>134.32</v>
      </c>
      <c r="BM16" s="5"/>
      <c r="BN16" s="27">
        <f t="shared" si="0"/>
        <v>0.8312355865137955</v>
      </c>
      <c r="BO16" s="19">
        <f t="shared" si="1"/>
        <v>133.65238095238098</v>
      </c>
      <c r="BP16" s="32"/>
      <c r="BQ16" s="31"/>
      <c r="BR16" s="32"/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400.9</v>
      </c>
      <c r="D17" s="19">
        <v>45314.73</v>
      </c>
      <c r="E17" s="5"/>
      <c r="F17" s="27">
        <v>402.7</v>
      </c>
      <c r="G17" s="19">
        <v>45146.03</v>
      </c>
      <c r="H17" s="5"/>
      <c r="I17" s="27">
        <v>402.1</v>
      </c>
      <c r="J17" s="19">
        <v>44869</v>
      </c>
      <c r="K17" s="5"/>
      <c r="L17" s="27">
        <v>401.3</v>
      </c>
      <c r="M17" s="19">
        <v>44403.85</v>
      </c>
      <c r="N17" s="5"/>
      <c r="O17" s="27">
        <v>408.3</v>
      </c>
      <c r="P17" s="19">
        <v>45501.63</v>
      </c>
      <c r="Q17" s="5"/>
      <c r="R17" s="27">
        <v>408.1</v>
      </c>
      <c r="S17" s="19">
        <v>45163.07</v>
      </c>
      <c r="T17" s="5"/>
      <c r="U17" s="27">
        <v>407.3</v>
      </c>
      <c r="V17" s="19">
        <v>45016.83</v>
      </c>
      <c r="W17" s="5"/>
      <c r="X17" s="27">
        <v>403.9</v>
      </c>
      <c r="Y17" s="19">
        <v>44492.28</v>
      </c>
      <c r="Z17" s="5"/>
      <c r="AA17" s="27">
        <v>406.7</v>
      </c>
      <c r="AB17" s="19">
        <v>44299.46</v>
      </c>
      <c r="AC17" s="5"/>
      <c r="AD17" s="27">
        <v>404.3</v>
      </c>
      <c r="AE17" s="19">
        <v>44070.38</v>
      </c>
      <c r="AF17" s="5"/>
      <c r="AG17" s="27">
        <v>409.5</v>
      </c>
      <c r="AH17" s="19">
        <v>44243.06</v>
      </c>
      <c r="AI17" s="5"/>
      <c r="AJ17" s="27">
        <v>407.5</v>
      </c>
      <c r="AK17" s="19">
        <v>44189.98</v>
      </c>
      <c r="AL17" s="5"/>
      <c r="AM17" s="27">
        <v>410.8</v>
      </c>
      <c r="AN17" s="19">
        <v>44251.03</v>
      </c>
      <c r="AO17" s="5"/>
      <c r="AP17" s="27">
        <v>408.8</v>
      </c>
      <c r="AQ17" s="19">
        <v>43994.37</v>
      </c>
      <c r="AR17" s="5"/>
      <c r="AS17" s="27">
        <v>410.75</v>
      </c>
      <c r="AT17" s="19">
        <v>43512.12</v>
      </c>
      <c r="AU17" s="5"/>
      <c r="AV17" s="27">
        <v>409.75</v>
      </c>
      <c r="AW17" s="19">
        <v>43604.23</v>
      </c>
      <c r="AX17" s="5"/>
      <c r="AY17" s="27">
        <v>410.8</v>
      </c>
      <c r="AZ17" s="19">
        <v>43370.55</v>
      </c>
      <c r="BA17" s="5"/>
      <c r="BB17" s="27">
        <v>412.05</v>
      </c>
      <c r="BC17" s="19">
        <v>43209.97</v>
      </c>
      <c r="BD17" s="5"/>
      <c r="BE17" s="27">
        <v>413.9</v>
      </c>
      <c r="BF17" s="19">
        <v>43864.09</v>
      </c>
      <c r="BG17" s="5"/>
      <c r="BH17" s="27">
        <v>415.3</v>
      </c>
      <c r="BI17" s="19">
        <v>44529.5</v>
      </c>
      <c r="BJ17" s="5"/>
      <c r="BK17" s="27">
        <v>417</v>
      </c>
      <c r="BL17" s="19">
        <v>44445.25</v>
      </c>
      <c r="BM17" s="5"/>
      <c r="BN17" s="27">
        <f t="shared" si="0"/>
        <v>408.17857142857144</v>
      </c>
      <c r="BO17" s="19">
        <f t="shared" si="1"/>
        <v>44356.73380952381</v>
      </c>
      <c r="BP17" s="32"/>
      <c r="BQ17" s="31"/>
      <c r="BR17" s="32"/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5.44</v>
      </c>
      <c r="D18" s="19">
        <v>614.9</v>
      </c>
      <c r="E18" s="5"/>
      <c r="F18" s="27">
        <v>5.46</v>
      </c>
      <c r="G18" s="19">
        <v>612.11</v>
      </c>
      <c r="H18" s="5"/>
      <c r="I18" s="27">
        <v>5.43</v>
      </c>
      <c r="J18" s="19">
        <v>605.92</v>
      </c>
      <c r="K18" s="5"/>
      <c r="L18" s="27">
        <v>5.42</v>
      </c>
      <c r="M18" s="19">
        <v>599.72</v>
      </c>
      <c r="N18" s="5"/>
      <c r="O18" s="27">
        <v>5.48</v>
      </c>
      <c r="P18" s="19">
        <v>610.7</v>
      </c>
      <c r="Q18" s="5"/>
      <c r="R18" s="27">
        <v>5.53</v>
      </c>
      <c r="S18" s="19">
        <v>611.99</v>
      </c>
      <c r="T18" s="5"/>
      <c r="U18" s="27">
        <v>5.59</v>
      </c>
      <c r="V18" s="19">
        <v>617.83</v>
      </c>
      <c r="W18" s="5"/>
      <c r="X18" s="27">
        <v>5.53</v>
      </c>
      <c r="Y18" s="19">
        <v>609.17</v>
      </c>
      <c r="Z18" s="5"/>
      <c r="AA18" s="27">
        <v>5.59</v>
      </c>
      <c r="AB18" s="19">
        <v>608.89</v>
      </c>
      <c r="AC18" s="5"/>
      <c r="AD18" s="27">
        <v>5.53</v>
      </c>
      <c r="AE18" s="19">
        <v>602.79</v>
      </c>
      <c r="AF18" s="5"/>
      <c r="AG18" s="27">
        <v>5.65</v>
      </c>
      <c r="AH18" s="19">
        <v>610.44</v>
      </c>
      <c r="AI18" s="5"/>
      <c r="AJ18" s="27">
        <v>5.61</v>
      </c>
      <c r="AK18" s="19">
        <v>608.36</v>
      </c>
      <c r="AL18" s="5"/>
      <c r="AM18" s="27">
        <v>5.7</v>
      </c>
      <c r="AN18" s="19">
        <v>614</v>
      </c>
      <c r="AO18" s="5"/>
      <c r="AP18" s="27">
        <v>5.66</v>
      </c>
      <c r="AQ18" s="19">
        <v>609.12</v>
      </c>
      <c r="AR18" s="5"/>
      <c r="AS18" s="27">
        <v>5.73</v>
      </c>
      <c r="AT18" s="19">
        <v>607</v>
      </c>
      <c r="AU18" s="5"/>
      <c r="AV18" s="27">
        <v>5.69</v>
      </c>
      <c r="AW18" s="19">
        <v>605.51</v>
      </c>
      <c r="AX18" s="5"/>
      <c r="AY18" s="27">
        <v>5.71</v>
      </c>
      <c r="AZ18" s="19">
        <v>602.84</v>
      </c>
      <c r="BA18" s="5"/>
      <c r="BB18" s="27">
        <v>5.76</v>
      </c>
      <c r="BC18" s="19">
        <v>604.03</v>
      </c>
      <c r="BD18" s="5"/>
      <c r="BE18" s="27">
        <v>5.81</v>
      </c>
      <c r="BF18" s="19">
        <v>615.73</v>
      </c>
      <c r="BG18" s="5"/>
      <c r="BH18" s="27">
        <v>5.93</v>
      </c>
      <c r="BI18" s="19">
        <v>635.83</v>
      </c>
      <c r="BJ18" s="5"/>
      <c r="BK18" s="27">
        <v>5.99</v>
      </c>
      <c r="BL18" s="19">
        <v>638.43</v>
      </c>
      <c r="BM18" s="5"/>
      <c r="BN18" s="27">
        <f t="shared" si="0"/>
        <v>5.63047619047619</v>
      </c>
      <c r="BO18" s="19">
        <f t="shared" si="1"/>
        <v>611.6814285714286</v>
      </c>
      <c r="BP18" s="32"/>
      <c r="BQ18" s="31"/>
      <c r="BR18" s="32"/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1/0.7266</f>
        <v>1.3762730525736306</v>
      </c>
      <c r="D19" s="19">
        <v>82.13</v>
      </c>
      <c r="E19" s="5"/>
      <c r="F19" s="27">
        <f>1/0.7346</f>
        <v>1.361285053090117</v>
      </c>
      <c r="G19" s="19">
        <v>82.35</v>
      </c>
      <c r="H19" s="5"/>
      <c r="I19" s="27">
        <f>1/0.7352</f>
        <v>1.3601741022850926</v>
      </c>
      <c r="J19" s="19">
        <v>82.04</v>
      </c>
      <c r="K19" s="5"/>
      <c r="L19" s="27">
        <f>1/0.7345</f>
        <v>1.3614703880190606</v>
      </c>
      <c r="M19" s="19">
        <v>81.27</v>
      </c>
      <c r="N19" s="5"/>
      <c r="O19" s="27">
        <f>1/0.7396</f>
        <v>1.352082206598161</v>
      </c>
      <c r="P19" s="19">
        <v>82.42</v>
      </c>
      <c r="Q19" s="5"/>
      <c r="R19" s="27">
        <f>1/0.7419</f>
        <v>1.3478905512872354</v>
      </c>
      <c r="S19" s="19">
        <v>82.1</v>
      </c>
      <c r="T19" s="5"/>
      <c r="U19" s="27">
        <f>1/0.7395</f>
        <v>1.352265043948614</v>
      </c>
      <c r="V19" s="19">
        <v>81.73</v>
      </c>
      <c r="W19" s="5"/>
      <c r="X19" s="27">
        <f>1/0.7365</f>
        <v>1.357773251866938</v>
      </c>
      <c r="Y19" s="19">
        <v>81.13</v>
      </c>
      <c r="Z19" s="5"/>
      <c r="AA19" s="27">
        <f>1/0.7409</f>
        <v>1.3497098123903362</v>
      </c>
      <c r="AB19" s="19">
        <v>80.7</v>
      </c>
      <c r="AC19" s="5"/>
      <c r="AD19" s="27">
        <f>1/0.7394</f>
        <v>1.352447930754666</v>
      </c>
      <c r="AE19" s="19">
        <v>80.6</v>
      </c>
      <c r="AF19" s="5"/>
      <c r="AG19" s="27">
        <f>1/0.7444</f>
        <v>1.3433637829124128</v>
      </c>
      <c r="AH19" s="19">
        <v>80.43</v>
      </c>
      <c r="AI19" s="5"/>
      <c r="AJ19" s="27">
        <f>1/0.7405</f>
        <v>1.3504388926401079</v>
      </c>
      <c r="AK19" s="19">
        <v>80.3</v>
      </c>
      <c r="AL19" s="5"/>
      <c r="AM19" s="27">
        <f>1/0.7405</f>
        <v>1.3504388926401079</v>
      </c>
      <c r="AN19" s="19">
        <v>79.77</v>
      </c>
      <c r="AO19" s="5"/>
      <c r="AP19" s="27">
        <f>1/0.7379</f>
        <v>1.355197181189863</v>
      </c>
      <c r="AQ19" s="19">
        <v>79.41</v>
      </c>
      <c r="AR19" s="5"/>
      <c r="AS19" s="27">
        <f>1/0.7358</f>
        <v>1.359064963305246</v>
      </c>
      <c r="AT19" s="19">
        <v>77.95</v>
      </c>
      <c r="AU19" s="5"/>
      <c r="AV19" s="27">
        <f>1/0.7351</f>
        <v>1.3603591348115902</v>
      </c>
      <c r="AW19" s="19">
        <v>78.23</v>
      </c>
      <c r="AX19" s="18"/>
      <c r="AY19" s="27">
        <f>1/0.7409</f>
        <v>1.3497098123903362</v>
      </c>
      <c r="AZ19" s="19">
        <v>78.22</v>
      </c>
      <c r="BA19" s="18"/>
      <c r="BB19" s="27">
        <f>1/0.7425</f>
        <v>1.3468013468013467</v>
      </c>
      <c r="BC19" s="19">
        <v>77.86</v>
      </c>
      <c r="BD19" s="18"/>
      <c r="BE19" s="27">
        <f>1/0.7427</f>
        <v>1.3464386697185942</v>
      </c>
      <c r="BF19" s="19">
        <v>78.71</v>
      </c>
      <c r="BG19" s="18"/>
      <c r="BH19" s="27">
        <f>1/0.7465</f>
        <v>1.3395847287340923</v>
      </c>
      <c r="BI19" s="19">
        <v>80.04</v>
      </c>
      <c r="BJ19" s="18"/>
      <c r="BK19" s="27">
        <f>1/0.7506</f>
        <v>1.332267519317879</v>
      </c>
      <c r="BL19" s="19">
        <v>80</v>
      </c>
      <c r="BM19" s="18"/>
      <c r="BN19" s="27">
        <f t="shared" si="0"/>
        <v>1.3526207770131156</v>
      </c>
      <c r="BO19" s="19">
        <f t="shared" si="1"/>
        <v>80.35190476190476</v>
      </c>
      <c r="BP19" s="32"/>
      <c r="BQ19" s="31"/>
      <c r="BR19" s="32"/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1.3044</v>
      </c>
      <c r="D20" s="19">
        <v>86.65</v>
      </c>
      <c r="E20" s="5"/>
      <c r="F20" s="27">
        <v>1.2971</v>
      </c>
      <c r="G20" s="19">
        <v>86.43</v>
      </c>
      <c r="H20" s="5"/>
      <c r="I20" s="27">
        <v>1.3057</v>
      </c>
      <c r="J20" s="19">
        <v>85.46</v>
      </c>
      <c r="K20" s="5"/>
      <c r="L20" s="27">
        <v>1.3115</v>
      </c>
      <c r="M20" s="19">
        <v>84.37</v>
      </c>
      <c r="N20" s="5"/>
      <c r="O20" s="27">
        <v>1.3037</v>
      </c>
      <c r="P20" s="19">
        <v>85.48</v>
      </c>
      <c r="Q20" s="5"/>
      <c r="R20" s="27">
        <v>1.2971</v>
      </c>
      <c r="S20" s="19">
        <v>85.32</v>
      </c>
      <c r="T20" s="5"/>
      <c r="U20" s="27">
        <v>1.3083</v>
      </c>
      <c r="V20" s="19">
        <v>84.48</v>
      </c>
      <c r="W20" s="5"/>
      <c r="X20" s="27">
        <v>1.3171</v>
      </c>
      <c r="Y20" s="19">
        <v>83.64</v>
      </c>
      <c r="Z20" s="5"/>
      <c r="AA20" s="27">
        <v>1.3153</v>
      </c>
      <c r="AB20" s="19">
        <v>82.81</v>
      </c>
      <c r="AC20" s="5"/>
      <c r="AD20" s="27">
        <v>1.3152</v>
      </c>
      <c r="AE20" s="19">
        <v>82.88</v>
      </c>
      <c r="AF20" s="5"/>
      <c r="AG20" s="27">
        <v>1.3152</v>
      </c>
      <c r="AH20" s="19">
        <v>82.15</v>
      </c>
      <c r="AI20" s="5"/>
      <c r="AJ20" s="27">
        <v>1.3326</v>
      </c>
      <c r="AK20" s="19">
        <v>81.38</v>
      </c>
      <c r="AL20" s="5"/>
      <c r="AM20" s="27">
        <v>1.3248</v>
      </c>
      <c r="AN20" s="19">
        <v>81.31</v>
      </c>
      <c r="AO20" s="5"/>
      <c r="AP20" s="27">
        <v>1.3348</v>
      </c>
      <c r="AQ20" s="19">
        <v>80.63</v>
      </c>
      <c r="AR20" s="5"/>
      <c r="AS20" s="27">
        <v>1.3367</v>
      </c>
      <c r="AT20" s="19">
        <v>79.25</v>
      </c>
      <c r="AU20" s="5"/>
      <c r="AV20" s="27">
        <v>1.3294</v>
      </c>
      <c r="AW20" s="19">
        <v>80.05</v>
      </c>
      <c r="AX20" s="5"/>
      <c r="AY20" s="27">
        <v>1.3175</v>
      </c>
      <c r="AZ20" s="19">
        <v>80.13</v>
      </c>
      <c r="BA20" s="5"/>
      <c r="BB20" s="27">
        <v>1.3094</v>
      </c>
      <c r="BC20" s="19">
        <v>80.09</v>
      </c>
      <c r="BD20" s="5"/>
      <c r="BE20" s="27">
        <v>1.309</v>
      </c>
      <c r="BF20" s="19">
        <v>80.96</v>
      </c>
      <c r="BG20" s="5"/>
      <c r="BH20" s="27">
        <v>1.3083</v>
      </c>
      <c r="BI20" s="19">
        <v>81.96</v>
      </c>
      <c r="BJ20" s="5"/>
      <c r="BK20" s="27">
        <v>1.2915</v>
      </c>
      <c r="BL20" s="19">
        <v>82.53</v>
      </c>
      <c r="BM20" s="5"/>
      <c r="BN20" s="27">
        <f t="shared" si="0"/>
        <v>1.313552380952381</v>
      </c>
      <c r="BO20" s="19">
        <f t="shared" si="1"/>
        <v>82.76</v>
      </c>
      <c r="BP20" s="32"/>
      <c r="BQ20" s="31"/>
      <c r="BR20" s="32"/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7.5292</v>
      </c>
      <c r="D21" s="19">
        <v>15.01</v>
      </c>
      <c r="E21" s="5"/>
      <c r="F21" s="27">
        <v>7.439</v>
      </c>
      <c r="G21" s="19">
        <v>15.07</v>
      </c>
      <c r="H21" s="5"/>
      <c r="I21" s="27">
        <v>7.4287</v>
      </c>
      <c r="J21" s="19">
        <v>15.02</v>
      </c>
      <c r="K21" s="5"/>
      <c r="L21" s="27">
        <v>7.4095</v>
      </c>
      <c r="M21" s="19">
        <v>14.93</v>
      </c>
      <c r="N21" s="5"/>
      <c r="O21" s="27">
        <v>7.3385</v>
      </c>
      <c r="P21" s="19">
        <v>15.19</v>
      </c>
      <c r="Q21" s="5"/>
      <c r="R21" s="27">
        <v>7.2874</v>
      </c>
      <c r="S21" s="19">
        <v>15.19</v>
      </c>
      <c r="T21" s="5"/>
      <c r="U21" s="27">
        <v>7.3175</v>
      </c>
      <c r="V21" s="19">
        <v>15.1</v>
      </c>
      <c r="W21" s="5"/>
      <c r="X21" s="27">
        <v>7.3711</v>
      </c>
      <c r="Y21" s="19">
        <v>14.94</v>
      </c>
      <c r="Z21" s="5"/>
      <c r="AA21" s="27">
        <v>7.319</v>
      </c>
      <c r="AB21" s="19">
        <v>14.88</v>
      </c>
      <c r="AC21" s="5"/>
      <c r="AD21" s="27">
        <v>7.343</v>
      </c>
      <c r="AE21" s="19">
        <v>14.84</v>
      </c>
      <c r="AF21" s="5"/>
      <c r="AG21" s="27">
        <v>7.312</v>
      </c>
      <c r="AH21" s="19">
        <v>14.78</v>
      </c>
      <c r="AI21" s="5"/>
      <c r="AJ21" s="27">
        <v>7.3112</v>
      </c>
      <c r="AK21" s="19">
        <v>14.83</v>
      </c>
      <c r="AL21" s="5"/>
      <c r="AM21" s="27">
        <v>7.2986</v>
      </c>
      <c r="AN21" s="19">
        <v>14.76</v>
      </c>
      <c r="AO21" s="5"/>
      <c r="AP21" s="27">
        <v>7.3054</v>
      </c>
      <c r="AQ21" s="19">
        <v>14.73</v>
      </c>
      <c r="AR21" s="5"/>
      <c r="AS21" s="27">
        <v>7.2963</v>
      </c>
      <c r="AT21" s="19">
        <v>14.52</v>
      </c>
      <c r="AU21" s="5"/>
      <c r="AV21" s="27">
        <v>7.3381</v>
      </c>
      <c r="AW21" s="19">
        <v>14.5</v>
      </c>
      <c r="AX21" s="5"/>
      <c r="AY21" s="27">
        <v>7.3134</v>
      </c>
      <c r="AZ21" s="19">
        <v>14.44</v>
      </c>
      <c r="BA21" s="5"/>
      <c r="BB21" s="27">
        <v>7.2907</v>
      </c>
      <c r="BC21" s="19">
        <v>14.38</v>
      </c>
      <c r="BD21" s="5"/>
      <c r="BE21" s="27">
        <v>7.2732</v>
      </c>
      <c r="BF21" s="19">
        <v>14.57</v>
      </c>
      <c r="BG21" s="5"/>
      <c r="BH21" s="27">
        <v>7.2496</v>
      </c>
      <c r="BI21" s="19">
        <v>14.79</v>
      </c>
      <c r="BJ21" s="5"/>
      <c r="BK21" s="27">
        <v>7.1989</v>
      </c>
      <c r="BL21" s="19">
        <v>14.81</v>
      </c>
      <c r="BM21" s="5"/>
      <c r="BN21" s="27">
        <f t="shared" si="0"/>
        <v>7.331919047619048</v>
      </c>
      <c r="BO21" s="19">
        <f t="shared" si="1"/>
        <v>14.822857142857144</v>
      </c>
      <c r="BP21" s="32"/>
      <c r="BQ21" s="31"/>
      <c r="BR21" s="32"/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6.8178</v>
      </c>
      <c r="D22" s="19">
        <v>16.58</v>
      </c>
      <c r="E22" s="5"/>
      <c r="F22" s="27">
        <v>6.7298</v>
      </c>
      <c r="G22" s="19">
        <v>16.66</v>
      </c>
      <c r="H22" s="5"/>
      <c r="I22" s="27">
        <v>6.7102</v>
      </c>
      <c r="J22" s="19">
        <v>16.63</v>
      </c>
      <c r="K22" s="5"/>
      <c r="L22" s="27">
        <v>6.6914</v>
      </c>
      <c r="M22" s="19">
        <v>16.54</v>
      </c>
      <c r="N22" s="5"/>
      <c r="O22" s="27">
        <v>6.631</v>
      </c>
      <c r="P22" s="19">
        <v>16.81</v>
      </c>
      <c r="Q22" s="5"/>
      <c r="R22" s="27">
        <v>6.6133</v>
      </c>
      <c r="S22" s="19">
        <v>16.73</v>
      </c>
      <c r="T22" s="5"/>
      <c r="U22" s="27">
        <v>6.6555</v>
      </c>
      <c r="V22" s="19">
        <v>16.61</v>
      </c>
      <c r="W22" s="5"/>
      <c r="X22" s="27">
        <v>6.7066</v>
      </c>
      <c r="Y22" s="19">
        <v>16.43</v>
      </c>
      <c r="Z22" s="5"/>
      <c r="AA22" s="27">
        <v>6.6802</v>
      </c>
      <c r="AB22" s="19">
        <v>16.31</v>
      </c>
      <c r="AC22" s="5"/>
      <c r="AD22" s="27">
        <v>6.7031</v>
      </c>
      <c r="AE22" s="19">
        <v>16.26</v>
      </c>
      <c r="AF22" s="5"/>
      <c r="AG22" s="27">
        <v>6.6659</v>
      </c>
      <c r="AH22" s="19">
        <v>16.21</v>
      </c>
      <c r="AI22" s="5"/>
      <c r="AJ22" s="27">
        <v>6.6435</v>
      </c>
      <c r="AK22" s="19">
        <v>16.32</v>
      </c>
      <c r="AL22" s="5"/>
      <c r="AM22" s="27">
        <v>6.7039</v>
      </c>
      <c r="AN22" s="19">
        <v>16.07</v>
      </c>
      <c r="AO22" s="5"/>
      <c r="AP22" s="27">
        <v>6.7193</v>
      </c>
      <c r="AQ22" s="19">
        <v>16.02</v>
      </c>
      <c r="AR22" s="5"/>
      <c r="AS22" s="27">
        <v>6.7054</v>
      </c>
      <c r="AT22" s="19">
        <v>15.8</v>
      </c>
      <c r="AU22" s="5"/>
      <c r="AV22" s="27">
        <v>6.7358</v>
      </c>
      <c r="AW22" s="19">
        <v>15.8</v>
      </c>
      <c r="AX22" s="5"/>
      <c r="AY22" s="27">
        <v>6.7795</v>
      </c>
      <c r="AZ22" s="19">
        <v>15.57</v>
      </c>
      <c r="BA22" s="5"/>
      <c r="BB22" s="27">
        <v>6.7581</v>
      </c>
      <c r="BC22" s="19">
        <v>15.52</v>
      </c>
      <c r="BD22" s="5"/>
      <c r="BE22" s="27">
        <v>6.7359</v>
      </c>
      <c r="BF22" s="19">
        <v>15.73</v>
      </c>
      <c r="BG22" s="5"/>
      <c r="BH22" s="27">
        <v>6.7353</v>
      </c>
      <c r="BI22" s="19">
        <v>15.92</v>
      </c>
      <c r="BJ22" s="5"/>
      <c r="BK22" s="27">
        <v>6.6607</v>
      </c>
      <c r="BL22" s="19">
        <v>16</v>
      </c>
      <c r="BM22" s="5"/>
      <c r="BN22" s="27">
        <f t="shared" si="0"/>
        <v>6.703914285714285</v>
      </c>
      <c r="BO22" s="19">
        <f t="shared" si="1"/>
        <v>16.215238095238096</v>
      </c>
      <c r="BP22" s="32"/>
      <c r="BQ22" s="31"/>
      <c r="BR22" s="32"/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6.218</v>
      </c>
      <c r="D23" s="19">
        <v>18.18</v>
      </c>
      <c r="E23" s="5"/>
      <c r="F23" s="27">
        <v>6.1482</v>
      </c>
      <c r="G23" s="19">
        <v>18.23</v>
      </c>
      <c r="H23" s="5"/>
      <c r="I23" s="27">
        <v>6.1676</v>
      </c>
      <c r="J23" s="19">
        <v>18.09</v>
      </c>
      <c r="K23" s="5"/>
      <c r="L23" s="27">
        <v>6.162</v>
      </c>
      <c r="M23" s="19">
        <v>17.96</v>
      </c>
      <c r="N23" s="5"/>
      <c r="O23" s="27">
        <v>6.1087</v>
      </c>
      <c r="P23" s="19">
        <v>18.24</v>
      </c>
      <c r="Q23" s="5"/>
      <c r="R23" s="27">
        <v>6.0703</v>
      </c>
      <c r="S23" s="19">
        <v>18.23</v>
      </c>
      <c r="T23" s="5"/>
      <c r="U23" s="27">
        <v>6.0879</v>
      </c>
      <c r="V23" s="19">
        <v>18.15</v>
      </c>
      <c r="W23" s="5"/>
      <c r="X23" s="27">
        <v>6.1125</v>
      </c>
      <c r="Y23" s="19">
        <v>18.02</v>
      </c>
      <c r="Z23" s="5"/>
      <c r="AA23" s="27">
        <v>6.0743</v>
      </c>
      <c r="AB23" s="19">
        <v>17.93</v>
      </c>
      <c r="AC23" s="5"/>
      <c r="AD23" s="27">
        <v>6.0841</v>
      </c>
      <c r="AE23" s="19">
        <v>17.92</v>
      </c>
      <c r="AF23" s="5"/>
      <c r="AG23" s="27">
        <v>6.0245</v>
      </c>
      <c r="AH23" s="19">
        <v>17.93</v>
      </c>
      <c r="AI23" s="5"/>
      <c r="AJ23" s="27">
        <v>6.035</v>
      </c>
      <c r="AK23" s="19">
        <v>17.97</v>
      </c>
      <c r="AL23" s="5"/>
      <c r="AM23" s="27">
        <v>5.9888</v>
      </c>
      <c r="AN23" s="19">
        <v>17.99</v>
      </c>
      <c r="AO23" s="5"/>
      <c r="AP23" s="27">
        <v>5.9954</v>
      </c>
      <c r="AQ23" s="19">
        <v>17.95</v>
      </c>
      <c r="AR23" s="5"/>
      <c r="AS23" s="27">
        <v>5.9855</v>
      </c>
      <c r="AT23" s="19">
        <v>17.7</v>
      </c>
      <c r="AU23" s="5"/>
      <c r="AV23" s="27">
        <v>5.9955</v>
      </c>
      <c r="AW23" s="19">
        <v>17.75</v>
      </c>
      <c r="AX23" s="5"/>
      <c r="AY23" s="27">
        <v>5.9944</v>
      </c>
      <c r="AZ23" s="19">
        <v>17.61</v>
      </c>
      <c r="BA23" s="5"/>
      <c r="BB23" s="27">
        <v>5.9775</v>
      </c>
      <c r="BC23" s="19">
        <v>17.54</v>
      </c>
      <c r="BD23" s="5"/>
      <c r="BE23" s="27">
        <v>5.9619</v>
      </c>
      <c r="BF23" s="19">
        <v>17.78</v>
      </c>
      <c r="BG23" s="5"/>
      <c r="BH23" s="27">
        <v>5.9539</v>
      </c>
      <c r="BI23" s="19">
        <v>18.01</v>
      </c>
      <c r="BJ23" s="5"/>
      <c r="BK23" s="27">
        <v>5.9051</v>
      </c>
      <c r="BL23" s="19">
        <v>18.05</v>
      </c>
      <c r="BM23" s="5"/>
      <c r="BN23" s="27">
        <f t="shared" si="0"/>
        <v>6.050052380952382</v>
      </c>
      <c r="BO23" s="19">
        <f t="shared" si="1"/>
        <v>17.96333333333334</v>
      </c>
      <c r="BP23" s="32"/>
      <c r="BQ23" s="31"/>
      <c r="BR23" s="32"/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1/1.45085</f>
        <v>0.6892511286487232</v>
      </c>
      <c r="D24" s="19">
        <v>163.99</v>
      </c>
      <c r="E24" s="5"/>
      <c r="F24" s="27">
        <f>1/1.44699</f>
        <v>0.6910897794732513</v>
      </c>
      <c r="G24" s="19">
        <v>162.22</v>
      </c>
      <c r="H24" s="5"/>
      <c r="I24" s="27">
        <f>1/1.45736</f>
        <v>0.6861722566833178</v>
      </c>
      <c r="J24" s="19">
        <v>162.62</v>
      </c>
      <c r="K24" s="5"/>
      <c r="L24" s="27">
        <f>1/1.45463</f>
        <v>0.6874600413850944</v>
      </c>
      <c r="M24" s="19">
        <v>160.95</v>
      </c>
      <c r="N24" s="5"/>
      <c r="O24" s="27">
        <f>1/1.4545</f>
        <v>0.6875214850464078</v>
      </c>
      <c r="P24" s="19">
        <v>162.09</v>
      </c>
      <c r="Q24" s="5"/>
      <c r="R24" s="27">
        <f>1/1.46279</f>
        <v>0.68362512732518</v>
      </c>
      <c r="S24" s="19">
        <v>161.88</v>
      </c>
      <c r="T24" s="5"/>
      <c r="U24" s="27">
        <f>1/1.46718</f>
        <v>0.68157962894805</v>
      </c>
      <c r="V24" s="19">
        <v>162.16</v>
      </c>
      <c r="W24" s="5"/>
      <c r="X24" s="27">
        <f>1/1.4637</f>
        <v>0.6832001093120175</v>
      </c>
      <c r="Y24" s="19">
        <v>161.24</v>
      </c>
      <c r="Z24" s="5"/>
      <c r="AA24" s="27">
        <f>1/1.46024</f>
        <v>0.6848189338738837</v>
      </c>
      <c r="AB24" s="19">
        <v>159.06</v>
      </c>
      <c r="AC24" s="5"/>
      <c r="AD24" s="27">
        <f>1/1.46545</f>
        <v>0.6823842505714969</v>
      </c>
      <c r="AE24" s="19">
        <v>159.74</v>
      </c>
      <c r="AF24" s="5"/>
      <c r="AG24" s="27">
        <f>1/1.46262</f>
        <v>0.6837045849229465</v>
      </c>
      <c r="AH24" s="19">
        <v>158.02</v>
      </c>
      <c r="AI24" s="5"/>
      <c r="AJ24" s="27">
        <f>1/1.46952</f>
        <v>0.6804943110675595</v>
      </c>
      <c r="AK24" s="19">
        <v>159.36</v>
      </c>
      <c r="AL24" s="5"/>
      <c r="AM24" s="27">
        <f>1/1.46922</f>
        <v>0.6806332611862077</v>
      </c>
      <c r="AN24" s="19">
        <v>158.26</v>
      </c>
      <c r="AO24" s="5"/>
      <c r="AP24" s="27">
        <f>1/1.47501</f>
        <v>0.6779615053457265</v>
      </c>
      <c r="AQ24" s="19">
        <v>158.74</v>
      </c>
      <c r="AR24" s="5"/>
      <c r="AS24" s="27">
        <f>1/1.47434</f>
        <v>0.6782695986000515</v>
      </c>
      <c r="AT24" s="19">
        <v>156.18</v>
      </c>
      <c r="AU24" s="5"/>
      <c r="AV24" s="27">
        <f>1/1.47582</f>
        <v>0.6775894079223754</v>
      </c>
      <c r="AW24" s="19">
        <v>157.05</v>
      </c>
      <c r="AX24" s="5"/>
      <c r="AY24" s="27">
        <f>1/1.47455</f>
        <v>0.6781730019327931</v>
      </c>
      <c r="AZ24" s="19">
        <v>155.68</v>
      </c>
      <c r="BA24" s="5"/>
      <c r="BB24" s="27">
        <f>1/1.47455</f>
        <v>0.6781730019327931</v>
      </c>
      <c r="BC24" s="19">
        <v>154.63</v>
      </c>
      <c r="BD24" s="5"/>
      <c r="BE24" s="27">
        <f>1/1.47513</f>
        <v>0.6779063540162562</v>
      </c>
      <c r="BF24" s="19">
        <v>156.33</v>
      </c>
      <c r="BG24" s="5"/>
      <c r="BH24" s="27">
        <f>1/1.4803</f>
        <v>0.6755387421468622</v>
      </c>
      <c r="BI24" s="19">
        <v>158.72</v>
      </c>
      <c r="BJ24" s="5"/>
      <c r="BK24" s="27">
        <f>1/1.48062</f>
        <v>0.6753927408788211</v>
      </c>
      <c r="BL24" s="19">
        <v>157.81</v>
      </c>
      <c r="BM24" s="5"/>
      <c r="BN24" s="27">
        <f t="shared" si="0"/>
        <v>0.6819494881533246</v>
      </c>
      <c r="BO24" s="19">
        <f t="shared" si="1"/>
        <v>159.3680952380952</v>
      </c>
      <c r="BP24" s="32"/>
      <c r="BQ24" s="31"/>
      <c r="BR24" s="32"/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113.03</v>
      </c>
      <c r="E25" s="21"/>
      <c r="F25" s="28">
        <v>1</v>
      </c>
      <c r="G25" s="22">
        <v>112.11</v>
      </c>
      <c r="H25" s="21"/>
      <c r="I25" s="28">
        <v>1</v>
      </c>
      <c r="J25" s="22">
        <v>111.59</v>
      </c>
      <c r="K25" s="21"/>
      <c r="L25" s="28">
        <v>1</v>
      </c>
      <c r="M25" s="22">
        <v>110.65</v>
      </c>
      <c r="N25" s="21"/>
      <c r="O25" s="28">
        <v>1</v>
      </c>
      <c r="P25" s="22">
        <v>111.44</v>
      </c>
      <c r="Q25" s="21"/>
      <c r="R25" s="28">
        <v>1</v>
      </c>
      <c r="S25" s="22">
        <v>110.67</v>
      </c>
      <c r="T25" s="21"/>
      <c r="U25" s="28">
        <v>1</v>
      </c>
      <c r="V25" s="22">
        <v>110.53</v>
      </c>
      <c r="W25" s="21"/>
      <c r="X25" s="28">
        <v>1</v>
      </c>
      <c r="Y25" s="22">
        <v>110.16</v>
      </c>
      <c r="Z25" s="21"/>
      <c r="AA25" s="28">
        <v>1</v>
      </c>
      <c r="AB25" s="22">
        <v>108.92</v>
      </c>
      <c r="AC25" s="21"/>
      <c r="AD25" s="28">
        <v>1</v>
      </c>
      <c r="AE25" s="22">
        <v>109</v>
      </c>
      <c r="AF25" s="21"/>
      <c r="AG25" s="28">
        <v>1</v>
      </c>
      <c r="AH25" s="22">
        <v>108.04</v>
      </c>
      <c r="AI25" s="21"/>
      <c r="AJ25" s="28">
        <v>1</v>
      </c>
      <c r="AK25" s="22">
        <v>108.44</v>
      </c>
      <c r="AL25" s="21"/>
      <c r="AM25" s="28">
        <v>1</v>
      </c>
      <c r="AN25" s="22">
        <v>107.72</v>
      </c>
      <c r="AO25" s="21"/>
      <c r="AP25" s="28">
        <v>1</v>
      </c>
      <c r="AQ25" s="22">
        <v>107.62</v>
      </c>
      <c r="AR25" s="21"/>
      <c r="AS25" s="28">
        <v>1</v>
      </c>
      <c r="AT25" s="22">
        <v>105.93</v>
      </c>
      <c r="AU25" s="21"/>
      <c r="AV25" s="28">
        <v>1</v>
      </c>
      <c r="AW25" s="22">
        <v>106.42</v>
      </c>
      <c r="AX25" s="21"/>
      <c r="AY25" s="28">
        <v>1</v>
      </c>
      <c r="AZ25" s="22">
        <v>105.58</v>
      </c>
      <c r="BA25" s="21"/>
      <c r="BB25" s="28">
        <v>1</v>
      </c>
      <c r="BC25" s="22">
        <v>104.87</v>
      </c>
      <c r="BD25" s="21"/>
      <c r="BE25" s="28">
        <v>1</v>
      </c>
      <c r="BF25" s="22">
        <v>105.98</v>
      </c>
      <c r="BG25" s="21"/>
      <c r="BH25" s="28">
        <v>1</v>
      </c>
      <c r="BI25" s="22">
        <v>107.22</v>
      </c>
      <c r="BJ25" s="21"/>
      <c r="BK25" s="28">
        <v>1</v>
      </c>
      <c r="BL25" s="22">
        <v>106.58</v>
      </c>
      <c r="BM25" s="21"/>
      <c r="BN25" s="28">
        <f t="shared" si="0"/>
        <v>1</v>
      </c>
      <c r="BO25" s="22">
        <f t="shared" si="1"/>
        <v>108.69047619047619</v>
      </c>
      <c r="BP25" s="32"/>
      <c r="BQ25" s="31"/>
      <c r="BR25" s="32"/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9"/>
      <c r="BH26" s="9"/>
      <c r="BI26" s="31"/>
      <c r="BJ26" s="9"/>
      <c r="BK26" s="9"/>
      <c r="BL26" s="31"/>
      <c r="BM26" s="9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&amp;L&amp;"Helv,Bold"&amp;11BANKA E SHQIPERISE
Sektori i Informacionit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zoomScale="75" zoomScaleNormal="75" zoomScalePageLayoutView="0" workbookViewId="0" topLeftCell="A1">
      <pane xSplit="2" ySplit="11" topLeftCell="BA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5" ht="15.75" customHeight="1">
      <c r="A4" s="6" t="s">
        <v>2</v>
      </c>
      <c r="B4" s="5"/>
      <c r="C4" s="4" t="s">
        <v>49</v>
      </c>
      <c r="D4" s="4"/>
      <c r="E4" s="10"/>
      <c r="F4" s="4" t="s">
        <v>50</v>
      </c>
      <c r="G4" s="4"/>
      <c r="H4" s="10"/>
      <c r="I4" s="4" t="s">
        <v>51</v>
      </c>
      <c r="J4" s="4"/>
      <c r="K4" s="10"/>
      <c r="L4" s="4" t="s">
        <v>52</v>
      </c>
      <c r="M4" s="4"/>
      <c r="N4" s="10"/>
      <c r="O4" s="4" t="s">
        <v>53</v>
      </c>
      <c r="P4" s="4"/>
      <c r="Q4" s="10"/>
      <c r="R4" s="4" t="s">
        <v>54</v>
      </c>
      <c r="S4" s="4"/>
      <c r="T4" s="10"/>
      <c r="U4" s="4" t="s">
        <v>55</v>
      </c>
      <c r="V4" s="4"/>
      <c r="W4" s="10"/>
      <c r="X4" s="4" t="s">
        <v>56</v>
      </c>
      <c r="Y4" s="4"/>
      <c r="Z4" s="10"/>
      <c r="AA4" s="4" t="s">
        <v>57</v>
      </c>
      <c r="AB4" s="4"/>
      <c r="AC4" s="10"/>
      <c r="AD4" s="4" t="s">
        <v>58</v>
      </c>
      <c r="AE4" s="4"/>
      <c r="AF4" s="10"/>
      <c r="AG4" s="4" t="s">
        <v>59</v>
      </c>
      <c r="AH4" s="4"/>
      <c r="AI4" s="10"/>
      <c r="AJ4" s="4" t="s">
        <v>60</v>
      </c>
      <c r="AK4" s="4"/>
      <c r="AL4" s="10"/>
      <c r="AM4" s="4" t="s">
        <v>61</v>
      </c>
      <c r="AN4" s="4"/>
      <c r="AO4" s="10"/>
      <c r="AP4" s="4" t="s">
        <v>62</v>
      </c>
      <c r="AQ4" s="4"/>
      <c r="AR4" s="10"/>
      <c r="AS4" s="4" t="s">
        <v>63</v>
      </c>
      <c r="AT4" s="4"/>
      <c r="AU4" s="10"/>
      <c r="AV4" s="4" t="s">
        <v>64</v>
      </c>
      <c r="AW4" s="4"/>
      <c r="AX4" s="10"/>
      <c r="AY4" s="4" t="s">
        <v>65</v>
      </c>
      <c r="AZ4" s="4"/>
      <c r="BA4" s="10"/>
      <c r="BB4" s="4" t="s">
        <v>66</v>
      </c>
      <c r="BC4" s="4"/>
      <c r="BD4" s="10"/>
      <c r="BE4" s="4" t="s">
        <v>67</v>
      </c>
      <c r="BF4" s="4"/>
      <c r="BG4" s="10"/>
      <c r="BH4" s="4" t="s">
        <v>3</v>
      </c>
      <c r="BI4" s="4"/>
      <c r="BJ4" s="26"/>
      <c r="BK4" s="37"/>
      <c r="BL4" s="37"/>
      <c r="BM4" s="38"/>
    </row>
    <row r="5" spans="1:65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38"/>
      <c r="BL5" s="38"/>
      <c r="BM5" s="38"/>
    </row>
    <row r="6" spans="1:65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9"/>
      <c r="BL6" s="9"/>
      <c r="BM6" s="9"/>
    </row>
    <row r="7" spans="1:65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39"/>
      <c r="BL7" s="39"/>
      <c r="BM7" s="39"/>
    </row>
    <row r="8" spans="1:65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39"/>
      <c r="BL8" s="39"/>
      <c r="BM8" s="39"/>
    </row>
    <row r="9" spans="1:65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39"/>
      <c r="BL9" s="39"/>
      <c r="BM9" s="39"/>
    </row>
    <row r="10" spans="1:6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39"/>
      <c r="BL10" s="39"/>
      <c r="BM10" s="39"/>
      <c r="BN10" s="1"/>
    </row>
    <row r="11" spans="1:65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9"/>
      <c r="BL11" s="9"/>
      <c r="BM11" s="9"/>
    </row>
    <row r="12" spans="1:65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9"/>
      <c r="BL12" s="9"/>
      <c r="BM12" s="9"/>
    </row>
    <row r="13" spans="1:65" ht="15.75" customHeight="1">
      <c r="A13" s="16">
        <v>1</v>
      </c>
      <c r="B13" s="17" t="s">
        <v>14</v>
      </c>
      <c r="C13" s="27">
        <v>119.84</v>
      </c>
      <c r="D13" s="19">
        <v>111.65</v>
      </c>
      <c r="E13" s="5"/>
      <c r="F13" s="27">
        <v>120.18</v>
      </c>
      <c r="G13" s="19">
        <v>108.36</v>
      </c>
      <c r="H13" s="5"/>
      <c r="I13" s="27">
        <v>119.08</v>
      </c>
      <c r="J13" s="19">
        <v>108.63</v>
      </c>
      <c r="K13" s="5"/>
      <c r="L13" s="27">
        <v>120.02</v>
      </c>
      <c r="M13" s="19">
        <v>108.29</v>
      </c>
      <c r="N13" s="5"/>
      <c r="O13" s="27">
        <v>120.06</v>
      </c>
      <c r="P13" s="19">
        <v>108.29</v>
      </c>
      <c r="Q13" s="5"/>
      <c r="R13" s="27">
        <v>120.42</v>
      </c>
      <c r="S13" s="19">
        <v>107.78</v>
      </c>
      <c r="T13" s="5"/>
      <c r="U13" s="27">
        <v>120.64</v>
      </c>
      <c r="V13" s="19">
        <v>107.84</v>
      </c>
      <c r="W13" s="5"/>
      <c r="X13" s="27">
        <v>120.93</v>
      </c>
      <c r="Y13" s="19">
        <v>107.52</v>
      </c>
      <c r="Z13" s="5"/>
      <c r="AA13" s="27">
        <v>120.18</v>
      </c>
      <c r="AB13" s="19">
        <v>107.99</v>
      </c>
      <c r="AC13" s="5"/>
      <c r="AD13" s="27">
        <v>120.22</v>
      </c>
      <c r="AE13" s="19">
        <v>108.41</v>
      </c>
      <c r="AF13" s="5"/>
      <c r="AG13" s="27">
        <v>119.17</v>
      </c>
      <c r="AH13" s="19">
        <v>109.27</v>
      </c>
      <c r="AI13" s="5"/>
      <c r="AJ13" s="27">
        <v>118.95</v>
      </c>
      <c r="AK13" s="19">
        <v>109.49</v>
      </c>
      <c r="AL13" s="5"/>
      <c r="AM13" s="27">
        <v>118.7</v>
      </c>
      <c r="AN13" s="19">
        <v>109.59</v>
      </c>
      <c r="AO13" s="5"/>
      <c r="AP13" s="27">
        <v>118.35</v>
      </c>
      <c r="AQ13" s="19">
        <v>109.64</v>
      </c>
      <c r="AR13" s="5"/>
      <c r="AS13" s="27">
        <v>118.1</v>
      </c>
      <c r="AT13" s="19">
        <v>110.13</v>
      </c>
      <c r="AU13" s="5"/>
      <c r="AV13" s="27">
        <v>117.21</v>
      </c>
      <c r="AW13" s="19">
        <v>110.74</v>
      </c>
      <c r="AX13" s="5"/>
      <c r="AY13" s="27">
        <v>117.4</v>
      </c>
      <c r="AZ13" s="19">
        <v>110.78</v>
      </c>
      <c r="BA13" s="5"/>
      <c r="BB13" s="27">
        <v>116.86</v>
      </c>
      <c r="BC13" s="19">
        <v>111.14</v>
      </c>
      <c r="BD13" s="5"/>
      <c r="BE13" s="27">
        <v>117.88</v>
      </c>
      <c r="BF13" s="19">
        <v>110.26</v>
      </c>
      <c r="BG13" s="5"/>
      <c r="BH13" s="27">
        <f>(+C13+F13+I13+L13+O13+R13+U13+X13+AA13+AD13+AG13+AJ13+AM13+AP13+AS13+AV13+AY13+BB13+BE13)/19</f>
        <v>119.16789473684213</v>
      </c>
      <c r="BI13" s="19">
        <f>(+D13+G13+J13+M13+P13+S13+V13+Y13+AB13+AE13+AH13+AK13+AN13+AQ13+AT13+AW13+AZ13+BC13+BF13)/19</f>
        <v>109.25263157894737</v>
      </c>
      <c r="BJ13" s="5"/>
      <c r="BK13" s="31"/>
      <c r="BL13" s="31"/>
      <c r="BM13" s="9"/>
    </row>
    <row r="14" spans="1:65" ht="15.75" customHeight="1">
      <c r="A14" s="16">
        <v>2</v>
      </c>
      <c r="B14" s="17" t="s">
        <v>15</v>
      </c>
      <c r="C14" s="27">
        <f>1/1.6038</f>
        <v>0.6235191420376606</v>
      </c>
      <c r="D14" s="19">
        <v>214.58</v>
      </c>
      <c r="E14" s="5"/>
      <c r="F14" s="27">
        <f>1/1.644</f>
        <v>0.6082725060827251</v>
      </c>
      <c r="G14" s="19">
        <v>214.1</v>
      </c>
      <c r="H14" s="5"/>
      <c r="I14" s="27">
        <f>1/1.652</f>
        <v>0.6053268765133172</v>
      </c>
      <c r="J14" s="19">
        <v>213.69</v>
      </c>
      <c r="K14" s="5"/>
      <c r="L14" s="27">
        <f>1/1.6444</f>
        <v>0.608124543906592</v>
      </c>
      <c r="M14" s="19">
        <v>213.71</v>
      </c>
      <c r="N14" s="5"/>
      <c r="O14" s="27">
        <f>1/1.6259</f>
        <v>0.6150439756442586</v>
      </c>
      <c r="P14" s="19">
        <v>211.39</v>
      </c>
      <c r="Q14" s="5"/>
      <c r="R14" s="27">
        <f>1/1.6332</f>
        <v>0.612294881214793</v>
      </c>
      <c r="S14" s="19">
        <v>211.97</v>
      </c>
      <c r="T14" s="5"/>
      <c r="U14" s="27">
        <f>1/1.6191</f>
        <v>0.6176270767710457</v>
      </c>
      <c r="V14" s="19">
        <v>210.65</v>
      </c>
      <c r="W14" s="5"/>
      <c r="X14" s="27">
        <f>1/1.6185</f>
        <v>0.6178560395427866</v>
      </c>
      <c r="Y14" s="19">
        <v>210.43</v>
      </c>
      <c r="Z14" s="5"/>
      <c r="AA14" s="27">
        <f>1/1.6171</f>
        <v>0.6183909467565395</v>
      </c>
      <c r="AB14" s="19">
        <v>209.87</v>
      </c>
      <c r="AC14" s="5"/>
      <c r="AD14" s="27">
        <f>1/1.5999</f>
        <v>0.6250390649415588</v>
      </c>
      <c r="AE14" s="19">
        <v>208.52</v>
      </c>
      <c r="AF14" s="5"/>
      <c r="AG14" s="27">
        <f>1/1.5974</f>
        <v>0.6260172780768749</v>
      </c>
      <c r="AH14" s="19">
        <v>208</v>
      </c>
      <c r="AI14" s="5"/>
      <c r="AJ14" s="27">
        <f>1/1.5931</f>
        <v>0.6277069863787584</v>
      </c>
      <c r="AK14" s="19">
        <v>207.49</v>
      </c>
      <c r="AL14" s="5"/>
      <c r="AM14" s="27">
        <f>1/1.5967</f>
        <v>0.6262917266862905</v>
      </c>
      <c r="AN14" s="19">
        <v>207.7</v>
      </c>
      <c r="AO14" s="5"/>
      <c r="AP14" s="27">
        <f>1/1.5949</f>
        <v>0.6269985579033168</v>
      </c>
      <c r="AQ14" s="19">
        <v>206.96</v>
      </c>
      <c r="AR14" s="5"/>
      <c r="AS14" s="27">
        <f>1/1.5789</f>
        <v>0.6333523339033504</v>
      </c>
      <c r="AT14" s="19">
        <v>205.36</v>
      </c>
      <c r="AU14" s="5"/>
      <c r="AV14" s="27">
        <f>1/1.5825</f>
        <v>0.631911532385466</v>
      </c>
      <c r="AW14" s="19">
        <v>205.41</v>
      </c>
      <c r="AX14" s="5"/>
      <c r="AY14" s="27">
        <f>1/1.5737</f>
        <v>0.6354451293130837</v>
      </c>
      <c r="AZ14" s="19">
        <v>204.66</v>
      </c>
      <c r="BA14" s="5"/>
      <c r="BB14" s="27">
        <f>1/1.586</f>
        <v>0.6305170239596469</v>
      </c>
      <c r="BC14" s="19">
        <v>205.99</v>
      </c>
      <c r="BD14" s="5"/>
      <c r="BE14" s="27">
        <f>1/1.582</f>
        <v>0.6321112515802781</v>
      </c>
      <c r="BF14" s="19">
        <v>205.62</v>
      </c>
      <c r="BG14" s="5"/>
      <c r="BH14" s="27">
        <f aca="true" t="shared" si="0" ref="BH14:BH25">(+C14+F14+I14+L14+O14+R14+U14+X14+AA14+AD14+AG14+AJ14+AM14+AP14+AS14+AV14+AY14+BB14+BE14)/19</f>
        <v>0.6222024670314916</v>
      </c>
      <c r="BI14" s="19">
        <f aca="true" t="shared" si="1" ref="BI14:BI25">(+D14+G14+J14+M14+P14+S14+V14+Y14+AB14+AE14+AH14+AK14+AN14+AQ14+AT14+AW14+AZ14+BC14+BF14)/19</f>
        <v>209.2684210526316</v>
      </c>
      <c r="BJ14" s="5"/>
      <c r="BK14" s="31"/>
      <c r="BL14" s="31"/>
      <c r="BM14" s="9"/>
    </row>
    <row r="15" spans="1:65" ht="15.75" customHeight="1">
      <c r="A15" s="16">
        <v>3</v>
      </c>
      <c r="B15" s="17" t="s">
        <v>16</v>
      </c>
      <c r="C15" s="27">
        <v>1.4008</v>
      </c>
      <c r="D15" s="19">
        <v>95.51</v>
      </c>
      <c r="E15" s="5"/>
      <c r="F15" s="27">
        <v>1.3584</v>
      </c>
      <c r="G15" s="19">
        <v>95.87</v>
      </c>
      <c r="H15" s="5"/>
      <c r="I15" s="27">
        <v>1.3431</v>
      </c>
      <c r="J15" s="19">
        <v>96.31</v>
      </c>
      <c r="K15" s="5"/>
      <c r="L15" s="27">
        <v>1.3582</v>
      </c>
      <c r="M15" s="19">
        <v>95.69</v>
      </c>
      <c r="N15" s="5"/>
      <c r="O15" s="27">
        <v>1.3616</v>
      </c>
      <c r="P15" s="19">
        <v>95.48</v>
      </c>
      <c r="Q15" s="5"/>
      <c r="R15" s="27">
        <v>1.355</v>
      </c>
      <c r="S15" s="19">
        <v>95.79</v>
      </c>
      <c r="T15" s="5"/>
      <c r="U15" s="27">
        <v>1.3632</v>
      </c>
      <c r="V15" s="19">
        <v>95.44</v>
      </c>
      <c r="W15" s="5"/>
      <c r="X15" s="27">
        <v>1.3609</v>
      </c>
      <c r="Y15" s="19">
        <v>95.54</v>
      </c>
      <c r="Z15" s="5"/>
      <c r="AA15" s="27">
        <v>1.3591</v>
      </c>
      <c r="AB15" s="19">
        <v>95.49</v>
      </c>
      <c r="AC15" s="5"/>
      <c r="AD15" s="27">
        <v>1.3747</v>
      </c>
      <c r="AE15" s="19">
        <v>94.81</v>
      </c>
      <c r="AF15" s="5"/>
      <c r="AG15" s="27">
        <v>1.3698</v>
      </c>
      <c r="AH15" s="19">
        <v>95.06</v>
      </c>
      <c r="AI15" s="5"/>
      <c r="AJ15" s="27">
        <v>1.3728</v>
      </c>
      <c r="AK15" s="19">
        <v>94.87</v>
      </c>
      <c r="AL15" s="5"/>
      <c r="AM15" s="27">
        <v>1.3649</v>
      </c>
      <c r="AN15" s="19">
        <v>95.3</v>
      </c>
      <c r="AO15" s="5"/>
      <c r="AP15" s="27">
        <v>1.353</v>
      </c>
      <c r="AQ15" s="19">
        <v>95.91</v>
      </c>
      <c r="AR15" s="5"/>
      <c r="AS15" s="27">
        <v>1.3643</v>
      </c>
      <c r="AT15" s="19">
        <v>95.33</v>
      </c>
      <c r="AU15" s="5"/>
      <c r="AV15" s="27">
        <v>1.3571</v>
      </c>
      <c r="AW15" s="19">
        <v>95.65</v>
      </c>
      <c r="AX15" s="5"/>
      <c r="AY15" s="27">
        <v>1.3581</v>
      </c>
      <c r="AZ15" s="19">
        <v>95.76</v>
      </c>
      <c r="BA15" s="5"/>
      <c r="BB15" s="27">
        <v>1.3509</v>
      </c>
      <c r="BC15" s="19">
        <v>96.14</v>
      </c>
      <c r="BD15" s="5"/>
      <c r="BE15" s="27">
        <v>1.3571</v>
      </c>
      <c r="BF15" s="19">
        <v>95.77</v>
      </c>
      <c r="BG15" s="5"/>
      <c r="BH15" s="27">
        <f t="shared" si="0"/>
        <v>1.3622631578947368</v>
      </c>
      <c r="BI15" s="19">
        <f t="shared" si="1"/>
        <v>95.56421052631578</v>
      </c>
      <c r="BJ15" s="5"/>
      <c r="BK15" s="31"/>
      <c r="BL15" s="31"/>
      <c r="BM15" s="9"/>
    </row>
    <row r="16" spans="1:65" ht="15.75" customHeight="1">
      <c r="A16" s="16">
        <v>4</v>
      </c>
      <c r="B16" s="17" t="s">
        <v>17</v>
      </c>
      <c r="C16" s="27">
        <f>1/1.0406</f>
        <v>0.9609840476648088</v>
      </c>
      <c r="D16" s="19">
        <v>139.23</v>
      </c>
      <c r="E16" s="5"/>
      <c r="F16" s="27">
        <f>1/1.0801</f>
        <v>0.9258401999814831</v>
      </c>
      <c r="G16" s="19">
        <v>140.66</v>
      </c>
      <c r="H16" s="5"/>
      <c r="I16" s="27">
        <f>1/1.0918</f>
        <v>0.9159186664224216</v>
      </c>
      <c r="J16" s="19">
        <v>141.23</v>
      </c>
      <c r="K16" s="5"/>
      <c r="L16" s="27">
        <f>1/1.08</f>
        <v>0.9259259259259258</v>
      </c>
      <c r="M16" s="19">
        <v>140.36</v>
      </c>
      <c r="N16" s="5"/>
      <c r="O16" s="27">
        <f>1/1.0774</f>
        <v>0.9281603861147207</v>
      </c>
      <c r="P16" s="19">
        <v>140.07</v>
      </c>
      <c r="Q16" s="5"/>
      <c r="R16" s="27">
        <f>1/1.0811</f>
        <v>0.9249838127832763</v>
      </c>
      <c r="S16" s="19">
        <v>140.32</v>
      </c>
      <c r="T16" s="5"/>
      <c r="U16" s="27">
        <f>1/1.0761</f>
        <v>0.9292816652727441</v>
      </c>
      <c r="V16" s="19">
        <v>140</v>
      </c>
      <c r="W16" s="5"/>
      <c r="X16" s="27">
        <f>1/1.0786</f>
        <v>0.9271277582050806</v>
      </c>
      <c r="Y16" s="19">
        <v>140.24</v>
      </c>
      <c r="Z16" s="5"/>
      <c r="AA16" s="27">
        <f>1/1.0804</f>
        <v>0.9255831173639393</v>
      </c>
      <c r="AB16" s="19">
        <v>140.22</v>
      </c>
      <c r="AC16" s="5"/>
      <c r="AD16" s="27">
        <f>1/1.071</f>
        <v>0.9337068160597572</v>
      </c>
      <c r="AE16" s="19">
        <v>139.59</v>
      </c>
      <c r="AF16" s="5"/>
      <c r="AG16" s="27">
        <f>1/1.0723</f>
        <v>0.9325748391308403</v>
      </c>
      <c r="AH16" s="19">
        <v>139.63</v>
      </c>
      <c r="AI16" s="5"/>
      <c r="AJ16" s="27">
        <f>1/1.0716</f>
        <v>0.9331840238895109</v>
      </c>
      <c r="AK16" s="19">
        <v>139.57</v>
      </c>
      <c r="AL16" s="5"/>
      <c r="AM16" s="27">
        <f>1/1.0766</f>
        <v>0.9288500835965076</v>
      </c>
      <c r="AN16" s="19">
        <v>140.04</v>
      </c>
      <c r="AO16" s="5"/>
      <c r="AP16" s="27">
        <f>1/1.0836</f>
        <v>0.9228497600590625</v>
      </c>
      <c r="AQ16" s="19">
        <v>140.61</v>
      </c>
      <c r="AR16" s="5"/>
      <c r="AS16" s="27">
        <f>1/1.0759</f>
        <v>0.9294544102611766</v>
      </c>
      <c r="AT16" s="19">
        <v>139.94</v>
      </c>
      <c r="AU16" s="5"/>
      <c r="AV16" s="27">
        <f>1/1.079</f>
        <v>0.9267840593141798</v>
      </c>
      <c r="AW16" s="19">
        <v>140.06</v>
      </c>
      <c r="AX16" s="5"/>
      <c r="AY16" s="27">
        <f>1/1.0753</f>
        <v>0.9299730307821074</v>
      </c>
      <c r="AZ16" s="19">
        <v>139.84</v>
      </c>
      <c r="BA16" s="5"/>
      <c r="BB16" s="27">
        <f>1/1.0826</f>
        <v>0.9237021984112322</v>
      </c>
      <c r="BC16" s="19">
        <v>140.61</v>
      </c>
      <c r="BD16" s="5"/>
      <c r="BE16" s="27">
        <f>1/1.0778</f>
        <v>0.9278159213212098</v>
      </c>
      <c r="BF16" s="19">
        <v>140.09</v>
      </c>
      <c r="BG16" s="5"/>
      <c r="BH16" s="27">
        <f t="shared" si="0"/>
        <v>0.9290895117136834</v>
      </c>
      <c r="BI16" s="19">
        <f t="shared" si="1"/>
        <v>140.12157894736842</v>
      </c>
      <c r="BJ16" s="5"/>
      <c r="BK16" s="31"/>
      <c r="BL16" s="31"/>
      <c r="BM16" s="9"/>
    </row>
    <row r="17" spans="1:65" ht="15.75" customHeight="1">
      <c r="A17" s="16">
        <v>5</v>
      </c>
      <c r="B17" s="17" t="s">
        <v>18</v>
      </c>
      <c r="C17" s="27">
        <v>348</v>
      </c>
      <c r="D17" s="19">
        <v>46561.1</v>
      </c>
      <c r="E17" s="5"/>
      <c r="F17" s="27">
        <v>374.5</v>
      </c>
      <c r="G17" s="19">
        <v>48771.6</v>
      </c>
      <c r="H17" s="5"/>
      <c r="I17" s="27">
        <v>384.5</v>
      </c>
      <c r="J17" s="19">
        <v>49736.78</v>
      </c>
      <c r="K17" s="5"/>
      <c r="L17" s="27">
        <v>372.25</v>
      </c>
      <c r="M17" s="19">
        <v>48379.47</v>
      </c>
      <c r="N17" s="5"/>
      <c r="O17" s="27">
        <v>370.75</v>
      </c>
      <c r="P17" s="19">
        <v>48201.62</v>
      </c>
      <c r="Q17" s="5"/>
      <c r="R17" s="27">
        <v>371.75</v>
      </c>
      <c r="S17" s="19">
        <v>48249.85</v>
      </c>
      <c r="T17" s="5"/>
      <c r="U17" s="27">
        <v>362.75</v>
      </c>
      <c r="V17" s="19">
        <v>47195.14</v>
      </c>
      <c r="W17" s="5"/>
      <c r="X17" s="27">
        <v>354.5</v>
      </c>
      <c r="Y17" s="19">
        <v>46091.43</v>
      </c>
      <c r="Z17" s="5"/>
      <c r="AA17" s="27">
        <v>356.5</v>
      </c>
      <c r="AB17" s="19">
        <v>46267.91</v>
      </c>
      <c r="AC17" s="5"/>
      <c r="AD17" s="27">
        <v>346</v>
      </c>
      <c r="AE17" s="19">
        <v>45095.72</v>
      </c>
      <c r="AF17" s="5"/>
      <c r="AG17" s="27">
        <v>347.25</v>
      </c>
      <c r="AH17" s="19">
        <v>45216.29</v>
      </c>
      <c r="AI17" s="5"/>
      <c r="AJ17" s="27">
        <v>346.75</v>
      </c>
      <c r="AK17" s="19">
        <v>45161.59</v>
      </c>
      <c r="AL17" s="5"/>
      <c r="AM17" s="27">
        <v>350.75</v>
      </c>
      <c r="AN17" s="19">
        <v>45625.56</v>
      </c>
      <c r="AO17" s="5"/>
      <c r="AP17" s="27">
        <v>354</v>
      </c>
      <c r="AQ17" s="19">
        <v>45935.93</v>
      </c>
      <c r="AR17" s="5"/>
      <c r="AS17" s="27">
        <v>352.75</v>
      </c>
      <c r="AT17" s="19">
        <v>45880.43</v>
      </c>
      <c r="AU17" s="5"/>
      <c r="AV17" s="27">
        <v>358.8</v>
      </c>
      <c r="AW17" s="19">
        <v>46572.91</v>
      </c>
      <c r="AX17" s="5"/>
      <c r="AY17" s="27">
        <v>352.4</v>
      </c>
      <c r="AZ17" s="19">
        <v>45830.06</v>
      </c>
      <c r="BA17" s="5"/>
      <c r="BB17" s="27">
        <v>354.4</v>
      </c>
      <c r="BC17" s="19">
        <v>46029.92</v>
      </c>
      <c r="BD17" s="5"/>
      <c r="BE17" s="27">
        <v>347.9</v>
      </c>
      <c r="BF17" s="19">
        <v>45218.52</v>
      </c>
      <c r="BG17" s="5"/>
      <c r="BH17" s="27">
        <f t="shared" si="0"/>
        <v>358.2368421052631</v>
      </c>
      <c r="BI17" s="19">
        <f t="shared" si="1"/>
        <v>46632.727894736854</v>
      </c>
      <c r="BJ17" s="5"/>
      <c r="BK17" s="31"/>
      <c r="BL17" s="31"/>
      <c r="BM17" s="9"/>
    </row>
    <row r="18" spans="1:65" ht="15.75" customHeight="1">
      <c r="A18" s="16">
        <v>6</v>
      </c>
      <c r="B18" s="20" t="s">
        <v>19</v>
      </c>
      <c r="C18" s="27">
        <v>4.83</v>
      </c>
      <c r="D18" s="19">
        <v>646.24</v>
      </c>
      <c r="E18" s="5"/>
      <c r="F18" s="27">
        <v>4.85</v>
      </c>
      <c r="G18" s="19">
        <v>631.62</v>
      </c>
      <c r="H18" s="5"/>
      <c r="I18" s="27">
        <v>4.93</v>
      </c>
      <c r="J18" s="19">
        <v>637.72</v>
      </c>
      <c r="K18" s="5"/>
      <c r="L18" s="27">
        <v>4.77</v>
      </c>
      <c r="M18" s="19">
        <v>619.93</v>
      </c>
      <c r="N18" s="5"/>
      <c r="O18" s="27">
        <v>4.7</v>
      </c>
      <c r="P18" s="19">
        <v>611.05</v>
      </c>
      <c r="Q18" s="5"/>
      <c r="R18" s="27">
        <v>4.65</v>
      </c>
      <c r="S18" s="19">
        <v>603.53</v>
      </c>
      <c r="T18" s="5"/>
      <c r="U18" s="27">
        <v>4.56</v>
      </c>
      <c r="V18" s="19">
        <v>593.27</v>
      </c>
      <c r="W18" s="5"/>
      <c r="X18" s="27">
        <v>4.52</v>
      </c>
      <c r="Y18" s="19">
        <v>587.68</v>
      </c>
      <c r="Z18" s="5"/>
      <c r="AA18" s="27">
        <v>4.53</v>
      </c>
      <c r="AB18" s="19">
        <v>587.92</v>
      </c>
      <c r="AC18" s="5"/>
      <c r="AD18" s="27">
        <v>4.49</v>
      </c>
      <c r="AE18" s="19">
        <v>585.2</v>
      </c>
      <c r="AF18" s="5"/>
      <c r="AG18" s="27">
        <v>4.5</v>
      </c>
      <c r="AH18" s="19">
        <v>585.96</v>
      </c>
      <c r="AI18" s="5"/>
      <c r="AJ18" s="27">
        <v>4.57</v>
      </c>
      <c r="AK18" s="19">
        <v>595.21</v>
      </c>
      <c r="AL18" s="5"/>
      <c r="AM18" s="27">
        <v>4.64</v>
      </c>
      <c r="AN18" s="19">
        <v>603.57</v>
      </c>
      <c r="AO18" s="5"/>
      <c r="AP18" s="27">
        <v>4.65</v>
      </c>
      <c r="AQ18" s="19">
        <v>603.4</v>
      </c>
      <c r="AR18" s="5"/>
      <c r="AS18" s="27">
        <v>4.67</v>
      </c>
      <c r="AT18" s="19">
        <v>607.4</v>
      </c>
      <c r="AU18" s="5"/>
      <c r="AV18" s="27">
        <v>4.72</v>
      </c>
      <c r="AW18" s="19">
        <v>612.66</v>
      </c>
      <c r="AX18" s="5"/>
      <c r="AY18" s="27">
        <v>4.64</v>
      </c>
      <c r="AZ18" s="19">
        <v>603.44</v>
      </c>
      <c r="BA18" s="5"/>
      <c r="BB18" s="27">
        <v>4.64</v>
      </c>
      <c r="BC18" s="19">
        <v>602.65</v>
      </c>
      <c r="BD18" s="5"/>
      <c r="BE18" s="27">
        <v>4.58</v>
      </c>
      <c r="BF18" s="19">
        <v>595.29</v>
      </c>
      <c r="BG18" s="5"/>
      <c r="BH18" s="27">
        <f t="shared" si="0"/>
        <v>4.6547368421052635</v>
      </c>
      <c r="BI18" s="19">
        <f t="shared" si="1"/>
        <v>605.9863157894738</v>
      </c>
      <c r="BJ18" s="5"/>
      <c r="BK18" s="31"/>
      <c r="BL18" s="31"/>
      <c r="BM18" s="9"/>
    </row>
    <row r="19" spans="1:65" ht="15.75" customHeight="1">
      <c r="A19" s="16">
        <v>7</v>
      </c>
      <c r="B19" s="17" t="s">
        <v>20</v>
      </c>
      <c r="C19" s="27">
        <f>1/0.5751</f>
        <v>1.7388280299078422</v>
      </c>
      <c r="D19" s="19">
        <v>76.95</v>
      </c>
      <c r="E19" s="5"/>
      <c r="F19" s="27">
        <f>1/0.5875</f>
        <v>1.702127659574468</v>
      </c>
      <c r="G19" s="19">
        <v>76.51</v>
      </c>
      <c r="H19" s="5"/>
      <c r="I19" s="27">
        <f>1/0.5924</f>
        <v>1.6880486158001349</v>
      </c>
      <c r="J19" s="19">
        <v>76.63</v>
      </c>
      <c r="K19" s="5"/>
      <c r="L19" s="27">
        <f>1/0.5904</f>
        <v>1.6937669376693767</v>
      </c>
      <c r="M19" s="19">
        <v>76.73</v>
      </c>
      <c r="N19" s="5"/>
      <c r="O19" s="27">
        <f>1/0.5889</f>
        <v>1.6980811682798438</v>
      </c>
      <c r="P19" s="19">
        <v>76.56</v>
      </c>
      <c r="Q19" s="5"/>
      <c r="R19" s="27">
        <f>1/0.5924</f>
        <v>1.6880486158001349</v>
      </c>
      <c r="S19" s="19">
        <v>76.89</v>
      </c>
      <c r="T19" s="5"/>
      <c r="U19" s="27">
        <f>1/0.5917</f>
        <v>1.6900456312320433</v>
      </c>
      <c r="V19" s="19">
        <v>76.98</v>
      </c>
      <c r="W19" s="5"/>
      <c r="X19" s="27">
        <f>1/0.5915</f>
        <v>1.6906170752324599</v>
      </c>
      <c r="Y19" s="19">
        <v>76.91</v>
      </c>
      <c r="Z19" s="5"/>
      <c r="AA19" s="27">
        <f>1/0.594</f>
        <v>1.6835016835016836</v>
      </c>
      <c r="AB19" s="19">
        <v>77.09</v>
      </c>
      <c r="AC19" s="5"/>
      <c r="AD19" s="27">
        <f>1/0.5896</f>
        <v>1.6960651289009498</v>
      </c>
      <c r="AE19" s="19">
        <v>76.85</v>
      </c>
      <c r="AF19" s="5"/>
      <c r="AG19" s="27">
        <f>1/0.591</f>
        <v>1.6920473773265652</v>
      </c>
      <c r="AH19" s="19">
        <v>76.96</v>
      </c>
      <c r="AI19" s="5"/>
      <c r="AJ19" s="27">
        <f>1/0.5921</f>
        <v>1.6889039013680123</v>
      </c>
      <c r="AK19" s="19">
        <v>77.12</v>
      </c>
      <c r="AL19" s="5"/>
      <c r="AM19" s="27">
        <f>1/0.5963</f>
        <v>1.6770082173402647</v>
      </c>
      <c r="AN19" s="19">
        <v>77.57</v>
      </c>
      <c r="AO19" s="5"/>
      <c r="AP19" s="27">
        <f>1/0.5985</f>
        <v>1.670843776106934</v>
      </c>
      <c r="AQ19" s="19">
        <v>77.66</v>
      </c>
      <c r="AR19" s="5"/>
      <c r="AS19" s="27">
        <f>1/0.603</f>
        <v>1.658374792703151</v>
      </c>
      <c r="AT19" s="19">
        <v>78.43</v>
      </c>
      <c r="AU19" s="5"/>
      <c r="AV19" s="27">
        <f>1/0.6064</f>
        <v>1.6490765171503956</v>
      </c>
      <c r="AW19" s="19">
        <v>78.71</v>
      </c>
      <c r="AX19" s="5"/>
      <c r="AY19" s="27">
        <f>1/0.606</f>
        <v>1.6501650165016502</v>
      </c>
      <c r="AZ19" s="19">
        <v>78.81</v>
      </c>
      <c r="BA19" s="5"/>
      <c r="BB19" s="27">
        <f>1/0.6081</f>
        <v>1.64446637066272</v>
      </c>
      <c r="BC19" s="19">
        <v>78.98</v>
      </c>
      <c r="BD19" s="5"/>
      <c r="BE19" s="27">
        <f>1/0.6055</f>
        <v>1.6515276630883566</v>
      </c>
      <c r="BF19" s="19">
        <v>78.7</v>
      </c>
      <c r="BG19" s="5"/>
      <c r="BH19" s="27">
        <f t="shared" si="0"/>
        <v>1.6816602199024728</v>
      </c>
      <c r="BI19" s="19">
        <f t="shared" si="1"/>
        <v>77.42315789473685</v>
      </c>
      <c r="BJ19" s="18"/>
      <c r="BK19" s="31"/>
      <c r="BL19" s="31"/>
      <c r="BM19" s="24"/>
    </row>
    <row r="20" spans="1:65" ht="15.75" customHeight="1">
      <c r="A20" s="16">
        <v>8</v>
      </c>
      <c r="B20" s="17" t="s">
        <v>21</v>
      </c>
      <c r="C20" s="27">
        <v>1.5605</v>
      </c>
      <c r="D20" s="19">
        <v>85.74</v>
      </c>
      <c r="E20" s="5"/>
      <c r="F20" s="27">
        <v>1.5185</v>
      </c>
      <c r="G20" s="19">
        <v>85.76</v>
      </c>
      <c r="H20" s="5"/>
      <c r="I20" s="27">
        <v>1.514</v>
      </c>
      <c r="J20" s="19">
        <v>85.44</v>
      </c>
      <c r="K20" s="5"/>
      <c r="L20" s="27">
        <v>1.5213</v>
      </c>
      <c r="M20" s="19">
        <v>85.43</v>
      </c>
      <c r="N20" s="5"/>
      <c r="O20" s="27">
        <v>1.5214</v>
      </c>
      <c r="P20" s="19">
        <v>85.45</v>
      </c>
      <c r="Q20" s="5"/>
      <c r="R20" s="27">
        <v>1.5231</v>
      </c>
      <c r="S20" s="19">
        <v>85.22</v>
      </c>
      <c r="T20" s="5"/>
      <c r="U20" s="27">
        <v>1.5273</v>
      </c>
      <c r="V20" s="19">
        <v>85.19</v>
      </c>
      <c r="W20" s="5"/>
      <c r="X20" s="27">
        <v>1.5237</v>
      </c>
      <c r="Y20" s="19">
        <v>85.33</v>
      </c>
      <c r="Z20" s="5"/>
      <c r="AA20" s="27">
        <v>1.5143</v>
      </c>
      <c r="AB20" s="19">
        <v>85.71</v>
      </c>
      <c r="AC20" s="5"/>
      <c r="AD20" s="27">
        <v>1.5225</v>
      </c>
      <c r="AE20" s="19">
        <v>85.61</v>
      </c>
      <c r="AF20" s="5"/>
      <c r="AG20" s="27">
        <v>1.521</v>
      </c>
      <c r="AH20" s="19">
        <v>85.61</v>
      </c>
      <c r="AI20" s="5"/>
      <c r="AJ20" s="27">
        <v>1.5126</v>
      </c>
      <c r="AK20" s="19">
        <v>86.11</v>
      </c>
      <c r="AL20" s="5"/>
      <c r="AM20" s="27">
        <v>1.5067</v>
      </c>
      <c r="AN20" s="19">
        <v>86.33</v>
      </c>
      <c r="AO20" s="5"/>
      <c r="AP20" s="27">
        <v>1.5039</v>
      </c>
      <c r="AQ20" s="19">
        <v>86.28</v>
      </c>
      <c r="AR20" s="5"/>
      <c r="AS20" s="27">
        <v>1.4969</v>
      </c>
      <c r="AT20" s="19">
        <v>86.89</v>
      </c>
      <c r="AU20" s="5"/>
      <c r="AV20" s="27">
        <v>1.4911</v>
      </c>
      <c r="AW20" s="19">
        <v>87.05</v>
      </c>
      <c r="AX20" s="5"/>
      <c r="AY20" s="27">
        <v>1.4939</v>
      </c>
      <c r="AZ20" s="19">
        <v>87.05</v>
      </c>
      <c r="BA20" s="5"/>
      <c r="BB20" s="27">
        <v>1.4901</v>
      </c>
      <c r="BC20" s="19">
        <v>87.16</v>
      </c>
      <c r="BD20" s="5"/>
      <c r="BE20" s="27">
        <v>1.4902</v>
      </c>
      <c r="BF20" s="19">
        <v>87.22</v>
      </c>
      <c r="BG20" s="5"/>
      <c r="BH20" s="27">
        <f t="shared" si="0"/>
        <v>1.5133157894736842</v>
      </c>
      <c r="BI20" s="19">
        <f t="shared" si="1"/>
        <v>86.03052631578949</v>
      </c>
      <c r="BJ20" s="5"/>
      <c r="BK20" s="31"/>
      <c r="BL20" s="31"/>
      <c r="BM20" s="9"/>
    </row>
    <row r="21" spans="1:65" ht="15.75" customHeight="1">
      <c r="A21" s="16">
        <v>9</v>
      </c>
      <c r="B21" s="17" t="s">
        <v>22</v>
      </c>
      <c r="C21" s="27">
        <v>8.7273</v>
      </c>
      <c r="D21" s="19">
        <v>15.33</v>
      </c>
      <c r="E21" s="5"/>
      <c r="F21" s="27">
        <v>8.5495</v>
      </c>
      <c r="G21" s="19">
        <v>15.23</v>
      </c>
      <c r="H21" s="5"/>
      <c r="I21" s="27">
        <v>8.472</v>
      </c>
      <c r="J21" s="19">
        <v>15.27</v>
      </c>
      <c r="K21" s="5"/>
      <c r="L21" s="27">
        <v>8.5131</v>
      </c>
      <c r="M21" s="19">
        <v>15.27</v>
      </c>
      <c r="N21" s="5"/>
      <c r="O21" s="27">
        <v>8.5101</v>
      </c>
      <c r="P21" s="19">
        <v>15.28</v>
      </c>
      <c r="Q21" s="5"/>
      <c r="R21" s="27">
        <v>8.467</v>
      </c>
      <c r="S21" s="19">
        <v>15.33</v>
      </c>
      <c r="T21" s="5"/>
      <c r="U21" s="27">
        <v>8.4943</v>
      </c>
      <c r="V21" s="19">
        <v>15.32</v>
      </c>
      <c r="W21" s="5"/>
      <c r="X21" s="27">
        <v>8.4589</v>
      </c>
      <c r="Y21" s="19">
        <v>15.37</v>
      </c>
      <c r="Z21" s="5"/>
      <c r="AA21" s="27">
        <v>8.4378</v>
      </c>
      <c r="AB21" s="19">
        <v>15.38</v>
      </c>
      <c r="AC21" s="5"/>
      <c r="AD21" s="27">
        <v>8.5004</v>
      </c>
      <c r="AE21" s="19">
        <v>15.33</v>
      </c>
      <c r="AF21" s="5"/>
      <c r="AG21" s="27">
        <v>8.4939</v>
      </c>
      <c r="AH21" s="19">
        <v>15.33</v>
      </c>
      <c r="AI21" s="5"/>
      <c r="AJ21" s="27">
        <v>8.4933</v>
      </c>
      <c r="AK21" s="19">
        <v>15.33</v>
      </c>
      <c r="AL21" s="5"/>
      <c r="AM21" s="27">
        <v>8.4613</v>
      </c>
      <c r="AN21" s="19">
        <v>15.37</v>
      </c>
      <c r="AO21" s="5"/>
      <c r="AP21" s="27">
        <v>8.417</v>
      </c>
      <c r="AQ21" s="19">
        <v>15.42</v>
      </c>
      <c r="AR21" s="5"/>
      <c r="AS21" s="27">
        <v>8.4804</v>
      </c>
      <c r="AT21" s="19">
        <v>15.34</v>
      </c>
      <c r="AU21" s="5"/>
      <c r="AV21" s="27">
        <v>8.442</v>
      </c>
      <c r="AW21" s="19">
        <v>15.38</v>
      </c>
      <c r="AX21" s="5"/>
      <c r="AY21" s="27">
        <v>8.4705</v>
      </c>
      <c r="AZ21" s="19">
        <v>15.35</v>
      </c>
      <c r="BA21" s="5"/>
      <c r="BB21" s="27">
        <v>8.3975</v>
      </c>
      <c r="BC21" s="19">
        <v>15.47</v>
      </c>
      <c r="BD21" s="5"/>
      <c r="BE21" s="27">
        <v>8.4783</v>
      </c>
      <c r="BF21" s="19">
        <v>15.33</v>
      </c>
      <c r="BG21" s="5"/>
      <c r="BH21" s="27">
        <f t="shared" si="0"/>
        <v>8.48761052631579</v>
      </c>
      <c r="BI21" s="19">
        <f t="shared" si="1"/>
        <v>15.338421052631583</v>
      </c>
      <c r="BJ21" s="5"/>
      <c r="BK21" s="31"/>
      <c r="BL21" s="31"/>
      <c r="BM21" s="9"/>
    </row>
    <row r="22" spans="1:65" ht="15.75" customHeight="1">
      <c r="A22" s="16">
        <v>10</v>
      </c>
      <c r="B22" s="17" t="s">
        <v>23</v>
      </c>
      <c r="C22" s="27">
        <v>6.9521</v>
      </c>
      <c r="D22" s="19">
        <v>19.25</v>
      </c>
      <c r="E22" s="5"/>
      <c r="F22" s="27">
        <v>6.9257</v>
      </c>
      <c r="G22" s="19">
        <v>18.8</v>
      </c>
      <c r="H22" s="5"/>
      <c r="I22" s="27">
        <v>6.92</v>
      </c>
      <c r="J22" s="19">
        <v>18.69</v>
      </c>
      <c r="K22" s="5"/>
      <c r="L22" s="27">
        <v>6.9565</v>
      </c>
      <c r="M22" s="19">
        <v>18.68</v>
      </c>
      <c r="N22" s="5"/>
      <c r="O22" s="27">
        <v>6.9347</v>
      </c>
      <c r="P22" s="19">
        <v>18.75</v>
      </c>
      <c r="Q22" s="5"/>
      <c r="R22" s="27">
        <v>6.9072</v>
      </c>
      <c r="S22" s="19">
        <v>18.79</v>
      </c>
      <c r="T22" s="5"/>
      <c r="U22" s="27">
        <v>6.9316</v>
      </c>
      <c r="V22" s="19">
        <v>18.77</v>
      </c>
      <c r="W22" s="5"/>
      <c r="X22" s="27">
        <v>6.9424</v>
      </c>
      <c r="Y22" s="19">
        <v>18.73</v>
      </c>
      <c r="Z22" s="5"/>
      <c r="AA22" s="27">
        <v>6.9674</v>
      </c>
      <c r="AB22" s="19">
        <v>18.63</v>
      </c>
      <c r="AC22" s="5"/>
      <c r="AD22" s="27">
        <v>7.0103</v>
      </c>
      <c r="AE22" s="19">
        <v>18.59</v>
      </c>
      <c r="AF22" s="5"/>
      <c r="AG22" s="27">
        <v>7.0179</v>
      </c>
      <c r="AH22" s="19">
        <v>18.55</v>
      </c>
      <c r="AI22" s="5"/>
      <c r="AJ22" s="27">
        <v>7.0266</v>
      </c>
      <c r="AK22" s="19">
        <v>18.54</v>
      </c>
      <c r="AL22" s="5"/>
      <c r="AM22" s="27">
        <v>6.9994</v>
      </c>
      <c r="AN22" s="19">
        <v>18.58</v>
      </c>
      <c r="AO22" s="5"/>
      <c r="AP22" s="27">
        <v>6.9611</v>
      </c>
      <c r="AQ22" s="19">
        <v>18.64</v>
      </c>
      <c r="AR22" s="5"/>
      <c r="AS22" s="27">
        <v>7.025</v>
      </c>
      <c r="AT22" s="19">
        <v>18.51</v>
      </c>
      <c r="AU22" s="5"/>
      <c r="AV22" s="27">
        <v>7.0736</v>
      </c>
      <c r="AW22" s="19">
        <v>18.35</v>
      </c>
      <c r="AX22" s="5"/>
      <c r="AY22" s="27">
        <v>7.09</v>
      </c>
      <c r="AZ22" s="19">
        <v>18.34</v>
      </c>
      <c r="BA22" s="5"/>
      <c r="BB22" s="27">
        <v>7.1565</v>
      </c>
      <c r="BC22" s="19">
        <v>18.15</v>
      </c>
      <c r="BD22" s="5"/>
      <c r="BE22" s="27">
        <v>7.1624</v>
      </c>
      <c r="BF22" s="19">
        <v>18.15</v>
      </c>
      <c r="BG22" s="5"/>
      <c r="BH22" s="27">
        <f t="shared" si="0"/>
        <v>6.997915789473684</v>
      </c>
      <c r="BI22" s="19">
        <f t="shared" si="1"/>
        <v>18.604736842105257</v>
      </c>
      <c r="BJ22" s="5"/>
      <c r="BK22" s="31"/>
      <c r="BL22" s="31"/>
      <c r="BM22" s="9"/>
    </row>
    <row r="23" spans="1:65" ht="15.75" customHeight="1">
      <c r="A23" s="16">
        <v>11</v>
      </c>
      <c r="B23" s="17" t="s">
        <v>24</v>
      </c>
      <c r="C23" s="27">
        <v>7.1347</v>
      </c>
      <c r="D23" s="19">
        <v>18.75</v>
      </c>
      <c r="E23" s="5"/>
      <c r="F23" s="27">
        <v>6.8843</v>
      </c>
      <c r="G23" s="19">
        <v>18.92</v>
      </c>
      <c r="H23" s="5"/>
      <c r="I23" s="27">
        <v>6.8089</v>
      </c>
      <c r="J23" s="19">
        <v>19</v>
      </c>
      <c r="K23" s="5"/>
      <c r="L23" s="27">
        <v>6.8813</v>
      </c>
      <c r="M23" s="19">
        <v>18.89</v>
      </c>
      <c r="N23" s="5"/>
      <c r="O23" s="27">
        <v>6.8982</v>
      </c>
      <c r="P23" s="19">
        <v>18.85</v>
      </c>
      <c r="Q23" s="5"/>
      <c r="R23" s="27">
        <v>6.8697</v>
      </c>
      <c r="S23" s="19">
        <v>18.89</v>
      </c>
      <c r="T23" s="5"/>
      <c r="U23" s="27">
        <v>6.9061</v>
      </c>
      <c r="V23" s="19">
        <v>18.84</v>
      </c>
      <c r="W23" s="5"/>
      <c r="X23" s="27">
        <v>6.8902</v>
      </c>
      <c r="Y23" s="19">
        <v>18.87</v>
      </c>
      <c r="Z23" s="5"/>
      <c r="AA23" s="27">
        <v>6.8768</v>
      </c>
      <c r="AB23" s="19">
        <v>18.87</v>
      </c>
      <c r="AC23" s="5"/>
      <c r="AD23" s="27">
        <v>6.9379</v>
      </c>
      <c r="AE23" s="19">
        <v>18.79</v>
      </c>
      <c r="AF23" s="5"/>
      <c r="AG23" s="27">
        <v>6.9282</v>
      </c>
      <c r="AH23" s="19">
        <v>18.79</v>
      </c>
      <c r="AI23" s="5"/>
      <c r="AJ23" s="27">
        <v>6.931</v>
      </c>
      <c r="AK23" s="19">
        <v>18.79</v>
      </c>
      <c r="AL23" s="5"/>
      <c r="AM23" s="27">
        <v>6.9005</v>
      </c>
      <c r="AN23" s="19">
        <v>18.85</v>
      </c>
      <c r="AO23" s="5"/>
      <c r="AP23" s="27">
        <v>6.8562</v>
      </c>
      <c r="AQ23" s="19">
        <v>18.93</v>
      </c>
      <c r="AR23" s="5"/>
      <c r="AS23" s="27">
        <v>6.9049</v>
      </c>
      <c r="AT23" s="19">
        <v>18.84</v>
      </c>
      <c r="AU23" s="5"/>
      <c r="AV23" s="27">
        <v>6.8818</v>
      </c>
      <c r="AW23" s="19">
        <v>18.86</v>
      </c>
      <c r="AX23" s="5"/>
      <c r="AY23" s="27">
        <v>6.9067</v>
      </c>
      <c r="AZ23" s="19">
        <v>18.83</v>
      </c>
      <c r="BA23" s="5"/>
      <c r="BB23" s="27">
        <v>6.8582</v>
      </c>
      <c r="BC23" s="19">
        <v>18.94</v>
      </c>
      <c r="BD23" s="5"/>
      <c r="BE23" s="27">
        <v>6.8889</v>
      </c>
      <c r="BF23" s="19">
        <v>18.87</v>
      </c>
      <c r="BG23" s="5"/>
      <c r="BH23" s="27">
        <f t="shared" si="0"/>
        <v>6.902342105263157</v>
      </c>
      <c r="BI23" s="19">
        <f t="shared" si="1"/>
        <v>18.861578947368418</v>
      </c>
      <c r="BJ23" s="5"/>
      <c r="BK23" s="31"/>
      <c r="BL23" s="31"/>
      <c r="BM23" s="9"/>
    </row>
    <row r="24" spans="1:65" ht="15.75" customHeight="1">
      <c r="A24" s="16">
        <v>12</v>
      </c>
      <c r="B24" s="17" t="s">
        <v>25</v>
      </c>
      <c r="C24" s="27">
        <f>1/1.35928</f>
        <v>0.7356835971985168</v>
      </c>
      <c r="D24" s="19">
        <v>181.87</v>
      </c>
      <c r="E24" s="5"/>
      <c r="F24" s="27">
        <f>1/1.36974</f>
        <v>0.730065559887278</v>
      </c>
      <c r="G24" s="19">
        <v>178.38</v>
      </c>
      <c r="H24" s="5"/>
      <c r="I24" s="27">
        <f>1/1.37411</f>
        <v>0.7277437759713561</v>
      </c>
      <c r="J24" s="19">
        <v>177.75</v>
      </c>
      <c r="K24" s="5"/>
      <c r="L24" s="27">
        <f>1/1.381</f>
        <v>0.724112961622013</v>
      </c>
      <c r="M24" s="19">
        <v>179.48</v>
      </c>
      <c r="N24" s="5"/>
      <c r="O24" s="27">
        <f>1/1.381</f>
        <v>0.724112961622013</v>
      </c>
      <c r="P24" s="19">
        <v>179.55</v>
      </c>
      <c r="Q24" s="5"/>
      <c r="R24" s="27">
        <f>1/1.37077</f>
        <v>0.7295169868030377</v>
      </c>
      <c r="S24" s="19">
        <v>177.91</v>
      </c>
      <c r="T24" s="5"/>
      <c r="U24" s="27">
        <f>1/1.36463</f>
        <v>0.7327993668613471</v>
      </c>
      <c r="V24" s="19">
        <v>177.54</v>
      </c>
      <c r="W24" s="5"/>
      <c r="X24" s="27">
        <f>1/1.36755</f>
        <v>0.7312346897736829</v>
      </c>
      <c r="Y24" s="19">
        <v>177.81</v>
      </c>
      <c r="Z24" s="5"/>
      <c r="AA24" s="27">
        <f>1/1.36854</f>
        <v>0.7307057155801072</v>
      </c>
      <c r="AB24" s="19">
        <v>177.61</v>
      </c>
      <c r="AC24" s="5"/>
      <c r="AD24" s="27">
        <f>1/1.37043</f>
        <v>0.729697978006903</v>
      </c>
      <c r="AE24" s="19">
        <v>178.61</v>
      </c>
      <c r="AF24" s="5"/>
      <c r="AG24" s="27">
        <f>1/1.37043</f>
        <v>0.729697978006903</v>
      </c>
      <c r="AH24" s="19">
        <v>178.45</v>
      </c>
      <c r="AI24" s="5"/>
      <c r="AJ24" s="27">
        <f>1/1.36677</f>
        <v>0.7316519970441259</v>
      </c>
      <c r="AK24" s="19">
        <v>178.01</v>
      </c>
      <c r="AL24" s="5"/>
      <c r="AM24" s="27">
        <f>1/1.36673</f>
        <v>0.7316734102565978</v>
      </c>
      <c r="AN24" s="19">
        <v>177.78</v>
      </c>
      <c r="AO24" s="5"/>
      <c r="AP24" s="27">
        <f>1/1.37007</f>
        <v>0.7298897136642654</v>
      </c>
      <c r="AQ24" s="19">
        <v>177.78</v>
      </c>
      <c r="AR24" s="5"/>
      <c r="AS24" s="27">
        <f>1/1.373</f>
        <v>0.7283321194464676</v>
      </c>
      <c r="AT24" s="19">
        <v>178.58</v>
      </c>
      <c r="AU24" s="5"/>
      <c r="AV24" s="27">
        <f>1/1.36852</f>
        <v>0.7307163943530237</v>
      </c>
      <c r="AW24" s="19">
        <v>177.64</v>
      </c>
      <c r="AX24" s="5"/>
      <c r="AY24" s="27">
        <f>1/1.37141</f>
        <v>0.7291765409323251</v>
      </c>
      <c r="AZ24" s="19">
        <v>178.35</v>
      </c>
      <c r="BA24" s="5"/>
      <c r="BB24" s="27">
        <f>1/1.36906</f>
        <v>0.7304281769973558</v>
      </c>
      <c r="BC24" s="19">
        <v>177.82</v>
      </c>
      <c r="BD24" s="5"/>
      <c r="BE24" s="27">
        <f>1/1.37347</f>
        <v>0.7280828849556233</v>
      </c>
      <c r="BF24" s="19">
        <v>178.52</v>
      </c>
      <c r="BG24" s="5"/>
      <c r="BH24" s="27">
        <f t="shared" si="0"/>
        <v>0.7297538320517338</v>
      </c>
      <c r="BI24" s="19">
        <f t="shared" si="1"/>
        <v>178.39157894736846</v>
      </c>
      <c r="BJ24" s="5"/>
      <c r="BK24" s="31"/>
      <c r="BL24" s="31"/>
      <c r="BM24" s="9"/>
    </row>
    <row r="25" spans="1:65" ht="15.75" customHeight="1" thickBot="1">
      <c r="A25" s="35">
        <v>13</v>
      </c>
      <c r="B25" s="36" t="s">
        <v>26</v>
      </c>
      <c r="C25" s="28">
        <v>1</v>
      </c>
      <c r="D25" s="22">
        <v>133.8</v>
      </c>
      <c r="E25" s="21"/>
      <c r="F25" s="28">
        <v>1</v>
      </c>
      <c r="G25" s="22">
        <v>130.23</v>
      </c>
      <c r="H25" s="21"/>
      <c r="I25" s="28">
        <v>1</v>
      </c>
      <c r="J25" s="22">
        <v>129.35</v>
      </c>
      <c r="K25" s="21"/>
      <c r="L25" s="28">
        <v>1</v>
      </c>
      <c r="M25" s="22">
        <v>129.97</v>
      </c>
      <c r="N25" s="21"/>
      <c r="O25" s="28">
        <v>1</v>
      </c>
      <c r="P25" s="22">
        <v>130.01</v>
      </c>
      <c r="Q25" s="21"/>
      <c r="R25" s="28">
        <v>1</v>
      </c>
      <c r="S25" s="22">
        <v>129.79</v>
      </c>
      <c r="T25" s="21"/>
      <c r="U25" s="28">
        <v>1</v>
      </c>
      <c r="V25" s="22">
        <v>130.1</v>
      </c>
      <c r="W25" s="21"/>
      <c r="X25" s="28">
        <v>1</v>
      </c>
      <c r="Y25" s="22">
        <v>130.02</v>
      </c>
      <c r="Z25" s="21"/>
      <c r="AA25" s="28">
        <v>1</v>
      </c>
      <c r="AB25" s="22">
        <v>129.78</v>
      </c>
      <c r="AC25" s="21"/>
      <c r="AD25" s="28">
        <v>1</v>
      </c>
      <c r="AE25" s="22">
        <v>130.33</v>
      </c>
      <c r="AF25" s="21"/>
      <c r="AG25" s="28">
        <v>1</v>
      </c>
      <c r="AH25" s="22">
        <v>130.21</v>
      </c>
      <c r="AI25" s="21"/>
      <c r="AJ25" s="28">
        <v>1</v>
      </c>
      <c r="AK25" s="22">
        <v>130.24</v>
      </c>
      <c r="AL25" s="21"/>
      <c r="AM25" s="28">
        <v>1</v>
      </c>
      <c r="AN25" s="22">
        <v>130.08</v>
      </c>
      <c r="AO25" s="21"/>
      <c r="AP25" s="28">
        <v>1</v>
      </c>
      <c r="AQ25" s="22">
        <v>129.76</v>
      </c>
      <c r="AR25" s="21"/>
      <c r="AS25" s="28">
        <v>1</v>
      </c>
      <c r="AT25" s="22">
        <v>130.07</v>
      </c>
      <c r="AU25" s="21"/>
      <c r="AV25" s="28">
        <v>1</v>
      </c>
      <c r="AW25" s="22">
        <v>129.8</v>
      </c>
      <c r="AX25" s="21"/>
      <c r="AY25" s="28">
        <v>1</v>
      </c>
      <c r="AZ25" s="22">
        <v>130.05</v>
      </c>
      <c r="BA25" s="21"/>
      <c r="BB25" s="28">
        <v>1</v>
      </c>
      <c r="BC25" s="22">
        <v>129.88</v>
      </c>
      <c r="BD25" s="21"/>
      <c r="BE25" s="28">
        <v>1</v>
      </c>
      <c r="BF25" s="22">
        <v>129.98</v>
      </c>
      <c r="BG25" s="21"/>
      <c r="BH25" s="28">
        <f t="shared" si="0"/>
        <v>1</v>
      </c>
      <c r="BI25" s="22">
        <f t="shared" si="1"/>
        <v>130.18157894736842</v>
      </c>
      <c r="BJ25" s="21"/>
      <c r="BK25" s="31"/>
      <c r="BL25" s="31"/>
      <c r="BM25" s="9"/>
    </row>
    <row r="26" spans="1:65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9" r:id="rId1"/>
  <headerFooter alignWithMargins="0">
    <oddHeader>&amp;L&amp;"Times New Roman,Bold"&amp;14Banka e Shqiperise&amp;12
Sektori i Informacionit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AX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J16" sqref="BJ16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5" ht="15.75" customHeight="1">
      <c r="A4" s="6" t="s">
        <v>2</v>
      </c>
      <c r="B4" s="5"/>
      <c r="C4" s="4" t="s">
        <v>84</v>
      </c>
      <c r="D4" s="4"/>
      <c r="E4" s="10"/>
      <c r="F4" s="4" t="s">
        <v>85</v>
      </c>
      <c r="G4" s="4"/>
      <c r="H4" s="10"/>
      <c r="I4" s="4" t="s">
        <v>86</v>
      </c>
      <c r="J4" s="4"/>
      <c r="K4" s="10"/>
      <c r="L4" s="4" t="s">
        <v>87</v>
      </c>
      <c r="M4" s="4"/>
      <c r="N4" s="10"/>
      <c r="O4" s="4" t="s">
        <v>69</v>
      </c>
      <c r="P4" s="4"/>
      <c r="Q4" s="10"/>
      <c r="R4" s="4" t="s">
        <v>70</v>
      </c>
      <c r="S4" s="4"/>
      <c r="T4" s="10"/>
      <c r="U4" s="4" t="s">
        <v>71</v>
      </c>
      <c r="V4" s="4"/>
      <c r="W4" s="10"/>
      <c r="X4" s="4" t="s">
        <v>72</v>
      </c>
      <c r="Y4" s="4"/>
      <c r="Z4" s="10"/>
      <c r="AA4" s="4" t="s">
        <v>73</v>
      </c>
      <c r="AB4" s="4"/>
      <c r="AC4" s="10"/>
      <c r="AD4" s="4" t="s">
        <v>74</v>
      </c>
      <c r="AE4" s="4"/>
      <c r="AF4" s="10"/>
      <c r="AG4" s="4" t="s">
        <v>75</v>
      </c>
      <c r="AH4" s="4"/>
      <c r="AI4" s="10"/>
      <c r="AJ4" s="4" t="s">
        <v>76</v>
      </c>
      <c r="AK4" s="4"/>
      <c r="AL4" s="10"/>
      <c r="AM4" s="4" t="s">
        <v>77</v>
      </c>
      <c r="AN4" s="4"/>
      <c r="AO4" s="10"/>
      <c r="AP4" s="4" t="s">
        <v>78</v>
      </c>
      <c r="AQ4" s="4"/>
      <c r="AR4" s="10"/>
      <c r="AS4" s="4" t="s">
        <v>79</v>
      </c>
      <c r="AT4" s="4"/>
      <c r="AU4" s="10"/>
      <c r="AV4" s="4" t="s">
        <v>80</v>
      </c>
      <c r="AW4" s="4"/>
      <c r="AX4" s="10"/>
      <c r="AY4" s="4" t="s">
        <v>81</v>
      </c>
      <c r="AZ4" s="4"/>
      <c r="BA4" s="10"/>
      <c r="BB4" s="4" t="s">
        <v>82</v>
      </c>
      <c r="BC4" s="4"/>
      <c r="BD4" s="10"/>
      <c r="BE4" s="4" t="s">
        <v>83</v>
      </c>
      <c r="BF4" s="4"/>
      <c r="BG4" s="10"/>
      <c r="BH4" s="4" t="s">
        <v>88</v>
      </c>
      <c r="BI4" s="4"/>
      <c r="BJ4" s="26"/>
      <c r="BK4" s="4" t="s">
        <v>3</v>
      </c>
      <c r="BL4" s="4"/>
      <c r="BM4" s="26"/>
    </row>
    <row r="5" spans="1:65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</row>
    <row r="6" spans="1:65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</row>
    <row r="8" spans="1:65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</row>
    <row r="9" spans="1:65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</row>
    <row r="10" spans="1:6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5" ht="15.75" customHeight="1">
      <c r="A13" s="16">
        <v>1</v>
      </c>
      <c r="B13" s="17" t="s">
        <v>14</v>
      </c>
      <c r="C13" s="27">
        <v>117.9</v>
      </c>
      <c r="D13" s="19">
        <v>110.14</v>
      </c>
      <c r="E13" s="5"/>
      <c r="F13" s="27">
        <v>117.57</v>
      </c>
      <c r="G13" s="19">
        <v>109.87</v>
      </c>
      <c r="H13" s="5"/>
      <c r="I13" s="27">
        <v>117.45</v>
      </c>
      <c r="J13" s="19">
        <v>109.42</v>
      </c>
      <c r="K13" s="5"/>
      <c r="L13" s="27">
        <v>117.38</v>
      </c>
      <c r="M13" s="19">
        <v>109.31</v>
      </c>
      <c r="N13" s="5"/>
      <c r="O13" s="27">
        <v>117.19</v>
      </c>
      <c r="P13" s="19">
        <v>109.13</v>
      </c>
      <c r="Q13" s="5"/>
      <c r="R13" s="27">
        <v>16.62</v>
      </c>
      <c r="S13" s="19">
        <v>109.35</v>
      </c>
      <c r="T13" s="5"/>
      <c r="U13" s="27">
        <v>116.91</v>
      </c>
      <c r="V13" s="19">
        <v>109.07</v>
      </c>
      <c r="W13" s="5"/>
      <c r="X13" s="27">
        <v>117.3</v>
      </c>
      <c r="Y13" s="19">
        <v>108.64</v>
      </c>
      <c r="Z13" s="5"/>
      <c r="AA13" s="27">
        <v>118.1</v>
      </c>
      <c r="AB13" s="19">
        <v>108.34</v>
      </c>
      <c r="AC13" s="5"/>
      <c r="AD13" s="27">
        <v>118.58</v>
      </c>
      <c r="AE13" s="19">
        <v>108.69</v>
      </c>
      <c r="AF13" s="5"/>
      <c r="AG13" s="27">
        <v>117.68</v>
      </c>
      <c r="AH13" s="19">
        <v>110</v>
      </c>
      <c r="AI13" s="5"/>
      <c r="AJ13" s="27">
        <v>119</v>
      </c>
      <c r="AK13" s="19">
        <v>110.11</v>
      </c>
      <c r="AL13" s="5"/>
      <c r="AM13" s="27">
        <v>119.02</v>
      </c>
      <c r="AN13" s="19">
        <v>110.38</v>
      </c>
      <c r="AO13" s="5"/>
      <c r="AP13" s="27">
        <v>120.15</v>
      </c>
      <c r="AQ13" s="19">
        <v>109.48</v>
      </c>
      <c r="AR13" s="5"/>
      <c r="AS13" s="27">
        <v>120.55</v>
      </c>
      <c r="AT13" s="19">
        <v>109.93</v>
      </c>
      <c r="AU13" s="5"/>
      <c r="AV13" s="27">
        <v>119.67</v>
      </c>
      <c r="AW13" s="19">
        <v>109.59</v>
      </c>
      <c r="AX13" s="5"/>
      <c r="AY13" s="27">
        <v>120.36</v>
      </c>
      <c r="AZ13" s="19">
        <v>109.3</v>
      </c>
      <c r="BA13" s="5"/>
      <c r="BB13" s="27">
        <v>119.79</v>
      </c>
      <c r="BC13" s="19">
        <v>109.42</v>
      </c>
      <c r="BD13" s="5"/>
      <c r="BE13" s="27">
        <v>120.12</v>
      </c>
      <c r="BF13" s="19">
        <v>109.1</v>
      </c>
      <c r="BG13" s="5"/>
      <c r="BH13" s="27">
        <v>118.63</v>
      </c>
      <c r="BI13" s="19">
        <v>108.9</v>
      </c>
      <c r="BJ13" s="5"/>
      <c r="BK13" s="27">
        <f>(+C13+F13+I13+L13+O13+R13+U13+X13+AA13+AD13+AG13+AJ13+AM13+AP13+AS13+AV13+AY13+BB13+BE13+BH13)/20</f>
        <v>113.4985</v>
      </c>
      <c r="BL13" s="19">
        <f>(+D13+G13+J13+M13+P13+S13+V13+Y13+AB13+AE13+AH13+AK13+AN13+AQ13+AT13+AW13+AZ13+BC13+BF13+BI13)/20</f>
        <v>109.4085</v>
      </c>
      <c r="BM13" s="5"/>
    </row>
    <row r="14" spans="1:65" ht="15.75" customHeight="1">
      <c r="A14" s="16">
        <v>2</v>
      </c>
      <c r="B14" s="17" t="s">
        <v>15</v>
      </c>
      <c r="C14" s="27">
        <f>1/1.5753</f>
        <v>0.634799720688123</v>
      </c>
      <c r="D14" s="19">
        <v>204.56</v>
      </c>
      <c r="E14" s="5"/>
      <c r="F14" s="27">
        <f>1/1.5815</f>
        <v>0.6323110970597534</v>
      </c>
      <c r="G14" s="19">
        <v>204.29</v>
      </c>
      <c r="H14" s="5"/>
      <c r="I14" s="27">
        <f>1/1.5921</f>
        <v>0.6281012499214873</v>
      </c>
      <c r="J14" s="19">
        <v>204.61</v>
      </c>
      <c r="K14" s="5"/>
      <c r="L14" s="27">
        <f>1/1.6056</f>
        <v>0.6228201295465869</v>
      </c>
      <c r="M14" s="19">
        <v>206.02</v>
      </c>
      <c r="N14" s="5"/>
      <c r="O14" s="27">
        <f>1/1.6043</f>
        <v>0.6233248145608676</v>
      </c>
      <c r="P14" s="19">
        <v>205.17</v>
      </c>
      <c r="Q14" s="5"/>
      <c r="R14" s="27">
        <f>1/1.5954</f>
        <v>0.6268020559107434</v>
      </c>
      <c r="S14" s="19">
        <v>203.46</v>
      </c>
      <c r="T14" s="5"/>
      <c r="U14" s="27">
        <f>1/1.6011</f>
        <v>0.6245706077072013</v>
      </c>
      <c r="V14" s="19">
        <v>204.16</v>
      </c>
      <c r="W14" s="5"/>
      <c r="X14" s="27">
        <f>1/1.6129</f>
        <v>0.62000124000248</v>
      </c>
      <c r="Y14" s="19">
        <v>205.54</v>
      </c>
      <c r="Z14" s="5"/>
      <c r="AA14" s="27">
        <f>1/1.6052</f>
        <v>0.622975330176925</v>
      </c>
      <c r="AB14" s="19">
        <v>205.39</v>
      </c>
      <c r="AC14" s="5"/>
      <c r="AD14" s="27">
        <f>1/1.595</f>
        <v>0.6269592476489029</v>
      </c>
      <c r="AE14" s="19">
        <v>205.58</v>
      </c>
      <c r="AF14" s="5"/>
      <c r="AG14" s="27">
        <f>1/1.5827</f>
        <v>0.6318316800404372</v>
      </c>
      <c r="AH14" s="19">
        <v>204.88</v>
      </c>
      <c r="AI14" s="5"/>
      <c r="AJ14" s="27">
        <f>1/1.5677</f>
        <v>0.6378771448618996</v>
      </c>
      <c r="AK14" s="19">
        <v>205.42</v>
      </c>
      <c r="AL14" s="5"/>
      <c r="AM14" s="27">
        <f>1/1.5589</f>
        <v>0.6414779652318943</v>
      </c>
      <c r="AN14" s="19">
        <v>204.79</v>
      </c>
      <c r="AO14" s="5"/>
      <c r="AP14" s="27">
        <f>1/1.5641</f>
        <v>0.6393453104021481</v>
      </c>
      <c r="AQ14" s="19">
        <v>205.74</v>
      </c>
      <c r="AR14" s="5"/>
      <c r="AS14" s="27">
        <f>1/1.5633</f>
        <v>0.6396724876863047</v>
      </c>
      <c r="AT14" s="19">
        <v>207.17</v>
      </c>
      <c r="AU14" s="5"/>
      <c r="AV14" s="27">
        <f>1/1.5764</f>
        <v>0.6343567622430855</v>
      </c>
      <c r="AW14" s="19">
        <v>206.73</v>
      </c>
      <c r="AX14" s="5"/>
      <c r="AY14" s="27">
        <f>1/1.573</f>
        <v>0.6357279084551812</v>
      </c>
      <c r="AZ14" s="19">
        <v>206.94</v>
      </c>
      <c r="BA14" s="5"/>
      <c r="BB14" s="27">
        <f>1/1.5725</f>
        <v>0.6359300476947536</v>
      </c>
      <c r="BC14" s="19">
        <v>206.11</v>
      </c>
      <c r="BD14" s="5"/>
      <c r="BE14" s="27">
        <f>1/1.5616</f>
        <v>0.6403688524590163</v>
      </c>
      <c r="BF14" s="19">
        <v>204.65</v>
      </c>
      <c r="BG14" s="5"/>
      <c r="BH14" s="27">
        <f>1/1.5789</f>
        <v>0.6333523339033504</v>
      </c>
      <c r="BI14" s="19">
        <v>203.98</v>
      </c>
      <c r="BJ14" s="5"/>
      <c r="BK14" s="27">
        <f aca="true" t="shared" si="0" ref="BK14:BK25">(+C14+F14+I14+L14+O14+R14+U14+X14+AA14+AD14+AG14+AJ14+AM14+AP14+AS14+AV14+AY14+BB14+BE14+BH14)/20</f>
        <v>0.631630299310057</v>
      </c>
      <c r="BL14" s="19">
        <f aca="true" t="shared" si="1" ref="BL14:BL25">(+D14+G14+J14+M14+P14+S14+V14+Y14+AB14+AE14+AH14+AK14+AN14+AQ14+AT14+AW14+AZ14+BC14+BF14+BI14)/20</f>
        <v>205.25950000000003</v>
      </c>
      <c r="BM14" s="5"/>
    </row>
    <row r="15" spans="1:65" ht="15.75" customHeight="1">
      <c r="A15" s="16">
        <v>3</v>
      </c>
      <c r="B15" s="17" t="s">
        <v>16</v>
      </c>
      <c r="C15" s="27">
        <v>1.3531</v>
      </c>
      <c r="D15" s="19">
        <v>95.97</v>
      </c>
      <c r="E15" s="5"/>
      <c r="F15" s="27">
        <v>1.3371</v>
      </c>
      <c r="G15" s="19">
        <v>96.61</v>
      </c>
      <c r="H15" s="5"/>
      <c r="I15" s="27">
        <v>1.3294</v>
      </c>
      <c r="J15" s="19">
        <v>96.67</v>
      </c>
      <c r="K15" s="5"/>
      <c r="L15" s="27">
        <v>1.3313</v>
      </c>
      <c r="M15" s="19">
        <v>96.38</v>
      </c>
      <c r="N15" s="5"/>
      <c r="O15" s="27">
        <v>1.3289</v>
      </c>
      <c r="P15" s="19">
        <v>96.24</v>
      </c>
      <c r="Q15" s="5"/>
      <c r="R15" s="27">
        <v>1.3302</v>
      </c>
      <c r="S15" s="19">
        <v>95.87</v>
      </c>
      <c r="T15" s="5"/>
      <c r="U15" s="27">
        <v>1.3255</v>
      </c>
      <c r="V15" s="19">
        <v>96.2</v>
      </c>
      <c r="W15" s="5"/>
      <c r="X15" s="27">
        <v>1.3304</v>
      </c>
      <c r="Y15" s="19">
        <v>95.79</v>
      </c>
      <c r="Z15" s="5"/>
      <c r="AA15" s="27">
        <v>1.3444</v>
      </c>
      <c r="AB15" s="19">
        <v>95.18</v>
      </c>
      <c r="AC15" s="5"/>
      <c r="AD15" s="27">
        <v>1.3625</v>
      </c>
      <c r="AE15" s="19">
        <v>94.6</v>
      </c>
      <c r="AF15" s="5"/>
      <c r="AG15" s="27">
        <v>1.3576</v>
      </c>
      <c r="AH15" s="19">
        <v>95.35</v>
      </c>
      <c r="AI15" s="5"/>
      <c r="AJ15" s="27">
        <v>1.389</v>
      </c>
      <c r="AK15" s="19">
        <v>94.34</v>
      </c>
      <c r="AL15" s="5"/>
      <c r="AM15" s="27">
        <v>1.3821</v>
      </c>
      <c r="AN15" s="19">
        <v>95.05</v>
      </c>
      <c r="AO15" s="5"/>
      <c r="AP15" s="27">
        <v>1.3852</v>
      </c>
      <c r="AQ15" s="19">
        <v>94.96</v>
      </c>
      <c r="AR15" s="5"/>
      <c r="AS15" s="27">
        <v>1.3915</v>
      </c>
      <c r="AT15" s="19">
        <v>95.24</v>
      </c>
      <c r="AU15" s="5"/>
      <c r="AV15" s="27">
        <v>1.375</v>
      </c>
      <c r="AW15" s="19">
        <v>95.38</v>
      </c>
      <c r="AX15" s="5"/>
      <c r="AY15" s="27">
        <v>1.3853</v>
      </c>
      <c r="AZ15" s="19">
        <v>94.97</v>
      </c>
      <c r="BA15" s="5"/>
      <c r="BB15" s="27">
        <v>1.3781</v>
      </c>
      <c r="BC15" s="19">
        <v>95.11</v>
      </c>
      <c r="BD15" s="5"/>
      <c r="BE15" s="27">
        <v>1.3762</v>
      </c>
      <c r="BF15" s="19">
        <v>95.23</v>
      </c>
      <c r="BG15" s="5"/>
      <c r="BH15" s="27">
        <v>1.3559</v>
      </c>
      <c r="BI15" s="19">
        <v>95.28</v>
      </c>
      <c r="BJ15" s="5"/>
      <c r="BK15" s="27">
        <f t="shared" si="0"/>
        <v>1.3574350000000002</v>
      </c>
      <c r="BL15" s="19">
        <f t="shared" si="1"/>
        <v>95.52099999999999</v>
      </c>
      <c r="BM15" s="5"/>
    </row>
    <row r="16" spans="1:65" ht="15.75" customHeight="1">
      <c r="A16" s="16">
        <v>4</v>
      </c>
      <c r="B16" s="17" t="s">
        <v>17</v>
      </c>
      <c r="C16" s="27">
        <f>1/1.0796</f>
        <v>0.9262689885142646</v>
      </c>
      <c r="D16" s="19">
        <v>140.19</v>
      </c>
      <c r="E16" s="5"/>
      <c r="F16" s="27">
        <f>1/1.0919</f>
        <v>0.9158347834050736</v>
      </c>
      <c r="G16" s="19">
        <v>141.02</v>
      </c>
      <c r="H16" s="5"/>
      <c r="I16" s="27">
        <f>1/1.0963</f>
        <v>0.9121590805436468</v>
      </c>
      <c r="J16" s="19">
        <v>140.89</v>
      </c>
      <c r="K16" s="5"/>
      <c r="L16" s="27">
        <f>1/1.0954</f>
        <v>0.9129085265656381</v>
      </c>
      <c r="M16" s="19">
        <v>140.55</v>
      </c>
      <c r="N16" s="5"/>
      <c r="O16" s="27">
        <f>1/1.1024</f>
        <v>0.9071117561683599</v>
      </c>
      <c r="P16" s="19">
        <v>140.98</v>
      </c>
      <c r="Q16" s="5"/>
      <c r="R16" s="27">
        <f>1/1.1037</f>
        <v>0.906043308870164</v>
      </c>
      <c r="S16" s="19">
        <v>140.75</v>
      </c>
      <c r="T16" s="5"/>
      <c r="U16" s="27">
        <f>1/1.1056</f>
        <v>0.9044862518089726</v>
      </c>
      <c r="V16" s="19">
        <v>140.98</v>
      </c>
      <c r="W16" s="5"/>
      <c r="X16" s="27">
        <f>1/1.1027</f>
        <v>0.9068649678062937</v>
      </c>
      <c r="Y16" s="19">
        <v>140.52</v>
      </c>
      <c r="Z16" s="5"/>
      <c r="AA16" s="27">
        <f>1/1.0919</f>
        <v>0.9158347834050736</v>
      </c>
      <c r="AB16" s="19">
        <v>139.71</v>
      </c>
      <c r="AC16" s="5"/>
      <c r="AD16" s="27">
        <f>1/1.0768</f>
        <v>0.9286775631500743</v>
      </c>
      <c r="AE16" s="19">
        <v>138.79</v>
      </c>
      <c r="AF16" s="5"/>
      <c r="AG16" s="27">
        <f>1/1.0804</f>
        <v>0.9255831173639393</v>
      </c>
      <c r="AH16" s="19">
        <v>139.85</v>
      </c>
      <c r="AI16" s="5"/>
      <c r="AJ16" s="27">
        <f>1/1.057</f>
        <v>0.946073793755913</v>
      </c>
      <c r="AK16" s="19">
        <v>138.5</v>
      </c>
      <c r="AL16" s="5"/>
      <c r="AM16" s="27">
        <f>1/1.0638</f>
        <v>0.9400263207369806</v>
      </c>
      <c r="AN16" s="19">
        <v>139.75</v>
      </c>
      <c r="AO16" s="5"/>
      <c r="AP16" s="27">
        <f>1/1.0616</f>
        <v>0.9419743782969102</v>
      </c>
      <c r="AQ16" s="19">
        <v>139.64</v>
      </c>
      <c r="AR16" s="5"/>
      <c r="AS16" s="27">
        <f>1/1.0588</f>
        <v>0.9444654325651681</v>
      </c>
      <c r="AT16" s="19">
        <v>140.31</v>
      </c>
      <c r="AU16" s="5"/>
      <c r="AV16" s="27">
        <f>1/1.0698</f>
        <v>0.9347541596560104</v>
      </c>
      <c r="AW16" s="19">
        <v>140.3</v>
      </c>
      <c r="AX16" s="5"/>
      <c r="AY16" s="27">
        <f>1/1.0645</f>
        <v>0.9394081728511038</v>
      </c>
      <c r="AZ16" s="19">
        <v>140.04</v>
      </c>
      <c r="BA16" s="5"/>
      <c r="BB16" s="27">
        <f>1/1.0729</f>
        <v>0.9320533134495294</v>
      </c>
      <c r="BC16" s="19">
        <v>140.63</v>
      </c>
      <c r="BD16" s="5"/>
      <c r="BE16" s="27">
        <f>1/1.0721</f>
        <v>0.9327488107452663</v>
      </c>
      <c r="BF16" s="19">
        <v>140.5</v>
      </c>
      <c r="BG16" s="5"/>
      <c r="BH16" s="27">
        <f>1/1.0881</f>
        <v>0.9190331770976932</v>
      </c>
      <c r="BI16" s="19">
        <v>140.58</v>
      </c>
      <c r="BJ16" s="5"/>
      <c r="BK16" s="27">
        <f t="shared" si="0"/>
        <v>0.9246155343378037</v>
      </c>
      <c r="BL16" s="19">
        <f t="shared" si="1"/>
        <v>140.224</v>
      </c>
      <c r="BM16" s="5"/>
    </row>
    <row r="17" spans="1:65" ht="15.75" customHeight="1">
      <c r="A17" s="16">
        <v>5</v>
      </c>
      <c r="B17" s="17" t="s">
        <v>18</v>
      </c>
      <c r="C17" s="27">
        <v>348</v>
      </c>
      <c r="D17" s="19">
        <v>45190.41</v>
      </c>
      <c r="E17" s="5"/>
      <c r="F17" s="27">
        <v>352.25</v>
      </c>
      <c r="G17" s="19">
        <v>45501.67</v>
      </c>
      <c r="H17" s="5"/>
      <c r="I17" s="27">
        <v>353.25</v>
      </c>
      <c r="J17" s="19">
        <v>45397.7</v>
      </c>
      <c r="K17" s="5"/>
      <c r="L17" s="27">
        <v>353.25</v>
      </c>
      <c r="M17" s="19">
        <v>45326.61</v>
      </c>
      <c r="N17" s="5"/>
      <c r="O17" s="27">
        <v>356.25</v>
      </c>
      <c r="P17" s="19">
        <v>45560.14</v>
      </c>
      <c r="Q17" s="5"/>
      <c r="R17" s="27">
        <v>353</v>
      </c>
      <c r="S17" s="19">
        <v>45017.43</v>
      </c>
      <c r="T17" s="5"/>
      <c r="U17" s="27">
        <v>353.2</v>
      </c>
      <c r="V17" s="19">
        <v>45037.42</v>
      </c>
      <c r="W17" s="5"/>
      <c r="X17" s="27">
        <v>349</v>
      </c>
      <c r="Y17" s="19">
        <v>44475.03</v>
      </c>
      <c r="Z17" s="5"/>
      <c r="AA17" s="27">
        <v>342.75</v>
      </c>
      <c r="AB17" s="19">
        <v>43856.15</v>
      </c>
      <c r="AC17" s="5"/>
      <c r="AD17" s="27">
        <v>335</v>
      </c>
      <c r="AE17" s="19">
        <v>43178.15</v>
      </c>
      <c r="AF17" s="5"/>
      <c r="AG17" s="27">
        <v>341</v>
      </c>
      <c r="AH17" s="19">
        <v>44141.38</v>
      </c>
      <c r="AI17" s="5"/>
      <c r="AJ17" s="27">
        <v>334.25</v>
      </c>
      <c r="AK17" s="19">
        <v>43798.03</v>
      </c>
      <c r="AL17" s="5"/>
      <c r="AM17" s="27">
        <v>339</v>
      </c>
      <c r="AN17" s="19">
        <v>44534.85</v>
      </c>
      <c r="AO17" s="5"/>
      <c r="AP17" s="27">
        <v>335.25</v>
      </c>
      <c r="AQ17" s="19">
        <v>44097.74</v>
      </c>
      <c r="AR17" s="5"/>
      <c r="AS17" s="27">
        <v>332.25</v>
      </c>
      <c r="AT17" s="19">
        <v>44029.77</v>
      </c>
      <c r="AU17" s="5"/>
      <c r="AV17" s="27">
        <v>333</v>
      </c>
      <c r="AW17" s="19">
        <v>43670.45</v>
      </c>
      <c r="AX17" s="5"/>
      <c r="AY17" s="27">
        <v>329.25</v>
      </c>
      <c r="AZ17" s="19">
        <v>43314.69</v>
      </c>
      <c r="BA17" s="5"/>
      <c r="BB17" s="27">
        <v>333.3</v>
      </c>
      <c r="BC17" s="19">
        <v>43686.46</v>
      </c>
      <c r="BD17" s="5"/>
      <c r="BE17" s="27">
        <v>330</v>
      </c>
      <c r="BF17" s="19">
        <v>43247.33</v>
      </c>
      <c r="BG17" s="5"/>
      <c r="BH17" s="27">
        <v>334.9</v>
      </c>
      <c r="BI17" s="19">
        <v>43266.78</v>
      </c>
      <c r="BJ17" s="5"/>
      <c r="BK17" s="27">
        <f t="shared" si="0"/>
        <v>341.90749999999997</v>
      </c>
      <c r="BL17" s="19">
        <f t="shared" si="1"/>
        <v>44316.4095</v>
      </c>
      <c r="BM17" s="5"/>
    </row>
    <row r="18" spans="1:65" ht="15.75" customHeight="1">
      <c r="A18" s="16">
        <v>6</v>
      </c>
      <c r="B18" s="20" t="s">
        <v>19</v>
      </c>
      <c r="C18" s="27">
        <v>4.6</v>
      </c>
      <c r="D18" s="19">
        <v>597.34</v>
      </c>
      <c r="E18" s="5"/>
      <c r="F18" s="27">
        <v>4.67</v>
      </c>
      <c r="G18" s="19">
        <v>603.24</v>
      </c>
      <c r="H18" s="5"/>
      <c r="I18" s="27">
        <v>4.65</v>
      </c>
      <c r="J18" s="19">
        <v>597.59</v>
      </c>
      <c r="K18" s="5"/>
      <c r="L18" s="27">
        <v>4.62</v>
      </c>
      <c r="M18" s="19">
        <v>592.81</v>
      </c>
      <c r="N18" s="5"/>
      <c r="O18" s="27">
        <v>4.68</v>
      </c>
      <c r="P18" s="19">
        <v>598.52</v>
      </c>
      <c r="Q18" s="5"/>
      <c r="R18" s="27">
        <v>4.67</v>
      </c>
      <c r="S18" s="19">
        <v>595.56</v>
      </c>
      <c r="T18" s="5"/>
      <c r="U18" s="27">
        <v>4.67</v>
      </c>
      <c r="V18" s="19">
        <v>595.48</v>
      </c>
      <c r="W18" s="5"/>
      <c r="X18" s="27">
        <v>4.65</v>
      </c>
      <c r="Y18" s="19">
        <v>592.58</v>
      </c>
      <c r="Z18" s="5"/>
      <c r="AA18" s="27">
        <v>4.6</v>
      </c>
      <c r="AB18" s="19">
        <v>588.59</v>
      </c>
      <c r="AC18" s="5"/>
      <c r="AD18" s="27">
        <v>4.54</v>
      </c>
      <c r="AE18" s="19">
        <v>585.16</v>
      </c>
      <c r="AF18" s="5"/>
      <c r="AG18" s="27">
        <v>4.56</v>
      </c>
      <c r="AH18" s="19">
        <v>590.28</v>
      </c>
      <c r="AI18" s="5"/>
      <c r="AJ18" s="27">
        <v>4.46</v>
      </c>
      <c r="AK18" s="19">
        <v>584.41</v>
      </c>
      <c r="AL18" s="5"/>
      <c r="AM18" s="27">
        <v>4.48</v>
      </c>
      <c r="AN18" s="19">
        <v>588.54</v>
      </c>
      <c r="AO18" s="5"/>
      <c r="AP18" s="27">
        <v>4.4</v>
      </c>
      <c r="AQ18" s="19">
        <v>578.76</v>
      </c>
      <c r="AR18" s="5"/>
      <c r="AS18" s="27">
        <v>4.4</v>
      </c>
      <c r="AT18" s="19">
        <v>583.09</v>
      </c>
      <c r="AU18" s="5"/>
      <c r="AV18" s="27">
        <v>4.39</v>
      </c>
      <c r="AW18" s="19">
        <v>575.72</v>
      </c>
      <c r="AX18" s="5"/>
      <c r="AY18" s="27">
        <v>4.37</v>
      </c>
      <c r="AZ18" s="19">
        <v>574.9</v>
      </c>
      <c r="BA18" s="5"/>
      <c r="BB18" s="27">
        <v>4.41</v>
      </c>
      <c r="BC18" s="19">
        <v>578.03</v>
      </c>
      <c r="BD18" s="5"/>
      <c r="BE18" s="27">
        <v>4.37</v>
      </c>
      <c r="BF18" s="19">
        <v>572.7</v>
      </c>
      <c r="BG18" s="5"/>
      <c r="BH18" s="27">
        <v>4.45</v>
      </c>
      <c r="BI18" s="19">
        <v>574.91</v>
      </c>
      <c r="BJ18" s="5"/>
      <c r="BK18" s="27">
        <f t="shared" si="0"/>
        <v>4.532000000000002</v>
      </c>
      <c r="BL18" s="19">
        <f t="shared" si="1"/>
        <v>587.4105</v>
      </c>
      <c r="BM18" s="5"/>
    </row>
    <row r="19" spans="1:65" ht="15.75" customHeight="1">
      <c r="A19" s="16">
        <v>7</v>
      </c>
      <c r="B19" s="17" t="s">
        <v>20</v>
      </c>
      <c r="C19" s="27">
        <f>1/0.6118</f>
        <v>1.6345210853220007</v>
      </c>
      <c r="D19" s="19">
        <v>79.45</v>
      </c>
      <c r="E19" s="5"/>
      <c r="F19" s="27">
        <f>1/0.6142</f>
        <v>1.6281341582546403</v>
      </c>
      <c r="G19" s="19">
        <v>79.34</v>
      </c>
      <c r="H19" s="5"/>
      <c r="I19" s="27">
        <f>1/0.616</f>
        <v>1.6233766233766234</v>
      </c>
      <c r="J19" s="19">
        <v>79.16</v>
      </c>
      <c r="K19" s="5"/>
      <c r="L19" s="27">
        <f>1/0.6137</f>
        <v>1.629460648525338</v>
      </c>
      <c r="M19" s="19">
        <v>78.75</v>
      </c>
      <c r="N19" s="5"/>
      <c r="O19" s="27">
        <f>1/0.616</f>
        <v>1.6233766233766234</v>
      </c>
      <c r="P19" s="19">
        <v>78.78</v>
      </c>
      <c r="Q19" s="5"/>
      <c r="R19" s="27">
        <f>1/0.6142</f>
        <v>1.6281341582546403</v>
      </c>
      <c r="S19" s="19">
        <v>78.33</v>
      </c>
      <c r="T19" s="5"/>
      <c r="U19" s="27">
        <f>1/0.6121</f>
        <v>1.6337199803953604</v>
      </c>
      <c r="V19" s="19">
        <v>78.05</v>
      </c>
      <c r="W19" s="5"/>
      <c r="X19" s="27">
        <f>1/0.5975</f>
        <v>1.6736401673640167</v>
      </c>
      <c r="Y19" s="19">
        <v>76.14</v>
      </c>
      <c r="Z19" s="5"/>
      <c r="AA19" s="27">
        <f>1/0.593</f>
        <v>1.6863406408094437</v>
      </c>
      <c r="AB19" s="19">
        <v>75.88</v>
      </c>
      <c r="AC19" s="5"/>
      <c r="AD19" s="27">
        <f>1/0.5958</f>
        <v>1.6784155756965424</v>
      </c>
      <c r="AE19" s="19">
        <v>76.79</v>
      </c>
      <c r="AF19" s="5"/>
      <c r="AG19" s="27">
        <f>1/0.5999</f>
        <v>1.666944490748458</v>
      </c>
      <c r="AH19" s="19">
        <v>77.66</v>
      </c>
      <c r="AI19" s="5"/>
      <c r="AJ19" s="27">
        <f>1/0.5901</f>
        <v>1.6946280291476021</v>
      </c>
      <c r="AK19" s="19">
        <v>77.32</v>
      </c>
      <c r="AL19" s="5"/>
      <c r="AM19" s="27">
        <f>1/0.5926</f>
        <v>1.6874789065136686</v>
      </c>
      <c r="AN19" s="19">
        <v>77.85</v>
      </c>
      <c r="AO19" s="5"/>
      <c r="AP19" s="27">
        <f>1/0.5943</f>
        <v>1.6826518593303044</v>
      </c>
      <c r="AQ19" s="19">
        <v>78.17</v>
      </c>
      <c r="AR19" s="5"/>
      <c r="AS19" s="27">
        <f>1/0.592</f>
        <v>1.6891891891891893</v>
      </c>
      <c r="AT19" s="19">
        <v>78.45</v>
      </c>
      <c r="AU19" s="5"/>
      <c r="AV19" s="27">
        <f>1/0.5972</f>
        <v>1.6744809109176158</v>
      </c>
      <c r="AW19" s="19">
        <v>78.32</v>
      </c>
      <c r="AX19" s="5"/>
      <c r="AY19" s="27">
        <f>1/0.5974</f>
        <v>1.6739203213927016</v>
      </c>
      <c r="AZ19" s="19">
        <v>78.59</v>
      </c>
      <c r="BA19" s="5"/>
      <c r="BB19" s="27">
        <f>1/0.5995</f>
        <v>1.6680567139282734</v>
      </c>
      <c r="BC19" s="19">
        <v>78.58</v>
      </c>
      <c r="BD19" s="5"/>
      <c r="BE19" s="27">
        <f>1/0.5998</f>
        <v>1.6672224074691564</v>
      </c>
      <c r="BF19" s="19">
        <v>78.61</v>
      </c>
      <c r="BG19" s="5"/>
      <c r="BH19" s="27">
        <f>1/0.6034</f>
        <v>1.6572754391779914</v>
      </c>
      <c r="BI19" s="19">
        <v>77.96</v>
      </c>
      <c r="BJ19" s="18"/>
      <c r="BK19" s="27">
        <f t="shared" si="0"/>
        <v>1.6600483964595096</v>
      </c>
      <c r="BL19" s="19">
        <f t="shared" si="1"/>
        <v>78.10899999999998</v>
      </c>
      <c r="BM19" s="18"/>
    </row>
    <row r="20" spans="1:65" ht="15.75" customHeight="1">
      <c r="A20" s="16">
        <v>8</v>
      </c>
      <c r="B20" s="17" t="s">
        <v>21</v>
      </c>
      <c r="C20" s="27">
        <v>1.4851</v>
      </c>
      <c r="D20" s="19">
        <v>87.44</v>
      </c>
      <c r="E20" s="5"/>
      <c r="F20" s="27">
        <v>1.4848</v>
      </c>
      <c r="G20" s="19">
        <v>87</v>
      </c>
      <c r="H20" s="5"/>
      <c r="I20" s="27">
        <v>1.4733</v>
      </c>
      <c r="J20" s="19">
        <v>87.23</v>
      </c>
      <c r="K20" s="5"/>
      <c r="L20" s="27">
        <v>1.4716</v>
      </c>
      <c r="M20" s="19">
        <v>87.19</v>
      </c>
      <c r="N20" s="5"/>
      <c r="O20" s="27">
        <v>1.4706</v>
      </c>
      <c r="P20" s="19">
        <v>86.96</v>
      </c>
      <c r="Q20" s="5"/>
      <c r="R20" s="27">
        <v>1.4636</v>
      </c>
      <c r="S20" s="19">
        <v>87.13</v>
      </c>
      <c r="T20" s="5"/>
      <c r="U20" s="27">
        <v>1.4637</v>
      </c>
      <c r="V20" s="19">
        <v>87.12</v>
      </c>
      <c r="W20" s="5"/>
      <c r="X20" s="27">
        <v>1.4762</v>
      </c>
      <c r="Y20" s="19">
        <v>86.33</v>
      </c>
      <c r="Z20" s="5"/>
      <c r="AA20" s="27">
        <v>1.4787</v>
      </c>
      <c r="AB20" s="19">
        <v>86.53</v>
      </c>
      <c r="AC20" s="5"/>
      <c r="AD20" s="27">
        <v>1.4857</v>
      </c>
      <c r="AE20" s="19">
        <v>86.75</v>
      </c>
      <c r="AF20" s="5"/>
      <c r="AG20" s="27">
        <v>1.4711</v>
      </c>
      <c r="AH20" s="19">
        <v>87.99</v>
      </c>
      <c r="AI20" s="5"/>
      <c r="AJ20" s="27">
        <v>1.4825</v>
      </c>
      <c r="AK20" s="19">
        <v>88.39</v>
      </c>
      <c r="AL20" s="5"/>
      <c r="AM20" s="27">
        <v>1.4803</v>
      </c>
      <c r="AN20" s="19">
        <v>88.75</v>
      </c>
      <c r="AO20" s="5"/>
      <c r="AP20" s="27">
        <v>1.4801</v>
      </c>
      <c r="AQ20" s="19">
        <v>88.87</v>
      </c>
      <c r="AR20" s="5"/>
      <c r="AS20" s="27">
        <v>1.4814</v>
      </c>
      <c r="AT20" s="19">
        <v>89.46</v>
      </c>
      <c r="AU20" s="5"/>
      <c r="AV20" s="27">
        <v>1.4753</v>
      </c>
      <c r="AW20" s="19">
        <v>88.89</v>
      </c>
      <c r="AX20" s="5"/>
      <c r="AY20" s="27">
        <v>1.4701</v>
      </c>
      <c r="AZ20" s="19">
        <v>89.49</v>
      </c>
      <c r="BA20" s="5"/>
      <c r="BB20" s="27">
        <v>1.4634</v>
      </c>
      <c r="BC20" s="19">
        <v>89.57</v>
      </c>
      <c r="BD20" s="5"/>
      <c r="BE20" s="27">
        <v>1.4639</v>
      </c>
      <c r="BF20" s="19">
        <v>89.52</v>
      </c>
      <c r="BG20" s="5"/>
      <c r="BH20" s="27">
        <v>1.4673</v>
      </c>
      <c r="BI20" s="19">
        <v>88.05</v>
      </c>
      <c r="BJ20" s="5"/>
      <c r="BK20" s="27">
        <f t="shared" si="0"/>
        <v>1.474435</v>
      </c>
      <c r="BL20" s="19">
        <f t="shared" si="1"/>
        <v>87.93300000000002</v>
      </c>
      <c r="BM20" s="5"/>
    </row>
    <row r="21" spans="1:65" ht="15.75" customHeight="1">
      <c r="A21" s="16">
        <v>9</v>
      </c>
      <c r="B21" s="17" t="s">
        <v>22</v>
      </c>
      <c r="C21" s="27">
        <v>8.479</v>
      </c>
      <c r="D21" s="19">
        <v>15.32</v>
      </c>
      <c r="E21" s="5"/>
      <c r="F21" s="27">
        <v>8.4267</v>
      </c>
      <c r="G21" s="19">
        <v>15.33</v>
      </c>
      <c r="H21" s="5"/>
      <c r="I21" s="27">
        <v>8.374</v>
      </c>
      <c r="J21" s="19">
        <v>15.35</v>
      </c>
      <c r="K21" s="5"/>
      <c r="L21" s="27">
        <v>8.3747</v>
      </c>
      <c r="M21" s="19">
        <v>15.32</v>
      </c>
      <c r="N21" s="5"/>
      <c r="O21" s="27">
        <v>8.3741</v>
      </c>
      <c r="P21" s="19">
        <v>15.27</v>
      </c>
      <c r="Q21" s="5"/>
      <c r="R21" s="27">
        <v>8.373</v>
      </c>
      <c r="S21" s="19">
        <v>15.23</v>
      </c>
      <c r="T21" s="5"/>
      <c r="U21" s="27">
        <v>8.379</v>
      </c>
      <c r="V21" s="19">
        <v>15.22</v>
      </c>
      <c r="W21" s="5"/>
      <c r="X21" s="27">
        <v>8.4299</v>
      </c>
      <c r="Y21" s="19">
        <v>15.12</v>
      </c>
      <c r="Z21" s="5"/>
      <c r="AA21" s="27">
        <v>8.4892</v>
      </c>
      <c r="AB21" s="19">
        <v>15.07</v>
      </c>
      <c r="AC21" s="5"/>
      <c r="AD21" s="27">
        <v>8.5458</v>
      </c>
      <c r="AE21" s="19">
        <v>15.08</v>
      </c>
      <c r="AF21" s="5"/>
      <c r="AG21" s="27">
        <v>8.5236</v>
      </c>
      <c r="AH21" s="19">
        <v>15.19</v>
      </c>
      <c r="AI21" s="5"/>
      <c r="AJ21" s="27">
        <v>8.7096</v>
      </c>
      <c r="AK21" s="19">
        <v>15.04</v>
      </c>
      <c r="AL21" s="5"/>
      <c r="AM21" s="27">
        <v>8.6506</v>
      </c>
      <c r="AN21" s="19">
        <v>15.19</v>
      </c>
      <c r="AO21" s="5"/>
      <c r="AP21" s="27">
        <v>8.651</v>
      </c>
      <c r="AQ21" s="19">
        <v>15.2</v>
      </c>
      <c r="AR21" s="5"/>
      <c r="AS21" s="27">
        <v>8.646</v>
      </c>
      <c r="AT21" s="19">
        <v>15.33</v>
      </c>
      <c r="AU21" s="5"/>
      <c r="AV21" s="27">
        <v>8.6256</v>
      </c>
      <c r="AW21" s="19">
        <v>15.2</v>
      </c>
      <c r="AX21" s="5"/>
      <c r="AY21" s="27">
        <v>8.6516</v>
      </c>
      <c r="AZ21" s="19">
        <v>15.21</v>
      </c>
      <c r="BA21" s="5"/>
      <c r="BB21" s="27">
        <v>8.606</v>
      </c>
      <c r="BC21" s="19">
        <v>15.23</v>
      </c>
      <c r="BD21" s="5"/>
      <c r="BE21" s="27">
        <v>8.5938</v>
      </c>
      <c r="BF21" s="19">
        <v>15.25</v>
      </c>
      <c r="BG21" s="5"/>
      <c r="BH21" s="27">
        <v>8.4999</v>
      </c>
      <c r="BI21" s="19">
        <v>15.2</v>
      </c>
      <c r="BJ21" s="5"/>
      <c r="BK21" s="27">
        <f t="shared" si="0"/>
        <v>8.520154999999999</v>
      </c>
      <c r="BL21" s="19">
        <f t="shared" si="1"/>
        <v>15.217500000000001</v>
      </c>
      <c r="BM21" s="5"/>
    </row>
    <row r="22" spans="1:65" ht="15.75" customHeight="1">
      <c r="A22" s="16">
        <v>10</v>
      </c>
      <c r="B22" s="17" t="s">
        <v>23</v>
      </c>
      <c r="C22" s="27">
        <v>7.1442</v>
      </c>
      <c r="D22" s="19">
        <v>18.18</v>
      </c>
      <c r="E22" s="5"/>
      <c r="F22" s="27">
        <v>7.1129</v>
      </c>
      <c r="G22" s="19">
        <v>18.16</v>
      </c>
      <c r="H22" s="5"/>
      <c r="I22" s="27">
        <v>7.0817</v>
      </c>
      <c r="J22" s="19">
        <v>18.15</v>
      </c>
      <c r="K22" s="5"/>
      <c r="L22" s="27">
        <v>7.0651</v>
      </c>
      <c r="M22" s="19">
        <v>18.16</v>
      </c>
      <c r="N22" s="5"/>
      <c r="O22" s="27">
        <v>7.1401</v>
      </c>
      <c r="P22" s="19">
        <v>17.91</v>
      </c>
      <c r="Q22" s="5"/>
      <c r="R22" s="27">
        <v>7.1925</v>
      </c>
      <c r="S22" s="19">
        <v>17.73</v>
      </c>
      <c r="T22" s="5"/>
      <c r="U22" s="27">
        <v>7.1876</v>
      </c>
      <c r="V22" s="19">
        <v>17.74</v>
      </c>
      <c r="W22" s="5"/>
      <c r="X22" s="27">
        <v>7.1336</v>
      </c>
      <c r="Y22" s="19">
        <v>17.86</v>
      </c>
      <c r="Z22" s="5"/>
      <c r="AA22" s="27">
        <v>7.1336</v>
      </c>
      <c r="AB22" s="19">
        <v>17.94</v>
      </c>
      <c r="AC22" s="5"/>
      <c r="AD22" s="27">
        <v>7.2275</v>
      </c>
      <c r="AE22" s="19">
        <v>17.83</v>
      </c>
      <c r="AF22" s="5"/>
      <c r="AG22" s="27">
        <v>7.2392</v>
      </c>
      <c r="AH22" s="19">
        <v>17.88</v>
      </c>
      <c r="AI22" s="5"/>
      <c r="AJ22" s="27">
        <v>7.4491</v>
      </c>
      <c r="AK22" s="19">
        <v>17.59</v>
      </c>
      <c r="AL22" s="5"/>
      <c r="AM22" s="27">
        <v>7.4048</v>
      </c>
      <c r="AN22" s="19">
        <v>17.74</v>
      </c>
      <c r="AO22" s="5"/>
      <c r="AP22" s="27">
        <v>7.4306</v>
      </c>
      <c r="AQ22" s="19">
        <v>17.7</v>
      </c>
      <c r="AR22" s="5"/>
      <c r="AS22" s="27">
        <v>7.4111</v>
      </c>
      <c r="AT22" s="19">
        <v>17.88</v>
      </c>
      <c r="AU22" s="5"/>
      <c r="AV22" s="27">
        <v>7.3266</v>
      </c>
      <c r="AW22" s="19">
        <v>17.9</v>
      </c>
      <c r="AX22" s="5"/>
      <c r="AY22" s="27">
        <v>7.326</v>
      </c>
      <c r="AZ22" s="19">
        <v>17.96</v>
      </c>
      <c r="BA22" s="5"/>
      <c r="BB22" s="27">
        <v>7.3256</v>
      </c>
      <c r="BC22" s="19">
        <v>17.89</v>
      </c>
      <c r="BD22" s="5"/>
      <c r="BE22" s="27">
        <v>7.3234</v>
      </c>
      <c r="BF22" s="19">
        <v>17.9</v>
      </c>
      <c r="BG22" s="5"/>
      <c r="BH22" s="27">
        <v>7.2734</v>
      </c>
      <c r="BI22" s="19">
        <v>17.76</v>
      </c>
      <c r="BJ22" s="5"/>
      <c r="BK22" s="27">
        <f t="shared" si="0"/>
        <v>7.246429999999999</v>
      </c>
      <c r="BL22" s="19">
        <f t="shared" si="1"/>
        <v>17.892999999999994</v>
      </c>
      <c r="BM22" s="5"/>
    </row>
    <row r="23" spans="1:65" ht="15.75" customHeight="1">
      <c r="A23" s="16">
        <v>11</v>
      </c>
      <c r="B23" s="17" t="s">
        <v>24</v>
      </c>
      <c r="C23" s="27">
        <v>6.8775</v>
      </c>
      <c r="D23" s="19">
        <v>18.88</v>
      </c>
      <c r="E23" s="5"/>
      <c r="F23" s="27">
        <v>6.804</v>
      </c>
      <c r="G23" s="19">
        <v>18.99</v>
      </c>
      <c r="H23" s="5"/>
      <c r="I23" s="27">
        <v>6.7727</v>
      </c>
      <c r="J23" s="19">
        <v>18.98</v>
      </c>
      <c r="K23" s="5"/>
      <c r="L23" s="27">
        <v>6.778</v>
      </c>
      <c r="M23" s="19">
        <v>18.93</v>
      </c>
      <c r="N23" s="5"/>
      <c r="O23" s="27">
        <v>6.7345</v>
      </c>
      <c r="P23" s="19">
        <v>18.99</v>
      </c>
      <c r="Q23" s="5"/>
      <c r="R23" s="27">
        <v>6.7264</v>
      </c>
      <c r="S23" s="19">
        <v>18.96</v>
      </c>
      <c r="T23" s="5"/>
      <c r="U23" s="27">
        <v>6.715</v>
      </c>
      <c r="V23" s="19">
        <v>18.99</v>
      </c>
      <c r="W23" s="5"/>
      <c r="X23" s="27">
        <v>6.7345</v>
      </c>
      <c r="Y23" s="19">
        <v>18.92</v>
      </c>
      <c r="Z23" s="5"/>
      <c r="AA23" s="27">
        <v>6.7345</v>
      </c>
      <c r="AB23" s="19">
        <v>19</v>
      </c>
      <c r="AC23" s="5"/>
      <c r="AD23" s="27">
        <v>6.8962</v>
      </c>
      <c r="AE23" s="19">
        <v>18.69</v>
      </c>
      <c r="AF23" s="5"/>
      <c r="AG23" s="27">
        <v>6.8726</v>
      </c>
      <c r="AH23" s="19">
        <v>18.84</v>
      </c>
      <c r="AI23" s="5"/>
      <c r="AJ23" s="27">
        <v>7.0248</v>
      </c>
      <c r="AK23" s="19">
        <v>18.65</v>
      </c>
      <c r="AL23" s="5"/>
      <c r="AM23" s="27">
        <v>6.9817</v>
      </c>
      <c r="AN23" s="19">
        <v>18.82</v>
      </c>
      <c r="AO23" s="5"/>
      <c r="AP23" s="27">
        <v>6.9974</v>
      </c>
      <c r="AQ23" s="19">
        <v>18.8</v>
      </c>
      <c r="AR23" s="5"/>
      <c r="AS23" s="27">
        <v>7.011</v>
      </c>
      <c r="AT23" s="19">
        <v>18.9</v>
      </c>
      <c r="AU23" s="5"/>
      <c r="AV23" s="27">
        <v>6.9364</v>
      </c>
      <c r="AW23" s="19">
        <v>18.91</v>
      </c>
      <c r="AX23" s="5"/>
      <c r="AY23" s="27">
        <v>6.9744</v>
      </c>
      <c r="AZ23" s="19">
        <v>18.86</v>
      </c>
      <c r="BA23" s="5"/>
      <c r="BB23" s="27">
        <v>6.9204</v>
      </c>
      <c r="BC23" s="19">
        <v>18.94</v>
      </c>
      <c r="BD23" s="5"/>
      <c r="BE23" s="27">
        <v>6.9232</v>
      </c>
      <c r="BF23" s="19">
        <v>18.93</v>
      </c>
      <c r="BG23" s="5"/>
      <c r="BH23" s="27">
        <v>6.8227</v>
      </c>
      <c r="BI23" s="19">
        <v>18.94</v>
      </c>
      <c r="BJ23" s="5"/>
      <c r="BK23" s="27">
        <f t="shared" si="0"/>
        <v>6.861895</v>
      </c>
      <c r="BL23" s="19">
        <f t="shared" si="1"/>
        <v>18.896</v>
      </c>
      <c r="BM23" s="5"/>
    </row>
    <row r="24" spans="1:65" ht="15.75" customHeight="1">
      <c r="A24" s="16">
        <v>12</v>
      </c>
      <c r="B24" s="17" t="s">
        <v>25</v>
      </c>
      <c r="C24" s="27">
        <f>1/1.37085</f>
        <v>0.72947441368494</v>
      </c>
      <c r="D24" s="19">
        <v>178.02</v>
      </c>
      <c r="E24" s="5"/>
      <c r="F24" s="27">
        <f>1/1.36982</f>
        <v>0.7300229227197734</v>
      </c>
      <c r="G24" s="19">
        <v>176.95</v>
      </c>
      <c r="H24" s="5"/>
      <c r="I24" s="27">
        <f>1/1.37587</f>
        <v>0.7268128529584917</v>
      </c>
      <c r="J24" s="19">
        <v>176.82</v>
      </c>
      <c r="K24" s="5"/>
      <c r="L24" s="27">
        <f>1/1.37995</f>
        <v>0.7246639370991702</v>
      </c>
      <c r="M24" s="19">
        <v>177.07</v>
      </c>
      <c r="N24" s="5"/>
      <c r="O24" s="27">
        <f>1/1.37969</f>
        <v>0.724800498662743</v>
      </c>
      <c r="P24" s="19">
        <v>176.45</v>
      </c>
      <c r="Q24" s="5"/>
      <c r="R24" s="27">
        <f>1/1.38396</f>
        <v>0.7225642359605768</v>
      </c>
      <c r="S24" s="19">
        <v>176.49</v>
      </c>
      <c r="T24" s="5"/>
      <c r="U24" s="27">
        <f>1/1.38453</f>
        <v>0.7222667620058792</v>
      </c>
      <c r="V24" s="19">
        <v>176.54</v>
      </c>
      <c r="W24" s="5"/>
      <c r="X24" s="27">
        <f>1/1.38515</f>
        <v>0.7219434718261559</v>
      </c>
      <c r="Y24" s="19">
        <v>17.52</v>
      </c>
      <c r="Z24" s="5"/>
      <c r="AA24" s="27">
        <f>1/1.3849</f>
        <v>0.7220737959419452</v>
      </c>
      <c r="AB24" s="19">
        <v>177.2</v>
      </c>
      <c r="AC24" s="5"/>
      <c r="AD24" s="27">
        <f>1/1.37649</f>
        <v>0.7264854811876584</v>
      </c>
      <c r="AE24" s="19">
        <v>177.42</v>
      </c>
      <c r="AF24" s="5"/>
      <c r="AG24" s="27">
        <f>1/1.36968</f>
        <v>0.7300975410314818</v>
      </c>
      <c r="AH24" s="19">
        <v>177.3</v>
      </c>
      <c r="AI24" s="5"/>
      <c r="AJ24" s="27">
        <f>1/1.37067</f>
        <v>0.7295702101891776</v>
      </c>
      <c r="AK24" s="19">
        <v>179.6</v>
      </c>
      <c r="AL24" s="5"/>
      <c r="AM24" s="27">
        <f>1/1.35731</f>
        <v>0.736751368515667</v>
      </c>
      <c r="AN24" s="19">
        <v>178.31</v>
      </c>
      <c r="AO24" s="5"/>
      <c r="AP24" s="27">
        <f>1/1.35842</f>
        <v>0.7361493499801239</v>
      </c>
      <c r="AQ24" s="19">
        <v>178.68</v>
      </c>
      <c r="AR24" s="5"/>
      <c r="AS24" s="27">
        <f>1/1.35833</f>
        <v>0.7361981256395721</v>
      </c>
      <c r="AT24" s="19">
        <v>180.01</v>
      </c>
      <c r="AU24" s="5"/>
      <c r="AV24" s="27">
        <f>1/1.35893</f>
        <v>0.7358730766117461</v>
      </c>
      <c r="AW24" s="19">
        <v>178.21</v>
      </c>
      <c r="AX24" s="5"/>
      <c r="AY24" s="27">
        <f>1/1.36301</f>
        <v>0.7336703325727617</v>
      </c>
      <c r="AZ24" s="19">
        <v>179.31</v>
      </c>
      <c r="BA24" s="5"/>
      <c r="BB24" s="27">
        <f>1/1.3593</f>
        <v>0.7356727727506805</v>
      </c>
      <c r="BC24" s="19">
        <v>178.17</v>
      </c>
      <c r="BD24" s="5"/>
      <c r="BE24" s="27">
        <f>1/1.36392</f>
        <v>0.7331808317203355</v>
      </c>
      <c r="BF24" s="19">
        <v>178.75</v>
      </c>
      <c r="BG24" s="5"/>
      <c r="BH24" s="27">
        <f>1/1.36392</f>
        <v>0.7331808317203355</v>
      </c>
      <c r="BI24" s="19">
        <v>176.21</v>
      </c>
      <c r="BJ24" s="5"/>
      <c r="BK24" s="27">
        <f t="shared" si="0"/>
        <v>0.7295726406389609</v>
      </c>
      <c r="BL24" s="19">
        <f t="shared" si="1"/>
        <v>169.75150000000002</v>
      </c>
      <c r="BM24" s="5"/>
    </row>
    <row r="25" spans="1:65" ht="15.75" customHeight="1" thickBot="1">
      <c r="A25" s="35">
        <v>13</v>
      </c>
      <c r="B25" s="36" t="s">
        <v>26</v>
      </c>
      <c r="C25" s="28">
        <v>1</v>
      </c>
      <c r="D25" s="22">
        <v>129.86</v>
      </c>
      <c r="E25" s="21"/>
      <c r="F25" s="28">
        <v>1</v>
      </c>
      <c r="G25" s="22">
        <v>129.17</v>
      </c>
      <c r="H25" s="21"/>
      <c r="I25" s="28">
        <v>1</v>
      </c>
      <c r="J25" s="22">
        <v>128.51</v>
      </c>
      <c r="K25" s="21"/>
      <c r="L25" s="28">
        <v>1</v>
      </c>
      <c r="M25" s="22">
        <v>128.31</v>
      </c>
      <c r="N25" s="21"/>
      <c r="O25" s="28">
        <v>1</v>
      </c>
      <c r="P25" s="22">
        <v>127.89</v>
      </c>
      <c r="Q25" s="21"/>
      <c r="R25" s="28">
        <v>1</v>
      </c>
      <c r="S25" s="22">
        <v>127.53</v>
      </c>
      <c r="T25" s="21"/>
      <c r="U25" s="28">
        <v>1</v>
      </c>
      <c r="V25" s="22">
        <v>127.51</v>
      </c>
      <c r="W25" s="21"/>
      <c r="X25" s="28">
        <v>1</v>
      </c>
      <c r="Y25" s="22">
        <v>127.44</v>
      </c>
      <c r="Z25" s="21"/>
      <c r="AA25" s="28">
        <v>1</v>
      </c>
      <c r="AB25" s="22">
        <v>127.95</v>
      </c>
      <c r="AC25" s="21"/>
      <c r="AD25" s="28">
        <v>1</v>
      </c>
      <c r="AE25" s="22">
        <v>128.89</v>
      </c>
      <c r="AF25" s="21"/>
      <c r="AG25" s="28">
        <v>1</v>
      </c>
      <c r="AH25" s="22">
        <v>129.45</v>
      </c>
      <c r="AI25" s="21"/>
      <c r="AJ25" s="28">
        <v>1</v>
      </c>
      <c r="AK25" s="22">
        <v>131.03</v>
      </c>
      <c r="AL25" s="21"/>
      <c r="AM25" s="28">
        <v>1</v>
      </c>
      <c r="AN25" s="22">
        <v>131.37</v>
      </c>
      <c r="AO25" s="21"/>
      <c r="AP25" s="28">
        <v>1</v>
      </c>
      <c r="AQ25" s="22">
        <v>131.54</v>
      </c>
      <c r="AR25" s="21"/>
      <c r="AS25" s="28">
        <v>1</v>
      </c>
      <c r="AT25" s="22">
        <v>132.52</v>
      </c>
      <c r="AU25" s="21"/>
      <c r="AV25" s="28">
        <v>1</v>
      </c>
      <c r="AW25" s="22">
        <v>131.14</v>
      </c>
      <c r="AX25" s="21"/>
      <c r="AY25" s="28">
        <v>1</v>
      </c>
      <c r="AZ25" s="22">
        <v>131.56</v>
      </c>
      <c r="BA25" s="21"/>
      <c r="BB25" s="28">
        <v>1</v>
      </c>
      <c r="BC25" s="22">
        <v>131.07</v>
      </c>
      <c r="BD25" s="21"/>
      <c r="BE25" s="28">
        <v>1</v>
      </c>
      <c r="BF25" s="22">
        <v>131.05</v>
      </c>
      <c r="BG25" s="21"/>
      <c r="BH25" s="28">
        <v>1</v>
      </c>
      <c r="BI25" s="22">
        <v>129.19</v>
      </c>
      <c r="BJ25" s="21"/>
      <c r="BK25" s="28">
        <f t="shared" si="0"/>
        <v>1</v>
      </c>
      <c r="BL25" s="22">
        <f t="shared" si="1"/>
        <v>129.649</v>
      </c>
      <c r="BM25" s="21"/>
    </row>
    <row r="26" spans="1:65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&amp;L&amp;"Helv,Bold"&amp;12Banka e Shqiperise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AX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Y3" sqref="AY3:AZ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5" ht="15.75" customHeight="1">
      <c r="A4" s="6" t="s">
        <v>2</v>
      </c>
      <c r="B4" s="5"/>
      <c r="C4" s="4" t="s">
        <v>90</v>
      </c>
      <c r="D4" s="4"/>
      <c r="E4" s="10"/>
      <c r="F4" s="4" t="s">
        <v>91</v>
      </c>
      <c r="G4" s="4"/>
      <c r="H4" s="10"/>
      <c r="I4" s="4" t="s">
        <v>92</v>
      </c>
      <c r="J4" s="4"/>
      <c r="K4" s="10"/>
      <c r="L4" s="4" t="s">
        <v>93</v>
      </c>
      <c r="M4" s="4"/>
      <c r="N4" s="10"/>
      <c r="O4" s="4" t="s">
        <v>94</v>
      </c>
      <c r="P4" s="4"/>
      <c r="Q4" s="10"/>
      <c r="R4" s="4" t="s">
        <v>95</v>
      </c>
      <c r="S4" s="4"/>
      <c r="T4" s="10"/>
      <c r="U4" s="4" t="s">
        <v>96</v>
      </c>
      <c r="V4" s="4"/>
      <c r="W4" s="10"/>
      <c r="X4" s="4" t="s">
        <v>97</v>
      </c>
      <c r="Y4" s="4"/>
      <c r="Z4" s="10"/>
      <c r="AA4" s="4" t="s">
        <v>98</v>
      </c>
      <c r="AB4" s="4"/>
      <c r="AC4" s="10"/>
      <c r="AD4" s="4" t="s">
        <v>99</v>
      </c>
      <c r="AE4" s="4"/>
      <c r="AF4" s="10"/>
      <c r="AG4" s="4" t="s">
        <v>100</v>
      </c>
      <c r="AH4" s="4"/>
      <c r="AI4" s="10"/>
      <c r="AJ4" s="4" t="s">
        <v>101</v>
      </c>
      <c r="AK4" s="4"/>
      <c r="AL4" s="10"/>
      <c r="AM4" s="4" t="s">
        <v>102</v>
      </c>
      <c r="AN4" s="4"/>
      <c r="AO4" s="10"/>
      <c r="AP4" s="4" t="s">
        <v>103</v>
      </c>
      <c r="AQ4" s="4"/>
      <c r="AR4" s="10"/>
      <c r="AS4" s="4" t="s">
        <v>104</v>
      </c>
      <c r="AT4" s="4"/>
      <c r="AU4" s="10"/>
      <c r="AV4" s="4" t="s">
        <v>105</v>
      </c>
      <c r="AW4" s="4"/>
      <c r="AX4" s="10"/>
      <c r="AY4" s="4" t="s">
        <v>106</v>
      </c>
      <c r="AZ4" s="4"/>
      <c r="BA4" s="10"/>
      <c r="BB4" s="4" t="s">
        <v>107</v>
      </c>
      <c r="BC4" s="4"/>
      <c r="BD4" s="10"/>
      <c r="BE4" s="4" t="s">
        <v>108</v>
      </c>
      <c r="BF4" s="4"/>
      <c r="BG4" s="10"/>
      <c r="BH4" s="4" t="s">
        <v>109</v>
      </c>
      <c r="BI4" s="4"/>
      <c r="BJ4" s="26"/>
      <c r="BK4" s="4" t="s">
        <v>3</v>
      </c>
      <c r="BL4" s="4"/>
      <c r="BM4" s="26"/>
    </row>
    <row r="5" spans="1:65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</row>
    <row r="6" spans="1:65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</row>
    <row r="8" spans="1:65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</row>
    <row r="9" spans="1:65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</row>
    <row r="10" spans="1:6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5" ht="15.75" customHeight="1">
      <c r="A13" s="16">
        <v>1</v>
      </c>
      <c r="B13" s="17" t="s">
        <v>14</v>
      </c>
      <c r="C13" s="27">
        <v>117.99</v>
      </c>
      <c r="D13" s="19">
        <v>108.78</v>
      </c>
      <c r="E13" s="5"/>
      <c r="F13" s="27">
        <v>118.79</v>
      </c>
      <c r="G13" s="19">
        <v>108.73</v>
      </c>
      <c r="H13" s="5"/>
      <c r="I13" s="27">
        <v>119.33</v>
      </c>
      <c r="J13" s="19">
        <v>108.91</v>
      </c>
      <c r="K13" s="5"/>
      <c r="L13" s="27">
        <v>120</v>
      </c>
      <c r="M13" s="19">
        <v>108.69</v>
      </c>
      <c r="N13" s="5"/>
      <c r="O13" s="27">
        <v>120.82</v>
      </c>
      <c r="P13" s="19">
        <v>108.92</v>
      </c>
      <c r="Q13" s="5"/>
      <c r="R13" s="27">
        <v>119.56</v>
      </c>
      <c r="S13" s="19">
        <v>109.37</v>
      </c>
      <c r="T13" s="5"/>
      <c r="U13" s="27">
        <v>119.8</v>
      </c>
      <c r="V13" s="19">
        <v>108.84</v>
      </c>
      <c r="W13" s="5"/>
      <c r="X13" s="27">
        <v>119.84</v>
      </c>
      <c r="Y13" s="19">
        <v>108.68</v>
      </c>
      <c r="Z13" s="5"/>
      <c r="AA13" s="27">
        <v>119.9</v>
      </c>
      <c r="AB13" s="19">
        <v>108.71</v>
      </c>
      <c r="AC13" s="5"/>
      <c r="AD13" s="27">
        <v>120.61</v>
      </c>
      <c r="AE13" s="19">
        <v>108.13</v>
      </c>
      <c r="AF13" s="5"/>
      <c r="AG13" s="27">
        <v>120.57</v>
      </c>
      <c r="AH13" s="19">
        <v>108.05</v>
      </c>
      <c r="AI13" s="5"/>
      <c r="AJ13" s="27">
        <v>120.47</v>
      </c>
      <c r="AK13" s="19">
        <v>107.45</v>
      </c>
      <c r="AL13" s="5"/>
      <c r="AM13" s="27">
        <v>120.47</v>
      </c>
      <c r="AN13" s="19">
        <v>107.86</v>
      </c>
      <c r="AO13" s="5"/>
      <c r="AP13" s="27">
        <v>119.64</v>
      </c>
      <c r="AQ13" s="19">
        <v>107.67</v>
      </c>
      <c r="AR13" s="5"/>
      <c r="AS13" s="27">
        <v>120.017</v>
      </c>
      <c r="AT13" s="19">
        <v>107.03</v>
      </c>
      <c r="AU13" s="5"/>
      <c r="AV13" s="27">
        <v>120.2</v>
      </c>
      <c r="AW13" s="19">
        <v>106.6</v>
      </c>
      <c r="AX13" s="5"/>
      <c r="AY13" s="27">
        <v>120.06</v>
      </c>
      <c r="AZ13" s="19">
        <v>105.95</v>
      </c>
      <c r="BA13" s="5"/>
      <c r="BB13" s="27">
        <v>120.52</v>
      </c>
      <c r="BC13" s="19">
        <v>105.42</v>
      </c>
      <c r="BD13" s="5"/>
      <c r="BE13" s="27">
        <v>120.09</v>
      </c>
      <c r="BF13" s="19">
        <v>106.05</v>
      </c>
      <c r="BG13" s="5"/>
      <c r="BH13" s="27">
        <v>119.43</v>
      </c>
      <c r="BI13" s="19">
        <v>105.74</v>
      </c>
      <c r="BJ13" s="5"/>
      <c r="BK13" s="27">
        <f>(+C13+F13+I13+L13+O13+R13+U13+X13+AA13+AD13+AG13+AJ13+AM13+AP13+AS13+AV13+AY13+BB13+BE13+BH13)/20</f>
        <v>119.90535</v>
      </c>
      <c r="BL13" s="19">
        <f>(+D13+G13+J13+M13+P13+S13+V13+Y13+AB13+AE13+AH13+AK13+AN13+AQ13+AT13+AW13+AZ13+BC13+BF13+BI13)/20</f>
        <v>107.779</v>
      </c>
      <c r="BM13" s="5"/>
    </row>
    <row r="14" spans="1:65" ht="15.75" customHeight="1">
      <c r="A14" s="16">
        <v>2</v>
      </c>
      <c r="B14" s="17" t="s">
        <v>15</v>
      </c>
      <c r="C14" s="27">
        <f>1/1.5806</f>
        <v>0.6326711375427053</v>
      </c>
      <c r="D14" s="19">
        <v>202.86</v>
      </c>
      <c r="E14" s="5"/>
      <c r="F14" s="27">
        <f>1/1.5703</f>
        <v>0.6368209896198178</v>
      </c>
      <c r="G14" s="19">
        <v>202.82</v>
      </c>
      <c r="H14" s="5"/>
      <c r="I14" s="27">
        <f>1/1.563</f>
        <v>0.6397952655150352</v>
      </c>
      <c r="J14" s="19">
        <v>203.13</v>
      </c>
      <c r="K14" s="5"/>
      <c r="L14" s="27">
        <f>1/1.5642</f>
        <v>0.6393044367727911</v>
      </c>
      <c r="M14" s="19">
        <v>204.02</v>
      </c>
      <c r="N14" s="5"/>
      <c r="O14" s="27">
        <f>1/1.55</f>
        <v>0.6451612903225806</v>
      </c>
      <c r="P14" s="19">
        <v>203.98</v>
      </c>
      <c r="Q14" s="5"/>
      <c r="R14" s="27">
        <f>1/1.5529</f>
        <v>0.6439564685427265</v>
      </c>
      <c r="S14" s="19">
        <v>203.06</v>
      </c>
      <c r="T14" s="5"/>
      <c r="U14" s="27">
        <f>1/1.5551</f>
        <v>0.6430454633142564</v>
      </c>
      <c r="V14" s="19">
        <v>202.76</v>
      </c>
      <c r="W14" s="5"/>
      <c r="X14" s="27">
        <f>1/1.5631</f>
        <v>0.6397543343356151</v>
      </c>
      <c r="Y14" s="19">
        <v>203.59</v>
      </c>
      <c r="Z14" s="5"/>
      <c r="AA14" s="27">
        <f>1/1.5723</f>
        <v>0.6360109393881574</v>
      </c>
      <c r="AB14" s="19">
        <v>204.95</v>
      </c>
      <c r="AC14" s="5"/>
      <c r="AD14" s="27">
        <f>1/1.5734</f>
        <v>0.6355662895640015</v>
      </c>
      <c r="AE14" s="19">
        <v>205.2</v>
      </c>
      <c r="AF14" s="5"/>
      <c r="AG14" s="27">
        <f>1/1.571</f>
        <v>0.6365372374283896</v>
      </c>
      <c r="AH14" s="19">
        <v>204.66</v>
      </c>
      <c r="AI14" s="5"/>
      <c r="AJ14" s="27">
        <f>1/1.5732</f>
        <v>0.6356470887363336</v>
      </c>
      <c r="AK14" s="19">
        <v>203.65</v>
      </c>
      <c r="AL14" s="5"/>
      <c r="AM14" s="27">
        <f>1/1.5732</f>
        <v>0.6356470887363336</v>
      </c>
      <c r="AN14" s="19">
        <v>203.09</v>
      </c>
      <c r="AO14" s="5"/>
      <c r="AP14" s="27">
        <f>1/1.5751</f>
        <v>0.6348803250587265</v>
      </c>
      <c r="AQ14" s="19">
        <v>202.9</v>
      </c>
      <c r="AR14" s="5"/>
      <c r="AS14" s="27">
        <f>1/1.576</f>
        <v>0.6345177664974619</v>
      </c>
      <c r="AT14" s="19">
        <v>202.45</v>
      </c>
      <c r="AU14" s="5"/>
      <c r="AV14" s="27">
        <f>1/1.5754</f>
        <v>0.6347594261774788</v>
      </c>
      <c r="AW14" s="19">
        <v>201.86</v>
      </c>
      <c r="AX14" s="5"/>
      <c r="AY14" s="27">
        <f>1/1.591</f>
        <v>0.6285355122564426</v>
      </c>
      <c r="AZ14" s="19">
        <v>202.38</v>
      </c>
      <c r="BA14" s="5"/>
      <c r="BB14" s="27">
        <f>1/1.5906</f>
        <v>0.628693574751666</v>
      </c>
      <c r="BC14" s="19">
        <v>202.09</v>
      </c>
      <c r="BD14" s="5"/>
      <c r="BE14" s="27">
        <f>1/1.5913</f>
        <v>0.6284170175328349</v>
      </c>
      <c r="BF14" s="19">
        <v>202.67</v>
      </c>
      <c r="BG14" s="5"/>
      <c r="BH14" s="27">
        <f>1/1.5949</f>
        <v>0.6269985579033168</v>
      </c>
      <c r="BI14" s="19">
        <v>201.42</v>
      </c>
      <c r="BJ14" s="5"/>
      <c r="BK14" s="27">
        <f aca="true" t="shared" si="0" ref="BK14:BK25">(+C14+F14+I14+L14+O14+R14+U14+X14+AA14+AD14+AG14+AJ14+AM14+AP14+AS14+AV14+AY14+BB14+BE14+BH14)/20</f>
        <v>0.6358360104998335</v>
      </c>
      <c r="BL14" s="19">
        <f aca="true" t="shared" si="1" ref="BL14:BL25">(+D14+G14+J14+M14+P14+S14+V14+Y14+AB14+AE14+AH14+AK14+AN14+AQ14+AT14+AW14+AZ14+BC14+BF14+BI14)/20</f>
        <v>203.17700000000002</v>
      </c>
      <c r="BM14" s="5"/>
    </row>
    <row r="15" spans="1:65" ht="15.75" customHeight="1">
      <c r="A15" s="16">
        <v>3</v>
      </c>
      <c r="B15" s="17" t="s">
        <v>16</v>
      </c>
      <c r="C15" s="27">
        <v>1.3536</v>
      </c>
      <c r="D15" s="19">
        <v>94.82</v>
      </c>
      <c r="E15" s="5"/>
      <c r="F15" s="27">
        <v>1.3674</v>
      </c>
      <c r="G15" s="19">
        <v>94.46</v>
      </c>
      <c r="H15" s="5"/>
      <c r="I15" s="27">
        <v>1.386</v>
      </c>
      <c r="J15" s="19">
        <v>93.17</v>
      </c>
      <c r="K15" s="5"/>
      <c r="L15" s="27">
        <v>1.3838</v>
      </c>
      <c r="M15" s="19">
        <v>94.25</v>
      </c>
      <c r="N15" s="5"/>
      <c r="O15" s="27">
        <v>1.4059</v>
      </c>
      <c r="P15" s="19">
        <v>93.6</v>
      </c>
      <c r="Q15" s="5"/>
      <c r="R15" s="27">
        <v>1.3882</v>
      </c>
      <c r="S15" s="19">
        <v>94.19</v>
      </c>
      <c r="T15" s="5"/>
      <c r="U15" s="27">
        <v>1.3813</v>
      </c>
      <c r="V15" s="19">
        <v>94.39</v>
      </c>
      <c r="W15" s="5"/>
      <c r="X15" s="27">
        <v>1.3831</v>
      </c>
      <c r="Y15" s="19">
        <v>94.17</v>
      </c>
      <c r="Z15" s="5"/>
      <c r="AA15" s="27">
        <v>1.391</v>
      </c>
      <c r="AB15" s="19">
        <v>93.71</v>
      </c>
      <c r="AC15" s="5"/>
      <c r="AD15" s="27">
        <v>1.3911</v>
      </c>
      <c r="AE15" s="19">
        <v>93.75</v>
      </c>
      <c r="AF15" s="5"/>
      <c r="AG15" s="27">
        <v>1.3943</v>
      </c>
      <c r="AH15" s="19">
        <v>93.43</v>
      </c>
      <c r="AI15" s="5"/>
      <c r="AJ15" s="27">
        <v>1.3863</v>
      </c>
      <c r="AK15" s="19">
        <v>93.38</v>
      </c>
      <c r="AL15" s="5"/>
      <c r="AM15" s="27">
        <v>1.3863</v>
      </c>
      <c r="AN15" s="19">
        <v>93.69</v>
      </c>
      <c r="AO15" s="5"/>
      <c r="AP15" s="27">
        <v>1.3801</v>
      </c>
      <c r="AQ15" s="19">
        <v>93.34</v>
      </c>
      <c r="AR15" s="5"/>
      <c r="AS15" s="27">
        <v>1.3715</v>
      </c>
      <c r="AT15" s="19">
        <v>93.66</v>
      </c>
      <c r="AU15" s="5"/>
      <c r="AV15" s="27">
        <v>1.3752</v>
      </c>
      <c r="AW15" s="19">
        <v>93.18</v>
      </c>
      <c r="AX15" s="5"/>
      <c r="AY15" s="27">
        <v>1.3752</v>
      </c>
      <c r="AZ15" s="19">
        <v>92.5</v>
      </c>
      <c r="BA15" s="5"/>
      <c r="BB15" s="27">
        <v>1.3641</v>
      </c>
      <c r="BC15" s="19">
        <v>93.14</v>
      </c>
      <c r="BD15" s="5"/>
      <c r="BE15" s="27">
        <v>1.3712</v>
      </c>
      <c r="BF15" s="19">
        <v>92.88</v>
      </c>
      <c r="BG15" s="5"/>
      <c r="BH15" s="27">
        <v>1.3602</v>
      </c>
      <c r="BI15" s="19">
        <v>92.84</v>
      </c>
      <c r="BJ15" s="5"/>
      <c r="BK15" s="27">
        <f t="shared" si="0"/>
        <v>1.3797899999999998</v>
      </c>
      <c r="BL15" s="19">
        <f t="shared" si="1"/>
        <v>93.62750000000003</v>
      </c>
      <c r="BM15" s="5"/>
    </row>
    <row r="16" spans="1:65" ht="15.75" customHeight="1">
      <c r="A16" s="16">
        <v>4</v>
      </c>
      <c r="B16" s="17" t="s">
        <v>17</v>
      </c>
      <c r="C16" s="27">
        <f>1/1.0899</f>
        <v>0.9175153683824203</v>
      </c>
      <c r="D16" s="19">
        <v>139.88</v>
      </c>
      <c r="E16" s="5"/>
      <c r="F16" s="27">
        <f>1/1.083</f>
        <v>0.9233610341643583</v>
      </c>
      <c r="G16" s="19">
        <v>139.88</v>
      </c>
      <c r="H16" s="5"/>
      <c r="I16" s="27">
        <f>1/1.0706</f>
        <v>0.9340556697179152</v>
      </c>
      <c r="J16" s="19">
        <v>139.13</v>
      </c>
      <c r="K16" s="5"/>
      <c r="L16" s="27">
        <f>1/1.0726</f>
        <v>0.9323140033563304</v>
      </c>
      <c r="M16" s="19">
        <v>139.9</v>
      </c>
      <c r="N16" s="5"/>
      <c r="O16" s="27">
        <f>1/1.0572</f>
        <v>0.9458948164964057</v>
      </c>
      <c r="P16" s="19">
        <v>139.13</v>
      </c>
      <c r="Q16" s="5"/>
      <c r="R16" s="27">
        <f>1/1.0696</f>
        <v>0.9349289454001495</v>
      </c>
      <c r="S16" s="19">
        <v>139.86</v>
      </c>
      <c r="T16" s="5"/>
      <c r="U16" s="27">
        <f>1/1.0757</f>
        <v>0.9296272194849864</v>
      </c>
      <c r="V16" s="19">
        <v>140.26</v>
      </c>
      <c r="W16" s="5"/>
      <c r="X16" s="27">
        <f>1/1.0781</f>
        <v>0.9275577404693441</v>
      </c>
      <c r="Y16" s="19">
        <v>140.42</v>
      </c>
      <c r="Z16" s="5"/>
      <c r="AA16" s="27">
        <f>1/1.0766</f>
        <v>0.9288500835965076</v>
      </c>
      <c r="AB16" s="19">
        <v>140.33</v>
      </c>
      <c r="AC16" s="5"/>
      <c r="AD16" s="27">
        <f>1/1.0745</f>
        <v>0.9306654257794322</v>
      </c>
      <c r="AE16" s="19">
        <v>140.13</v>
      </c>
      <c r="AF16" s="5"/>
      <c r="AG16" s="27">
        <f>1/1.0759</f>
        <v>0.9294544102611766</v>
      </c>
      <c r="AH16" s="19">
        <v>140.16</v>
      </c>
      <c r="AI16" s="5"/>
      <c r="AJ16" s="27">
        <f>1/1.0825</f>
        <v>0.9237875288683602</v>
      </c>
      <c r="AK16" s="19">
        <v>140.13</v>
      </c>
      <c r="AL16" s="5"/>
      <c r="AM16" s="27">
        <f>1/1.0825</f>
        <v>0.9237875288683602</v>
      </c>
      <c r="AN16" s="19">
        <v>140.37</v>
      </c>
      <c r="AO16" s="5"/>
      <c r="AP16" s="27">
        <f>1/1.0882</f>
        <v>0.9189487226612755</v>
      </c>
      <c r="AQ16" s="19">
        <v>140.18</v>
      </c>
      <c r="AR16" s="5"/>
      <c r="AS16" s="27">
        <f>1/1.097</f>
        <v>0.9115770282588879</v>
      </c>
      <c r="AT16" s="19">
        <v>140.92</v>
      </c>
      <c r="AU16" s="5"/>
      <c r="AV16" s="27">
        <f>1/1.096</f>
        <v>0.9124087591240875</v>
      </c>
      <c r="AW16" s="19">
        <v>140.44</v>
      </c>
      <c r="AX16" s="5"/>
      <c r="AY16" s="27">
        <f>1/1.1016</f>
        <v>0.907770515613653</v>
      </c>
      <c r="AZ16" s="19">
        <v>140.13</v>
      </c>
      <c r="BA16" s="5"/>
      <c r="BB16" s="27">
        <f>1/1.1007</f>
        <v>0.9085127646043427</v>
      </c>
      <c r="BC16" s="19">
        <v>139.85</v>
      </c>
      <c r="BD16" s="5"/>
      <c r="BE16" s="27">
        <f>1/1.0986</f>
        <v>0.9102494083378846</v>
      </c>
      <c r="BF16" s="19">
        <v>139.92</v>
      </c>
      <c r="BG16" s="5"/>
      <c r="BH16" s="27">
        <f>1/1.112</f>
        <v>0.8992805755395683</v>
      </c>
      <c r="BI16" s="19">
        <v>140.43</v>
      </c>
      <c r="BJ16" s="5"/>
      <c r="BK16" s="27">
        <f t="shared" si="0"/>
        <v>0.922527377449272</v>
      </c>
      <c r="BL16" s="19">
        <f t="shared" si="1"/>
        <v>140.0725</v>
      </c>
      <c r="BM16" s="5"/>
    </row>
    <row r="17" spans="1:65" ht="15.75" customHeight="1">
      <c r="A17" s="16">
        <v>5</v>
      </c>
      <c r="B17" s="17" t="s">
        <v>18</v>
      </c>
      <c r="C17" s="27">
        <v>335.25</v>
      </c>
      <c r="D17" s="19">
        <v>43027.66</v>
      </c>
      <c r="E17" s="5"/>
      <c r="F17" s="27">
        <v>330.15</v>
      </c>
      <c r="G17" s="19">
        <v>42641.76</v>
      </c>
      <c r="H17" s="5"/>
      <c r="I17" s="27">
        <v>323.5</v>
      </c>
      <c r="J17" s="19">
        <v>42041.86</v>
      </c>
      <c r="K17" s="5"/>
      <c r="L17" s="27">
        <v>323</v>
      </c>
      <c r="M17" s="19">
        <v>42128.69</v>
      </c>
      <c r="N17" s="5"/>
      <c r="O17" s="27">
        <v>319.3</v>
      </c>
      <c r="P17" s="19">
        <v>42019.48</v>
      </c>
      <c r="Q17" s="5"/>
      <c r="R17" s="27">
        <v>321.75</v>
      </c>
      <c r="S17" s="19">
        <v>42072.43</v>
      </c>
      <c r="T17" s="5"/>
      <c r="U17" s="27">
        <v>323.75</v>
      </c>
      <c r="V17" s="19">
        <v>42212.75</v>
      </c>
      <c r="W17" s="5"/>
      <c r="X17" s="27">
        <v>324.6</v>
      </c>
      <c r="Y17" s="19">
        <v>42278.14</v>
      </c>
      <c r="Z17" s="5"/>
      <c r="AA17" s="27">
        <v>325</v>
      </c>
      <c r="AB17" s="19">
        <v>42363.34</v>
      </c>
      <c r="AC17" s="5"/>
      <c r="AD17" s="27">
        <v>325.25</v>
      </c>
      <c r="AE17" s="19">
        <v>42418.09</v>
      </c>
      <c r="AF17" s="5"/>
      <c r="AG17" s="27">
        <v>323.5</v>
      </c>
      <c r="AH17" s="19">
        <v>42143.56</v>
      </c>
      <c r="AI17" s="5"/>
      <c r="AJ17" s="27">
        <v>322.5</v>
      </c>
      <c r="AK17" s="19">
        <v>41747.42</v>
      </c>
      <c r="AL17" s="5"/>
      <c r="AM17" s="27">
        <v>322.5</v>
      </c>
      <c r="AN17" s="19">
        <v>41917.98</v>
      </c>
      <c r="AO17" s="5"/>
      <c r="AP17" s="27">
        <v>326.75</v>
      </c>
      <c r="AQ17" s="19">
        <v>42091.53</v>
      </c>
      <c r="AR17" s="5"/>
      <c r="AS17" s="27">
        <v>333.25</v>
      </c>
      <c r="AT17" s="19">
        <v>42808.25</v>
      </c>
      <c r="AU17" s="5"/>
      <c r="AV17" s="27">
        <v>333.35</v>
      </c>
      <c r="AW17" s="19">
        <v>42713.8</v>
      </c>
      <c r="AX17" s="5"/>
      <c r="AY17" s="27">
        <v>331.8</v>
      </c>
      <c r="AZ17" s="19">
        <v>42206.83</v>
      </c>
      <c r="BA17" s="5"/>
      <c r="BB17" s="27">
        <v>333</v>
      </c>
      <c r="BC17" s="19">
        <v>42308.07</v>
      </c>
      <c r="BD17" s="5"/>
      <c r="BE17" s="27">
        <v>332.5</v>
      </c>
      <c r="BF17" s="19">
        <v>42347.62</v>
      </c>
      <c r="BG17" s="5"/>
      <c r="BH17" s="27">
        <v>336</v>
      </c>
      <c r="BI17" s="19">
        <v>42432.6</v>
      </c>
      <c r="BJ17" s="5"/>
      <c r="BK17" s="27">
        <f t="shared" si="0"/>
        <v>327.335</v>
      </c>
      <c r="BL17" s="19">
        <f t="shared" si="1"/>
        <v>42296.09299999999</v>
      </c>
      <c r="BM17" s="5"/>
    </row>
    <row r="18" spans="1:65" ht="15.75" customHeight="1">
      <c r="A18" s="16">
        <v>6</v>
      </c>
      <c r="B18" s="20" t="s">
        <v>19</v>
      </c>
      <c r="C18" s="27">
        <v>4.45</v>
      </c>
      <c r="D18" s="19">
        <v>571.14</v>
      </c>
      <c r="E18" s="5"/>
      <c r="F18" s="27">
        <v>4.4</v>
      </c>
      <c r="G18" s="19">
        <v>568.3</v>
      </c>
      <c r="H18" s="5"/>
      <c r="I18" s="27">
        <v>4.37</v>
      </c>
      <c r="J18" s="19">
        <v>567.92</v>
      </c>
      <c r="K18" s="5"/>
      <c r="L18" s="27">
        <v>4.41</v>
      </c>
      <c r="M18" s="19">
        <v>575.19</v>
      </c>
      <c r="N18" s="5"/>
      <c r="O18" s="27">
        <v>4.38</v>
      </c>
      <c r="P18" s="19">
        <v>576.4</v>
      </c>
      <c r="Q18" s="5"/>
      <c r="R18" s="27">
        <v>4.42</v>
      </c>
      <c r="S18" s="19">
        <v>577.96</v>
      </c>
      <c r="T18" s="5"/>
      <c r="U18" s="27">
        <v>4.48</v>
      </c>
      <c r="V18" s="19">
        <v>584.13</v>
      </c>
      <c r="W18" s="5"/>
      <c r="X18" s="27">
        <v>4.47</v>
      </c>
      <c r="Y18" s="19">
        <v>582.2</v>
      </c>
      <c r="Z18" s="5"/>
      <c r="AA18" s="27">
        <v>4.46</v>
      </c>
      <c r="AB18" s="19">
        <v>581.36</v>
      </c>
      <c r="AC18" s="5"/>
      <c r="AD18" s="27">
        <v>4.47</v>
      </c>
      <c r="AE18" s="19">
        <v>582.96</v>
      </c>
      <c r="AF18" s="5"/>
      <c r="AG18" s="27">
        <v>4.51</v>
      </c>
      <c r="AH18" s="19">
        <v>587.53</v>
      </c>
      <c r="AI18" s="5"/>
      <c r="AJ18" s="27">
        <v>4.5</v>
      </c>
      <c r="AK18" s="19">
        <v>582.52</v>
      </c>
      <c r="AL18" s="5"/>
      <c r="AM18" s="27">
        <v>4.5</v>
      </c>
      <c r="AN18" s="19">
        <v>574.85</v>
      </c>
      <c r="AO18" s="5"/>
      <c r="AP18" s="27">
        <v>4.47</v>
      </c>
      <c r="AQ18" s="19">
        <v>575.82</v>
      </c>
      <c r="AR18" s="5"/>
      <c r="AS18" s="27">
        <v>4.54</v>
      </c>
      <c r="AT18" s="19">
        <v>583.19</v>
      </c>
      <c r="AU18" s="5"/>
      <c r="AV18" s="27">
        <v>4.57</v>
      </c>
      <c r="AW18" s="19">
        <v>585.58</v>
      </c>
      <c r="AX18" s="5"/>
      <c r="AY18" s="27">
        <v>4.6</v>
      </c>
      <c r="AZ18" s="19">
        <v>585.15</v>
      </c>
      <c r="BA18" s="5"/>
      <c r="BB18" s="27">
        <v>4.63</v>
      </c>
      <c r="BC18" s="19">
        <v>588.25</v>
      </c>
      <c r="BD18" s="5"/>
      <c r="BE18" s="27">
        <v>4.54</v>
      </c>
      <c r="BF18" s="19">
        <v>578.22</v>
      </c>
      <c r="BG18" s="5"/>
      <c r="BH18" s="27">
        <v>4.62</v>
      </c>
      <c r="BI18" s="19">
        <v>583.45</v>
      </c>
      <c r="BJ18" s="5"/>
      <c r="BK18" s="27">
        <f t="shared" si="0"/>
        <v>4.4895000000000005</v>
      </c>
      <c r="BL18" s="19">
        <f t="shared" si="1"/>
        <v>579.606</v>
      </c>
      <c r="BM18" s="5"/>
    </row>
    <row r="19" spans="1:65" ht="15.75" customHeight="1">
      <c r="A19" s="16">
        <v>7</v>
      </c>
      <c r="B19" s="17" t="s">
        <v>20</v>
      </c>
      <c r="C19" s="27">
        <f>1/0.6037</f>
        <v>1.6564518800728838</v>
      </c>
      <c r="D19" s="19">
        <v>77.48</v>
      </c>
      <c r="E19" s="5"/>
      <c r="F19" s="27">
        <f>1/0.6013</f>
        <v>1.6630633627141196</v>
      </c>
      <c r="G19" s="19">
        <v>77.66</v>
      </c>
      <c r="H19" s="5"/>
      <c r="I19" s="27">
        <f>1/0.5975</f>
        <v>1.6736401673640167</v>
      </c>
      <c r="J19" s="19">
        <v>77.65</v>
      </c>
      <c r="K19" s="5"/>
      <c r="L19" s="27">
        <f>1/0.6001</f>
        <v>1.6663889351774706</v>
      </c>
      <c r="M19" s="19">
        <v>78.27</v>
      </c>
      <c r="N19" s="5"/>
      <c r="O19" s="27">
        <f>1/0.5932</f>
        <v>1.6857720836142955</v>
      </c>
      <c r="P19" s="19">
        <v>78.06</v>
      </c>
      <c r="Q19" s="5"/>
      <c r="R19" s="27">
        <f>1/0.599</f>
        <v>1.669449081803005</v>
      </c>
      <c r="S19" s="19">
        <v>78.33</v>
      </c>
      <c r="T19" s="5"/>
      <c r="U19" s="27">
        <f>1/0.6036</f>
        <v>1.6567263088137838</v>
      </c>
      <c r="V19" s="19">
        <v>78.7</v>
      </c>
      <c r="W19" s="5"/>
      <c r="X19" s="27">
        <f>1/0.6049</f>
        <v>1.653165812530997</v>
      </c>
      <c r="Y19" s="19">
        <v>78.79</v>
      </c>
      <c r="Z19" s="5"/>
      <c r="AA19" s="27">
        <f>1/0.6059</f>
        <v>1.650437365901964</v>
      </c>
      <c r="AB19" s="19">
        <v>78.98</v>
      </c>
      <c r="AC19" s="5"/>
      <c r="AD19" s="27">
        <f>1/0.6034</f>
        <v>1.6572754391779914</v>
      </c>
      <c r="AE19" s="19">
        <v>78.69</v>
      </c>
      <c r="AF19" s="5"/>
      <c r="AG19" s="27">
        <f>1/0.6041</f>
        <v>1.655355073663301</v>
      </c>
      <c r="AH19" s="19">
        <v>78.7</v>
      </c>
      <c r="AI19" s="5"/>
      <c r="AJ19" s="27">
        <f>1/0.6096</f>
        <v>1.6404199475065615</v>
      </c>
      <c r="AK19" s="19">
        <v>78.91</v>
      </c>
      <c r="AL19" s="5"/>
      <c r="AM19" s="27">
        <f>1/0.6096</f>
        <v>1.6404199475065615</v>
      </c>
      <c r="AN19" s="19">
        <v>78.91</v>
      </c>
      <c r="AO19" s="5"/>
      <c r="AP19" s="27">
        <f>1/0.6148</f>
        <v>1.6265452179570592</v>
      </c>
      <c r="AQ19" s="19">
        <v>79.2</v>
      </c>
      <c r="AR19" s="5"/>
      <c r="AS19" s="27">
        <f>1/0.6192</f>
        <v>1.6149870801033592</v>
      </c>
      <c r="AT19" s="19">
        <v>79.54</v>
      </c>
      <c r="AU19" s="5"/>
      <c r="AV19" s="27">
        <f>1/0.6197</f>
        <v>1.6136840406648378</v>
      </c>
      <c r="AW19" s="19">
        <v>79.41</v>
      </c>
      <c r="AX19" s="5"/>
      <c r="AY19" s="27">
        <f>1/0.6173</f>
        <v>1.6199578810950916</v>
      </c>
      <c r="AZ19" s="19">
        <v>78.52</v>
      </c>
      <c r="BA19" s="5"/>
      <c r="BB19" s="27">
        <f>1/0.6167</f>
        <v>1.6215339711366952</v>
      </c>
      <c r="BC19" s="19">
        <v>78.35</v>
      </c>
      <c r="BD19" s="5"/>
      <c r="BE19" s="27">
        <f>1/0.6193</f>
        <v>1.6147263038914905</v>
      </c>
      <c r="BF19" s="19">
        <v>78.87</v>
      </c>
      <c r="BG19" s="5"/>
      <c r="BH19" s="27">
        <f>1/0.6241</f>
        <v>1.602307322544464</v>
      </c>
      <c r="BI19" s="19">
        <v>78.82</v>
      </c>
      <c r="BJ19" s="18"/>
      <c r="BK19" s="27">
        <f t="shared" si="0"/>
        <v>1.6441153611619979</v>
      </c>
      <c r="BL19" s="19">
        <f t="shared" si="1"/>
        <v>78.592</v>
      </c>
      <c r="BM19" s="18"/>
    </row>
    <row r="20" spans="1:65" ht="15.75" customHeight="1">
      <c r="A20" s="16">
        <v>8</v>
      </c>
      <c r="B20" s="17" t="s">
        <v>21</v>
      </c>
      <c r="C20" s="27">
        <v>1.4671</v>
      </c>
      <c r="D20" s="19">
        <v>87.48</v>
      </c>
      <c r="E20" s="5"/>
      <c r="F20" s="27">
        <v>1.4779</v>
      </c>
      <c r="G20" s="19">
        <v>87.39</v>
      </c>
      <c r="H20" s="5"/>
      <c r="I20" s="27">
        <v>1.4714</v>
      </c>
      <c r="J20" s="19">
        <v>88.32</v>
      </c>
      <c r="K20" s="5"/>
      <c r="L20" s="27">
        <v>1.4786</v>
      </c>
      <c r="M20" s="19">
        <v>88.21</v>
      </c>
      <c r="N20" s="5"/>
      <c r="O20" s="27">
        <v>1.4928</v>
      </c>
      <c r="P20" s="19">
        <v>88.16</v>
      </c>
      <c r="Q20" s="5"/>
      <c r="R20" s="27">
        <v>1.4775</v>
      </c>
      <c r="S20" s="19">
        <v>88.5</v>
      </c>
      <c r="T20" s="5"/>
      <c r="U20" s="27">
        <v>1.4662</v>
      </c>
      <c r="V20" s="19">
        <v>88.93</v>
      </c>
      <c r="W20" s="5"/>
      <c r="X20" s="27">
        <v>1.4642</v>
      </c>
      <c r="Y20" s="19">
        <v>88.95</v>
      </c>
      <c r="Z20" s="5"/>
      <c r="AA20" s="27">
        <v>1.4529</v>
      </c>
      <c r="AB20" s="19">
        <v>89.72</v>
      </c>
      <c r="AC20" s="5"/>
      <c r="AD20" s="27">
        <v>1.4553</v>
      </c>
      <c r="AE20" s="19">
        <v>89.62</v>
      </c>
      <c r="AF20" s="5"/>
      <c r="AG20" s="27">
        <v>1.4562</v>
      </c>
      <c r="AH20" s="19">
        <v>89.46</v>
      </c>
      <c r="AI20" s="5"/>
      <c r="AJ20" s="27">
        <v>1.4491</v>
      </c>
      <c r="AK20" s="19">
        <v>89.33</v>
      </c>
      <c r="AL20" s="5"/>
      <c r="AM20" s="27">
        <v>1.4491</v>
      </c>
      <c r="AN20" s="19">
        <v>88.56</v>
      </c>
      <c r="AO20" s="5"/>
      <c r="AP20" s="27">
        <v>1.4495</v>
      </c>
      <c r="AQ20" s="19">
        <v>88.87</v>
      </c>
      <c r="AR20" s="5"/>
      <c r="AS20" s="27">
        <v>1.4528</v>
      </c>
      <c r="AT20" s="19">
        <v>88.42</v>
      </c>
      <c r="AU20" s="5"/>
      <c r="AV20" s="27">
        <v>1.4459</v>
      </c>
      <c r="AW20" s="19">
        <v>88.62</v>
      </c>
      <c r="AX20" s="5"/>
      <c r="AY20" s="27">
        <v>1.4651</v>
      </c>
      <c r="AZ20" s="19">
        <v>86.82</v>
      </c>
      <c r="BA20" s="5"/>
      <c r="BB20" s="27">
        <v>1.4531</v>
      </c>
      <c r="BC20" s="19">
        <v>87.43</v>
      </c>
      <c r="BD20" s="5"/>
      <c r="BE20" s="27">
        <v>1.4498</v>
      </c>
      <c r="BF20" s="19">
        <v>87.85</v>
      </c>
      <c r="BG20" s="5"/>
      <c r="BH20" s="27">
        <v>1.4401</v>
      </c>
      <c r="BI20" s="19">
        <v>87.69</v>
      </c>
      <c r="BJ20" s="5"/>
      <c r="BK20" s="27">
        <f t="shared" si="0"/>
        <v>1.46073</v>
      </c>
      <c r="BL20" s="19">
        <f t="shared" si="1"/>
        <v>88.4165</v>
      </c>
      <c r="BM20" s="5"/>
    </row>
    <row r="21" spans="1:65" ht="15.75" customHeight="1">
      <c r="A21" s="16">
        <v>9</v>
      </c>
      <c r="B21" s="17" t="s">
        <v>22</v>
      </c>
      <c r="C21" s="27">
        <v>8.4657</v>
      </c>
      <c r="D21" s="19">
        <v>15.16</v>
      </c>
      <c r="E21" s="5"/>
      <c r="F21" s="27">
        <v>8.5186</v>
      </c>
      <c r="G21" s="19">
        <v>15.16</v>
      </c>
      <c r="H21" s="5"/>
      <c r="I21" s="27">
        <v>8.6032</v>
      </c>
      <c r="J21" s="19">
        <v>15.11</v>
      </c>
      <c r="K21" s="5"/>
      <c r="L21" s="27">
        <v>8.5584</v>
      </c>
      <c r="M21" s="19">
        <v>15.24</v>
      </c>
      <c r="N21" s="5"/>
      <c r="O21" s="27">
        <v>8.6695</v>
      </c>
      <c r="P21" s="19">
        <v>15.18</v>
      </c>
      <c r="Q21" s="5"/>
      <c r="R21" s="27">
        <v>8.5741</v>
      </c>
      <c r="S21" s="19">
        <v>15.25</v>
      </c>
      <c r="T21" s="5"/>
      <c r="U21" s="27">
        <v>8.5031</v>
      </c>
      <c r="V21" s="19">
        <v>15.33</v>
      </c>
      <c r="W21" s="5"/>
      <c r="X21" s="27">
        <v>8.4757</v>
      </c>
      <c r="Y21" s="19">
        <v>15.37</v>
      </c>
      <c r="Z21" s="5"/>
      <c r="AA21" s="27">
        <v>8.4735</v>
      </c>
      <c r="AB21" s="19">
        <v>15.38</v>
      </c>
      <c r="AC21" s="5"/>
      <c r="AD21" s="27">
        <v>8.4913</v>
      </c>
      <c r="AE21" s="19">
        <v>15.36</v>
      </c>
      <c r="AF21" s="5"/>
      <c r="AG21" s="27">
        <v>8.4832</v>
      </c>
      <c r="AH21" s="19">
        <v>15.36</v>
      </c>
      <c r="AI21" s="5"/>
      <c r="AJ21" s="27">
        <v>8.4503</v>
      </c>
      <c r="AK21" s="19">
        <v>15.32</v>
      </c>
      <c r="AL21" s="5"/>
      <c r="AM21" s="27">
        <v>8.4503</v>
      </c>
      <c r="AN21" s="19">
        <v>15.3</v>
      </c>
      <c r="AO21" s="5"/>
      <c r="AP21" s="27">
        <v>8.4025</v>
      </c>
      <c r="AQ21" s="19">
        <v>15.33</v>
      </c>
      <c r="AR21" s="5"/>
      <c r="AS21" s="27">
        <v>8.3476</v>
      </c>
      <c r="AT21" s="19">
        <v>15.39</v>
      </c>
      <c r="AU21" s="5"/>
      <c r="AV21" s="27">
        <v>8.3161</v>
      </c>
      <c r="AW21" s="19">
        <v>15.41</v>
      </c>
      <c r="AX21" s="5"/>
      <c r="AY21" s="27">
        <v>8.2695</v>
      </c>
      <c r="AZ21" s="19">
        <v>15.38</v>
      </c>
      <c r="BA21" s="5"/>
      <c r="BB21" s="27">
        <v>8.2752</v>
      </c>
      <c r="BC21" s="19">
        <v>15.35</v>
      </c>
      <c r="BD21" s="5"/>
      <c r="BE21" s="27">
        <v>8.3272</v>
      </c>
      <c r="BF21" s="19">
        <v>15.29</v>
      </c>
      <c r="BG21" s="5"/>
      <c r="BH21" s="27">
        <v>8.1937</v>
      </c>
      <c r="BI21" s="19">
        <v>15.41</v>
      </c>
      <c r="BJ21" s="5"/>
      <c r="BK21" s="27">
        <f t="shared" si="0"/>
        <v>8.442435</v>
      </c>
      <c r="BL21" s="19">
        <f t="shared" si="1"/>
        <v>15.304000000000007</v>
      </c>
      <c r="BM21" s="5"/>
    </row>
    <row r="22" spans="1:65" ht="15.75" customHeight="1">
      <c r="A22" s="16">
        <v>10</v>
      </c>
      <c r="B22" s="17" t="s">
        <v>23</v>
      </c>
      <c r="C22" s="27">
        <v>7.2463</v>
      </c>
      <c r="D22" s="19">
        <v>17.71</v>
      </c>
      <c r="E22" s="5"/>
      <c r="F22" s="27">
        <v>7.2394</v>
      </c>
      <c r="G22" s="19">
        <v>17.84</v>
      </c>
      <c r="H22" s="5"/>
      <c r="I22" s="27">
        <v>7.3098</v>
      </c>
      <c r="J22" s="19">
        <v>17.78</v>
      </c>
      <c r="K22" s="5"/>
      <c r="L22" s="27">
        <v>7.2454</v>
      </c>
      <c r="M22" s="19">
        <v>18</v>
      </c>
      <c r="N22" s="5"/>
      <c r="O22" s="27">
        <v>7.3497</v>
      </c>
      <c r="P22" s="19">
        <v>17.91</v>
      </c>
      <c r="Q22" s="5"/>
      <c r="R22" s="27">
        <v>7.2529</v>
      </c>
      <c r="S22" s="19">
        <v>18.03</v>
      </c>
      <c r="T22" s="5"/>
      <c r="U22" s="27">
        <v>7.249</v>
      </c>
      <c r="V22" s="19">
        <v>17.99</v>
      </c>
      <c r="W22" s="5"/>
      <c r="X22" s="27">
        <v>7.2919</v>
      </c>
      <c r="Y22" s="19">
        <v>17.86</v>
      </c>
      <c r="Z22" s="5"/>
      <c r="AA22" s="27">
        <v>7.3297</v>
      </c>
      <c r="AB22" s="19">
        <v>17.78</v>
      </c>
      <c r="AC22" s="5"/>
      <c r="AD22" s="27">
        <v>7.3358</v>
      </c>
      <c r="AE22" s="19">
        <v>17.78</v>
      </c>
      <c r="AF22" s="5"/>
      <c r="AG22" s="27">
        <v>7.2931</v>
      </c>
      <c r="AH22" s="19">
        <v>17.86</v>
      </c>
      <c r="AI22" s="5"/>
      <c r="AJ22" s="27">
        <v>7.2615</v>
      </c>
      <c r="AK22" s="19">
        <v>17.83</v>
      </c>
      <c r="AL22" s="5"/>
      <c r="AM22" s="27">
        <v>7.2615</v>
      </c>
      <c r="AN22" s="19">
        <v>17.92</v>
      </c>
      <c r="AO22" s="5"/>
      <c r="AP22" s="27">
        <v>7.208</v>
      </c>
      <c r="AQ22" s="19">
        <v>17.87</v>
      </c>
      <c r="AR22" s="5"/>
      <c r="AS22" s="27">
        <v>7.1605</v>
      </c>
      <c r="AT22" s="19">
        <v>17.94</v>
      </c>
      <c r="AU22" s="5"/>
      <c r="AV22" s="27">
        <v>7.1609</v>
      </c>
      <c r="AW22" s="19">
        <v>17.89</v>
      </c>
      <c r="AX22" s="5"/>
      <c r="AY22" s="27">
        <v>7.1151</v>
      </c>
      <c r="AZ22" s="19">
        <v>17.88</v>
      </c>
      <c r="BA22" s="5"/>
      <c r="BB22" s="27">
        <v>7.0949</v>
      </c>
      <c r="BC22" s="19">
        <v>17.91</v>
      </c>
      <c r="BD22" s="5"/>
      <c r="BE22" s="27">
        <v>7.0555</v>
      </c>
      <c r="BF22" s="19">
        <v>18.05</v>
      </c>
      <c r="BG22" s="5"/>
      <c r="BH22" s="27">
        <v>7.0464</v>
      </c>
      <c r="BI22" s="19">
        <v>17.92</v>
      </c>
      <c r="BJ22" s="5"/>
      <c r="BK22" s="27">
        <f t="shared" si="0"/>
        <v>7.225364999999999</v>
      </c>
      <c r="BL22" s="19">
        <f t="shared" si="1"/>
        <v>17.887500000000003</v>
      </c>
      <c r="BM22" s="5"/>
    </row>
    <row r="23" spans="1:65" ht="15.75" customHeight="1">
      <c r="A23" s="16">
        <v>11</v>
      </c>
      <c r="B23" s="17" t="s">
        <v>24</v>
      </c>
      <c r="C23" s="27">
        <v>6.8109</v>
      </c>
      <c r="D23" s="19">
        <v>18.84</v>
      </c>
      <c r="E23" s="5"/>
      <c r="F23" s="27">
        <v>6.8554</v>
      </c>
      <c r="G23" s="19">
        <v>18.84</v>
      </c>
      <c r="H23" s="5"/>
      <c r="I23" s="27">
        <v>6.9352</v>
      </c>
      <c r="J23" s="19">
        <v>18.74</v>
      </c>
      <c r="K23" s="5"/>
      <c r="L23" s="27">
        <v>6.9229</v>
      </c>
      <c r="M23" s="19">
        <v>18.84</v>
      </c>
      <c r="N23" s="5"/>
      <c r="O23" s="27">
        <v>7.0227</v>
      </c>
      <c r="P23" s="19">
        <v>18.74</v>
      </c>
      <c r="Q23" s="5"/>
      <c r="R23" s="27">
        <v>6.9423</v>
      </c>
      <c r="S23" s="19">
        <v>18.84</v>
      </c>
      <c r="T23" s="5"/>
      <c r="U23" s="27">
        <v>6.9021</v>
      </c>
      <c r="V23" s="19">
        <v>18.89</v>
      </c>
      <c r="W23" s="5"/>
      <c r="X23" s="27">
        <v>6.8861</v>
      </c>
      <c r="Y23" s="19">
        <v>18.91</v>
      </c>
      <c r="Z23" s="5"/>
      <c r="AA23" s="27">
        <v>6.8953</v>
      </c>
      <c r="AB23" s="19">
        <v>18.9</v>
      </c>
      <c r="AC23" s="5"/>
      <c r="AD23" s="27">
        <v>6.9085</v>
      </c>
      <c r="AE23" s="19">
        <v>18.88</v>
      </c>
      <c r="AF23" s="5"/>
      <c r="AG23" s="27">
        <v>6.9004</v>
      </c>
      <c r="AH23" s="19">
        <v>18.88</v>
      </c>
      <c r="AI23" s="5"/>
      <c r="AJ23" s="27">
        <v>6.858</v>
      </c>
      <c r="AK23" s="19">
        <v>18.88</v>
      </c>
      <c r="AL23" s="5"/>
      <c r="AM23" s="27">
        <v>6.858</v>
      </c>
      <c r="AN23" s="19">
        <v>18.91</v>
      </c>
      <c r="AO23" s="5"/>
      <c r="AP23" s="27">
        <v>6.8205</v>
      </c>
      <c r="AQ23" s="19">
        <v>18.89</v>
      </c>
      <c r="AR23" s="5"/>
      <c r="AS23" s="27">
        <v>6.7669</v>
      </c>
      <c r="AT23" s="19">
        <v>18.98</v>
      </c>
      <c r="AU23" s="5"/>
      <c r="AV23" s="27">
        <v>6.7729</v>
      </c>
      <c r="AW23" s="19">
        <v>18.92</v>
      </c>
      <c r="AX23" s="5"/>
      <c r="AY23" s="27">
        <v>6.7385</v>
      </c>
      <c r="AZ23" s="19">
        <v>18.88</v>
      </c>
      <c r="BA23" s="5"/>
      <c r="BB23" s="27">
        <v>6.7435</v>
      </c>
      <c r="BC23" s="19">
        <v>18.84</v>
      </c>
      <c r="BD23" s="5"/>
      <c r="BE23" s="27">
        <v>6.7571</v>
      </c>
      <c r="BF23" s="19">
        <v>18.85</v>
      </c>
      <c r="BG23" s="5"/>
      <c r="BH23" s="27">
        <v>6.6745</v>
      </c>
      <c r="BI23" s="19">
        <v>18.92</v>
      </c>
      <c r="BJ23" s="5"/>
      <c r="BK23" s="27">
        <f t="shared" si="0"/>
        <v>6.848585</v>
      </c>
      <c r="BL23" s="19">
        <f t="shared" si="1"/>
        <v>18.868500000000004</v>
      </c>
      <c r="BM23" s="5"/>
    </row>
    <row r="24" spans="1:65" ht="15.75" customHeight="1">
      <c r="A24" s="16">
        <v>12</v>
      </c>
      <c r="B24" s="17" t="s">
        <v>25</v>
      </c>
      <c r="C24" s="27">
        <f>1/1.37379</f>
        <v>0.7279132909687798</v>
      </c>
      <c r="D24" s="19">
        <v>176.32</v>
      </c>
      <c r="E24" s="5"/>
      <c r="F24" s="27">
        <f>1/1.37345</f>
        <v>0.7280934872037569</v>
      </c>
      <c r="G24" s="19">
        <v>177.39</v>
      </c>
      <c r="H24" s="5"/>
      <c r="I24" s="27">
        <f>1/1.37036</f>
        <v>0.729735252050556</v>
      </c>
      <c r="J24" s="19">
        <v>178.09</v>
      </c>
      <c r="K24" s="5"/>
      <c r="L24" s="27">
        <f>1/1.36251</f>
        <v>0.733939567416019</v>
      </c>
      <c r="M24" s="19">
        <v>177.71</v>
      </c>
      <c r="N24" s="5"/>
      <c r="O24" s="27">
        <f>1/1.3622</f>
        <v>0.7341065922771987</v>
      </c>
      <c r="P24" s="19">
        <v>179.26</v>
      </c>
      <c r="Q24" s="5"/>
      <c r="R24" s="27">
        <f>1/1.3543</f>
        <v>0.7383888355608063</v>
      </c>
      <c r="S24" s="19">
        <v>177.09</v>
      </c>
      <c r="T24" s="5"/>
      <c r="U24" s="27">
        <f>1/1.35949</f>
        <v>0.7355699563807016</v>
      </c>
      <c r="V24" s="19">
        <v>177.26</v>
      </c>
      <c r="W24" s="5"/>
      <c r="X24" s="27">
        <f>1/1.38286</f>
        <v>0.723139001778922</v>
      </c>
      <c r="Y24" s="19">
        <v>180.11</v>
      </c>
      <c r="Z24" s="5"/>
      <c r="AA24" s="27">
        <f>1/1.36563</f>
        <v>0.7322627651706539</v>
      </c>
      <c r="AB24" s="19">
        <v>178.01</v>
      </c>
      <c r="AC24" s="5"/>
      <c r="AD24" s="27">
        <f>1/1.36373</f>
        <v>0.7332829812352885</v>
      </c>
      <c r="AE24" s="19">
        <v>177.85</v>
      </c>
      <c r="AF24" s="5"/>
      <c r="AG24" s="27">
        <f>1/1.36341</f>
        <v>0.7334550868777551</v>
      </c>
      <c r="AH24" s="19">
        <v>177.62</v>
      </c>
      <c r="AI24" s="5"/>
      <c r="AJ24" s="27">
        <f>1/1.36457</f>
        <v>0.7328315879727679</v>
      </c>
      <c r="AK24" s="19">
        <v>176.64</v>
      </c>
      <c r="AL24" s="5"/>
      <c r="AM24" s="27">
        <f>1/1.36457</f>
        <v>0.7328315879727679</v>
      </c>
      <c r="AN24" s="19">
        <v>175.88</v>
      </c>
      <c r="AO24" s="5"/>
      <c r="AP24" s="27">
        <f>1/1.37316</f>
        <v>0.7282472545078505</v>
      </c>
      <c r="AQ24" s="19">
        <v>176.89</v>
      </c>
      <c r="AR24" s="5"/>
      <c r="AS24" s="27">
        <f>1/1.3672</f>
        <v>0.7314218841427735</v>
      </c>
      <c r="AT24" s="19">
        <v>175.63</v>
      </c>
      <c r="AU24" s="5"/>
      <c r="AV24" s="27">
        <f>1/1.37491</f>
        <v>0.727320333694569</v>
      </c>
      <c r="AW24" s="19">
        <v>176.17</v>
      </c>
      <c r="AX24" s="5"/>
      <c r="AY24" s="27">
        <f>1/1.37491</f>
        <v>0.727320333694569</v>
      </c>
      <c r="AZ24" s="19">
        <v>174.9</v>
      </c>
      <c r="BA24" s="5"/>
      <c r="BB24" s="27">
        <f>1/1.37759</f>
        <v>0.725905385492055</v>
      </c>
      <c r="BC24" s="19">
        <v>175.02</v>
      </c>
      <c r="BD24" s="5"/>
      <c r="BE24" s="27">
        <f>1/1.37915</f>
        <v>0.7250842910488344</v>
      </c>
      <c r="BF24" s="19">
        <v>175.65</v>
      </c>
      <c r="BG24" s="5"/>
      <c r="BH24" s="27">
        <f>1/1.37567</f>
        <v>0.7269185197031265</v>
      </c>
      <c r="BI24" s="19">
        <v>173.73</v>
      </c>
      <c r="BJ24" s="5"/>
      <c r="BK24" s="27">
        <f t="shared" si="0"/>
        <v>0.7303883997574877</v>
      </c>
      <c r="BL24" s="19">
        <f t="shared" si="1"/>
        <v>176.86100000000002</v>
      </c>
      <c r="BM24" s="5"/>
    </row>
    <row r="25" spans="1:65" ht="15.75" customHeight="1" thickBot="1">
      <c r="A25" s="35">
        <v>13</v>
      </c>
      <c r="B25" s="36" t="s">
        <v>26</v>
      </c>
      <c r="C25" s="28">
        <v>1</v>
      </c>
      <c r="D25" s="22">
        <v>128.35</v>
      </c>
      <c r="E25" s="21"/>
      <c r="F25" s="28">
        <v>1</v>
      </c>
      <c r="G25" s="22">
        <v>129.16</v>
      </c>
      <c r="H25" s="21"/>
      <c r="I25" s="28">
        <v>1</v>
      </c>
      <c r="J25" s="22">
        <v>129.96</v>
      </c>
      <c r="K25" s="21"/>
      <c r="L25" s="28">
        <v>1</v>
      </c>
      <c r="M25" s="22">
        <v>130.43</v>
      </c>
      <c r="N25" s="21"/>
      <c r="O25" s="28">
        <v>1</v>
      </c>
      <c r="P25" s="22">
        <v>131.6</v>
      </c>
      <c r="Q25" s="21"/>
      <c r="R25" s="28">
        <v>1</v>
      </c>
      <c r="S25" s="22">
        <v>130.76</v>
      </c>
      <c r="T25" s="21"/>
      <c r="U25" s="28">
        <v>1</v>
      </c>
      <c r="V25" s="22">
        <v>130.39</v>
      </c>
      <c r="W25" s="21"/>
      <c r="X25" s="28">
        <v>1</v>
      </c>
      <c r="Y25" s="22">
        <v>130.25</v>
      </c>
      <c r="Z25" s="21"/>
      <c r="AA25" s="28">
        <v>1</v>
      </c>
      <c r="AB25" s="22">
        <v>130.35</v>
      </c>
      <c r="AC25" s="21"/>
      <c r="AD25" s="28">
        <v>1</v>
      </c>
      <c r="AE25" s="22">
        <v>130.42</v>
      </c>
      <c r="AF25" s="21"/>
      <c r="AG25" s="28">
        <v>1</v>
      </c>
      <c r="AH25" s="22">
        <v>130.27</v>
      </c>
      <c r="AI25" s="21"/>
      <c r="AJ25" s="28">
        <v>1</v>
      </c>
      <c r="AK25" s="22">
        <v>129.45</v>
      </c>
      <c r="AL25" s="21"/>
      <c r="AM25" s="28">
        <v>1</v>
      </c>
      <c r="AN25" s="22">
        <v>128.6</v>
      </c>
      <c r="AO25" s="21"/>
      <c r="AP25" s="28">
        <v>1</v>
      </c>
      <c r="AQ25" s="22">
        <v>128.82</v>
      </c>
      <c r="AR25" s="21"/>
      <c r="AS25" s="28">
        <v>1</v>
      </c>
      <c r="AT25" s="22">
        <v>128.46</v>
      </c>
      <c r="AU25" s="21"/>
      <c r="AV25" s="28">
        <v>1</v>
      </c>
      <c r="AW25" s="22">
        <v>128.14</v>
      </c>
      <c r="AX25" s="21"/>
      <c r="AY25" s="28">
        <v>1</v>
      </c>
      <c r="AZ25" s="22">
        <v>127.21</v>
      </c>
      <c r="BA25" s="21"/>
      <c r="BB25" s="28">
        <v>1</v>
      </c>
      <c r="BC25" s="22">
        <v>127.05</v>
      </c>
      <c r="BD25" s="21"/>
      <c r="BE25" s="28">
        <v>1</v>
      </c>
      <c r="BF25" s="22">
        <v>127.36</v>
      </c>
      <c r="BG25" s="21"/>
      <c r="BH25" s="28">
        <v>1</v>
      </c>
      <c r="BI25" s="22">
        <v>126.29</v>
      </c>
      <c r="BJ25" s="21"/>
      <c r="BK25" s="28">
        <f t="shared" si="0"/>
        <v>1</v>
      </c>
      <c r="BL25" s="22">
        <f t="shared" si="1"/>
        <v>129.166</v>
      </c>
      <c r="BM25" s="21"/>
    </row>
    <row r="26" spans="1:65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&amp;L&amp;"Helv,Bold"&amp;12BANKA E SHQIPERISE
Sektori i Informacionit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AB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J4" sqref="AJ4:AK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8" ht="15.75" customHeight="1">
      <c r="A4" s="6" t="s">
        <v>2</v>
      </c>
      <c r="B4" s="5"/>
      <c r="C4" s="4" t="s">
        <v>111</v>
      </c>
      <c r="D4" s="4"/>
      <c r="E4" s="10"/>
      <c r="F4" s="4" t="s">
        <v>112</v>
      </c>
      <c r="G4" s="4"/>
      <c r="H4" s="10"/>
      <c r="I4" s="4" t="s">
        <v>113</v>
      </c>
      <c r="J4" s="4"/>
      <c r="K4" s="10"/>
      <c r="L4" s="4" t="s">
        <v>114</v>
      </c>
      <c r="M4" s="4"/>
      <c r="N4" s="10"/>
      <c r="O4" s="4" t="s">
        <v>115</v>
      </c>
      <c r="P4" s="4"/>
      <c r="Q4" s="10"/>
      <c r="R4" s="4" t="s">
        <v>116</v>
      </c>
      <c r="S4" s="4"/>
      <c r="T4" s="10"/>
      <c r="U4" s="4" t="s">
        <v>117</v>
      </c>
      <c r="V4" s="4"/>
      <c r="W4" s="10"/>
      <c r="X4" s="4" t="s">
        <v>118</v>
      </c>
      <c r="Y4" s="4"/>
      <c r="Z4" s="10"/>
      <c r="AA4" s="4" t="s">
        <v>119</v>
      </c>
      <c r="AB4" s="4"/>
      <c r="AC4" s="10"/>
      <c r="AD4" s="4" t="s">
        <v>120</v>
      </c>
      <c r="AE4" s="4"/>
      <c r="AF4" s="10"/>
      <c r="AG4" s="4" t="s">
        <v>121</v>
      </c>
      <c r="AH4" s="4"/>
      <c r="AI4" s="10"/>
      <c r="AJ4" s="4" t="s">
        <v>122</v>
      </c>
      <c r="AK4" s="4"/>
      <c r="AL4" s="10"/>
      <c r="AM4" s="4" t="s">
        <v>123</v>
      </c>
      <c r="AN4" s="4"/>
      <c r="AO4" s="10"/>
      <c r="AP4" s="4" t="s">
        <v>124</v>
      </c>
      <c r="AQ4" s="4"/>
      <c r="AR4" s="10"/>
      <c r="AS4" s="4" t="s">
        <v>125</v>
      </c>
      <c r="AT4" s="4"/>
      <c r="AU4" s="10"/>
      <c r="AV4" s="4" t="s">
        <v>126</v>
      </c>
      <c r="AW4" s="4"/>
      <c r="AX4" s="10"/>
      <c r="AY4" s="4" t="s">
        <v>127</v>
      </c>
      <c r="AZ4" s="4"/>
      <c r="BA4" s="10"/>
      <c r="BB4" s="4" t="s">
        <v>128</v>
      </c>
      <c r="BC4" s="4"/>
      <c r="BD4" s="10"/>
      <c r="BE4" s="4" t="s">
        <v>129</v>
      </c>
      <c r="BF4" s="4"/>
      <c r="BG4" s="10"/>
      <c r="BH4" s="4" t="s">
        <v>130</v>
      </c>
      <c r="BI4" s="4"/>
      <c r="BJ4" s="26"/>
      <c r="BK4" s="4" t="s">
        <v>131</v>
      </c>
      <c r="BL4" s="4"/>
      <c r="BM4" s="26"/>
      <c r="BN4" s="4" t="s">
        <v>3</v>
      </c>
      <c r="BO4" s="4"/>
      <c r="BP4" s="26"/>
    </row>
    <row r="5" spans="1:68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26"/>
    </row>
    <row r="6" spans="1:68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</row>
    <row r="8" spans="1:68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</row>
    <row r="9" spans="1:68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</row>
    <row r="10" spans="1:68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8" ht="15.75" customHeight="1">
      <c r="A13" s="16">
        <v>1</v>
      </c>
      <c r="B13" s="17" t="s">
        <v>14</v>
      </c>
      <c r="C13" s="27">
        <v>118.75</v>
      </c>
      <c r="D13" s="19">
        <v>104.75</v>
      </c>
      <c r="E13" s="5"/>
      <c r="F13" s="27">
        <v>118.88</v>
      </c>
      <c r="G13" s="19">
        <v>104.68</v>
      </c>
      <c r="H13" s="5"/>
      <c r="I13" s="27">
        <v>118.25</v>
      </c>
      <c r="J13" s="19">
        <v>104.91</v>
      </c>
      <c r="K13" s="5"/>
      <c r="L13" s="27">
        <v>117.25</v>
      </c>
      <c r="M13" s="19">
        <v>105.25</v>
      </c>
      <c r="N13" s="5"/>
      <c r="O13" s="27">
        <v>116.3</v>
      </c>
      <c r="P13" s="19">
        <v>106.31</v>
      </c>
      <c r="Q13" s="5"/>
      <c r="R13" s="27">
        <v>117.29</v>
      </c>
      <c r="S13" s="19">
        <v>104.26</v>
      </c>
      <c r="T13" s="5"/>
      <c r="U13" s="27">
        <v>116.67</v>
      </c>
      <c r="V13" s="19">
        <v>104.01</v>
      </c>
      <c r="W13" s="5"/>
      <c r="X13" s="27">
        <v>117.14</v>
      </c>
      <c r="Y13" s="19">
        <v>103.72</v>
      </c>
      <c r="Z13" s="5"/>
      <c r="AA13" s="27">
        <v>116.72</v>
      </c>
      <c r="AB13" s="19">
        <v>104.26</v>
      </c>
      <c r="AC13" s="5"/>
      <c r="AD13" s="27">
        <v>116.72</v>
      </c>
      <c r="AE13" s="19">
        <v>104.77</v>
      </c>
      <c r="AF13" s="5"/>
      <c r="AG13" s="27">
        <v>116.44</v>
      </c>
      <c r="AH13" s="19">
        <v>105.67</v>
      </c>
      <c r="AI13" s="5"/>
      <c r="AJ13" s="27">
        <v>115.14</v>
      </c>
      <c r="AK13" s="19">
        <v>104.43</v>
      </c>
      <c r="AL13" s="5"/>
      <c r="AM13" s="27">
        <v>117.25</v>
      </c>
      <c r="AN13" s="19">
        <v>103.03</v>
      </c>
      <c r="AO13" s="5"/>
      <c r="AP13" s="27">
        <v>116.62</v>
      </c>
      <c r="AQ13" s="19">
        <v>103.16</v>
      </c>
      <c r="AR13" s="5"/>
      <c r="AS13" s="27">
        <v>117.52</v>
      </c>
      <c r="AT13" s="19">
        <v>102.58</v>
      </c>
      <c r="AU13" s="5"/>
      <c r="AV13" s="27">
        <v>116.91</v>
      </c>
      <c r="AW13" s="19">
        <v>102.56</v>
      </c>
      <c r="AX13" s="5"/>
      <c r="AY13" s="27">
        <v>117.11</v>
      </c>
      <c r="AZ13" s="19">
        <v>101.84</v>
      </c>
      <c r="BA13" s="5"/>
      <c r="BB13" s="27">
        <v>116.81</v>
      </c>
      <c r="BC13" s="19">
        <v>101.36</v>
      </c>
      <c r="BD13" s="5"/>
      <c r="BE13" s="27">
        <v>117.6</v>
      </c>
      <c r="BF13" s="19">
        <v>100.88</v>
      </c>
      <c r="BG13" s="5"/>
      <c r="BH13" s="27">
        <v>118.91</v>
      </c>
      <c r="BI13" s="19">
        <v>100.14</v>
      </c>
      <c r="BJ13" s="5"/>
      <c r="BK13" s="27">
        <v>118.72</v>
      </c>
      <c r="BL13" s="19">
        <v>99.71</v>
      </c>
      <c r="BM13" s="5"/>
      <c r="BN13" s="27">
        <f>(+C13+F13+I13+L13+O13+R13+U13+X13+AA13+AD13+AG13+AJ13+AM13+AP13+AS13+AV13+AY13+BB13+BE13+BH13+BK13)/21</f>
        <v>117.28571428571426</v>
      </c>
      <c r="BO13" s="19">
        <f>(+D13+G13+J13+M13+P13+S13+V13+Y13+AB13+AE13+AH13+AK13+AN13+AQ13+AT13+AW13+AZ13+BC13+BF13+BI13+BL13)/21</f>
        <v>103.44190476190475</v>
      </c>
      <c r="BP13" s="5"/>
    </row>
    <row r="14" spans="1:68" ht="15.75" customHeight="1">
      <c r="A14" s="16">
        <v>2</v>
      </c>
      <c r="B14" s="17" t="s">
        <v>15</v>
      </c>
      <c r="C14" s="27">
        <f>1/1.6078</f>
        <v>0.621967906456027</v>
      </c>
      <c r="D14" s="19">
        <v>199.99</v>
      </c>
      <c r="E14" s="5"/>
      <c r="F14" s="27">
        <f>1/1.6057</f>
        <v>0.6227813414710096</v>
      </c>
      <c r="G14" s="19">
        <v>199.81</v>
      </c>
      <c r="H14" s="5"/>
      <c r="I14" s="27">
        <f>1/1.6091</f>
        <v>0.6214654154496302</v>
      </c>
      <c r="J14" s="19">
        <v>199.63</v>
      </c>
      <c r="K14" s="5"/>
      <c r="L14" s="27">
        <f>1/1.6085</f>
        <v>0.6216972334473111</v>
      </c>
      <c r="M14" s="19">
        <v>198.5</v>
      </c>
      <c r="N14" s="5"/>
      <c r="O14" s="27">
        <f>1/1.6014</f>
        <v>0.6244536030972899</v>
      </c>
      <c r="P14" s="19">
        <v>198</v>
      </c>
      <c r="Q14" s="5"/>
      <c r="R14" s="27">
        <f>1/1.6025</f>
        <v>0.62402496099844</v>
      </c>
      <c r="S14" s="19">
        <v>195.96</v>
      </c>
      <c r="T14" s="5"/>
      <c r="U14" s="27">
        <f>1/1.6104</f>
        <v>0.620963735717834</v>
      </c>
      <c r="V14" s="19">
        <v>195.41</v>
      </c>
      <c r="W14" s="5"/>
      <c r="X14" s="27">
        <f>1/1.6076</f>
        <v>0.6220452848967405</v>
      </c>
      <c r="Y14" s="19">
        <v>195.32</v>
      </c>
      <c r="Z14" s="5"/>
      <c r="AA14" s="27">
        <f>1/1.6127</f>
        <v>0.6200781298443604</v>
      </c>
      <c r="AB14" s="19">
        <v>196.25</v>
      </c>
      <c r="AC14" s="5"/>
      <c r="AD14" s="27">
        <f>1/1.6127</f>
        <v>0.6200781298443604</v>
      </c>
      <c r="AE14" s="19">
        <v>197.22</v>
      </c>
      <c r="AF14" s="5"/>
      <c r="AG14" s="27">
        <f>1/1.6203</f>
        <v>0.6171696599395173</v>
      </c>
      <c r="AH14" s="19">
        <v>199.37</v>
      </c>
      <c r="AI14" s="5"/>
      <c r="AJ14" s="27">
        <f>1/1.6341</f>
        <v>0.6119576525304449</v>
      </c>
      <c r="AK14" s="19">
        <v>196.48</v>
      </c>
      <c r="AL14" s="5"/>
      <c r="AM14" s="27">
        <f>1/1.6315</f>
        <v>0.6129328838492185</v>
      </c>
      <c r="AN14" s="19">
        <v>197.09</v>
      </c>
      <c r="AO14" s="5"/>
      <c r="AP14" s="27">
        <f>1/1.6422</f>
        <v>0.608939227865059</v>
      </c>
      <c r="AQ14" s="19">
        <v>197.56</v>
      </c>
      <c r="AR14" s="5"/>
      <c r="AS14" s="27">
        <f>1/1.6347</f>
        <v>0.6117330397014743</v>
      </c>
      <c r="AT14" s="19">
        <v>197.06</v>
      </c>
      <c r="AU14" s="5"/>
      <c r="AV14" s="27">
        <f>1/1.641</f>
        <v>0.6093845216331505</v>
      </c>
      <c r="AW14" s="19">
        <v>196.76</v>
      </c>
      <c r="AX14" s="5"/>
      <c r="AY14" s="27">
        <f>1/1.6398</f>
        <v>0.6098304671301379</v>
      </c>
      <c r="AZ14" s="19">
        <v>195.57</v>
      </c>
      <c r="BA14" s="5"/>
      <c r="BB14" s="27">
        <f>1/1.6422</f>
        <v>0.608939227865059</v>
      </c>
      <c r="BC14" s="19">
        <v>194.44</v>
      </c>
      <c r="BD14" s="5"/>
      <c r="BE14" s="27">
        <f>1/1.6377</f>
        <v>0.6106124442816144</v>
      </c>
      <c r="BF14" s="19">
        <v>194.29</v>
      </c>
      <c r="BG14" s="5"/>
      <c r="BH14" s="27">
        <f>1/1.6371</f>
        <v>0.6108362348054487</v>
      </c>
      <c r="BI14" s="19">
        <v>194.95</v>
      </c>
      <c r="BJ14" s="5"/>
      <c r="BK14" s="27">
        <f>1/1.65</f>
        <v>0.6060606060606061</v>
      </c>
      <c r="BL14" s="19">
        <v>195.32</v>
      </c>
      <c r="BM14" s="5"/>
      <c r="BN14" s="27">
        <f aca="true" t="shared" si="0" ref="BN14:BN25">(+C14+F14+I14+L14+O14+R14+U14+X14+AA14+AD14+AG14+AJ14+AM14+AP14+AS14+AV14+AY14+BB14+BE14+BH14+BK14)/21</f>
        <v>0.6160929384230828</v>
      </c>
      <c r="BO14" s="19">
        <f aca="true" t="shared" si="1" ref="BO14:BO25">(+D14+G14+J14+M14+P14+S14+V14+Y14+AB14+AE14+AH14+AK14+AN14+AQ14+AT14+AW14+AZ14+BC14+BF14+BI14+BL14)/21</f>
        <v>196.9038095238095</v>
      </c>
      <c r="BP14" s="5"/>
    </row>
    <row r="15" spans="1:68" ht="15.75" customHeight="1">
      <c r="A15" s="16">
        <v>3</v>
      </c>
      <c r="B15" s="17" t="s">
        <v>16</v>
      </c>
      <c r="C15" s="27">
        <v>1.3439</v>
      </c>
      <c r="D15" s="19">
        <v>92.56</v>
      </c>
      <c r="E15" s="5"/>
      <c r="F15" s="27">
        <v>1.3476</v>
      </c>
      <c r="G15" s="19">
        <v>92.34</v>
      </c>
      <c r="H15" s="5"/>
      <c r="I15" s="27">
        <v>1.3368</v>
      </c>
      <c r="J15" s="19">
        <v>92.81</v>
      </c>
      <c r="K15" s="5"/>
      <c r="L15" s="27">
        <v>1.3286</v>
      </c>
      <c r="M15" s="19">
        <v>92.88</v>
      </c>
      <c r="N15" s="5"/>
      <c r="O15" s="27">
        <v>1.3243</v>
      </c>
      <c r="P15" s="19">
        <v>93.37</v>
      </c>
      <c r="Q15" s="5"/>
      <c r="R15" s="27">
        <v>1.3117</v>
      </c>
      <c r="S15" s="19">
        <v>93.23</v>
      </c>
      <c r="T15" s="5"/>
      <c r="U15" s="27">
        <v>1.3068</v>
      </c>
      <c r="V15" s="19">
        <v>92.86</v>
      </c>
      <c r="W15" s="5"/>
      <c r="X15" s="27">
        <v>1.3155</v>
      </c>
      <c r="Y15" s="19">
        <v>92.36</v>
      </c>
      <c r="Z15" s="5"/>
      <c r="AA15" s="27">
        <v>1.3165</v>
      </c>
      <c r="AB15" s="19">
        <v>92.44</v>
      </c>
      <c r="AC15" s="5"/>
      <c r="AD15" s="27">
        <v>1.3165</v>
      </c>
      <c r="AE15" s="19">
        <v>92.89</v>
      </c>
      <c r="AF15" s="5"/>
      <c r="AG15" s="27">
        <v>1.3173</v>
      </c>
      <c r="AH15" s="19">
        <v>93.41</v>
      </c>
      <c r="AI15" s="5"/>
      <c r="AJ15" s="27">
        <v>1.2916</v>
      </c>
      <c r="AK15" s="19">
        <v>93.09</v>
      </c>
      <c r="AL15" s="5"/>
      <c r="AM15" s="27">
        <v>1.301</v>
      </c>
      <c r="AN15" s="19">
        <v>92.85</v>
      </c>
      <c r="AO15" s="5"/>
      <c r="AP15" s="27">
        <v>1.2885</v>
      </c>
      <c r="AQ15" s="19">
        <v>93.36</v>
      </c>
      <c r="AR15" s="5"/>
      <c r="AS15" s="27">
        <v>1.2946</v>
      </c>
      <c r="AT15" s="19">
        <v>93.12</v>
      </c>
      <c r="AU15" s="5"/>
      <c r="AV15" s="27">
        <v>1.2891</v>
      </c>
      <c r="AW15" s="19">
        <v>93.01</v>
      </c>
      <c r="AX15" s="5"/>
      <c r="AY15" s="27">
        <v>1.2907</v>
      </c>
      <c r="AZ15" s="19">
        <v>92.4</v>
      </c>
      <c r="BA15" s="5"/>
      <c r="BB15" s="27">
        <v>1.2845</v>
      </c>
      <c r="BC15" s="19">
        <v>92.18</v>
      </c>
      <c r="BD15" s="5"/>
      <c r="BE15" s="27">
        <v>1.2918</v>
      </c>
      <c r="BF15" s="19">
        <v>91.84</v>
      </c>
      <c r="BG15" s="5"/>
      <c r="BH15" s="27">
        <v>1.3048</v>
      </c>
      <c r="BI15" s="19">
        <v>91.26</v>
      </c>
      <c r="BJ15" s="5"/>
      <c r="BK15" s="27">
        <v>1.2909</v>
      </c>
      <c r="BL15" s="19">
        <v>91.7</v>
      </c>
      <c r="BM15" s="5"/>
      <c r="BN15" s="27">
        <f t="shared" si="0"/>
        <v>1.309190476190476</v>
      </c>
      <c r="BO15" s="19">
        <f t="shared" si="1"/>
        <v>92.66476190476189</v>
      </c>
      <c r="BP15" s="5"/>
    </row>
    <row r="16" spans="1:68" ht="15.75" customHeight="1">
      <c r="A16" s="16">
        <v>4</v>
      </c>
      <c r="B16" s="17" t="s">
        <v>17</v>
      </c>
      <c r="C16" s="27">
        <f>1/1.1232</f>
        <v>0.8903133903133903</v>
      </c>
      <c r="D16" s="19">
        <v>139.71</v>
      </c>
      <c r="E16" s="5"/>
      <c r="F16" s="27">
        <f>1/1.1222</f>
        <v>0.8911067545891997</v>
      </c>
      <c r="G16" s="19">
        <v>139.65</v>
      </c>
      <c r="H16" s="5"/>
      <c r="I16" s="27">
        <f>1/1.1333</f>
        <v>0.8823788934968676</v>
      </c>
      <c r="J16" s="19">
        <v>140.6</v>
      </c>
      <c r="K16" s="5"/>
      <c r="L16" s="27">
        <f>1/1.1396</f>
        <v>0.8775008775008776</v>
      </c>
      <c r="M16" s="19">
        <v>140.63</v>
      </c>
      <c r="N16" s="5"/>
      <c r="O16" s="27">
        <f>1/1.1363</f>
        <v>0.8800492827598345</v>
      </c>
      <c r="P16" s="19">
        <v>140.5</v>
      </c>
      <c r="Q16" s="5"/>
      <c r="R16" s="27">
        <f>1/1.1501</f>
        <v>0.8694896095991653</v>
      </c>
      <c r="S16" s="19">
        <v>140.64</v>
      </c>
      <c r="T16" s="5"/>
      <c r="U16" s="27">
        <f>1/1.1568</f>
        <v>0.8644536652835407</v>
      </c>
      <c r="V16" s="19">
        <v>140.37</v>
      </c>
      <c r="W16" s="5"/>
      <c r="X16" s="27">
        <f>1/1.1429</f>
        <v>0.8749671887304226</v>
      </c>
      <c r="Y16" s="19">
        <v>139.71</v>
      </c>
      <c r="Z16" s="5"/>
      <c r="AA16" s="27">
        <f>1/1.1488</f>
        <v>0.8704735376044568</v>
      </c>
      <c r="AB16" s="19">
        <v>139.8</v>
      </c>
      <c r="AC16" s="5"/>
      <c r="AD16" s="27">
        <f>1/1.1488</f>
        <v>0.8704735376044568</v>
      </c>
      <c r="AE16" s="19">
        <v>140.49</v>
      </c>
      <c r="AF16" s="5"/>
      <c r="AG16" s="27">
        <f>1/1.1429</f>
        <v>0.8749671887304226</v>
      </c>
      <c r="AH16" s="19">
        <v>140.63</v>
      </c>
      <c r="AI16" s="5"/>
      <c r="AJ16" s="27">
        <f>1/1.1709</f>
        <v>0.8540438978563498</v>
      </c>
      <c r="AK16" s="19">
        <v>140.78</v>
      </c>
      <c r="AL16" s="5"/>
      <c r="AM16" s="27">
        <f>1/1.1617</f>
        <v>0.860807437376259</v>
      </c>
      <c r="AN16" s="19">
        <v>140.33</v>
      </c>
      <c r="AO16" s="5"/>
      <c r="AP16" s="27">
        <f>1/1.1712</f>
        <v>0.8538251366120219</v>
      </c>
      <c r="AQ16" s="19">
        <v>140.9</v>
      </c>
      <c r="AR16" s="5"/>
      <c r="AS16" s="27">
        <f>1/1.167</f>
        <v>0.856898029134533</v>
      </c>
      <c r="AT16" s="19">
        <v>140.68</v>
      </c>
      <c r="AU16" s="5"/>
      <c r="AV16" s="27">
        <f>1/1.1792</f>
        <v>0.8480325644504749</v>
      </c>
      <c r="AW16" s="19">
        <v>141.39</v>
      </c>
      <c r="AX16" s="5"/>
      <c r="AY16" s="27">
        <f>1/1.1816</f>
        <v>0.8463100880162492</v>
      </c>
      <c r="AZ16" s="19">
        <v>140.93</v>
      </c>
      <c r="BA16" s="5"/>
      <c r="BB16" s="27">
        <f>1/1.1887</f>
        <v>0.8412551526878101</v>
      </c>
      <c r="BC16" s="19">
        <v>140.74</v>
      </c>
      <c r="BD16" s="5"/>
      <c r="BE16" s="27">
        <f>1/1.1784</f>
        <v>0.8486082824168365</v>
      </c>
      <c r="BF16" s="19">
        <v>139.8</v>
      </c>
      <c r="BG16" s="5"/>
      <c r="BH16" s="27">
        <f>1/1.1713</f>
        <v>0.8537522410996329</v>
      </c>
      <c r="BI16" s="19">
        <v>139.48</v>
      </c>
      <c r="BJ16" s="5"/>
      <c r="BK16" s="27">
        <f>1/1.1839</f>
        <v>0.8446659346228567</v>
      </c>
      <c r="BL16" s="19">
        <v>140.14</v>
      </c>
      <c r="BM16" s="5"/>
      <c r="BN16" s="27">
        <f t="shared" si="0"/>
        <v>0.8644939376421742</v>
      </c>
      <c r="BO16" s="19">
        <f t="shared" si="1"/>
        <v>140.37619047619046</v>
      </c>
      <c r="BP16" s="5"/>
    </row>
    <row r="17" spans="1:68" ht="15.75" customHeight="1">
      <c r="A17" s="16">
        <v>5</v>
      </c>
      <c r="B17" s="17" t="s">
        <v>18</v>
      </c>
      <c r="C17" s="27">
        <v>341.2</v>
      </c>
      <c r="D17" s="19">
        <v>42441.02</v>
      </c>
      <c r="E17" s="5"/>
      <c r="F17" s="27">
        <v>341.25</v>
      </c>
      <c r="G17" s="19">
        <v>42465.15</v>
      </c>
      <c r="H17" s="5"/>
      <c r="I17" s="27">
        <v>342.3</v>
      </c>
      <c r="J17" s="19">
        <v>42466.38</v>
      </c>
      <c r="K17" s="5"/>
      <c r="L17" s="27">
        <v>343</v>
      </c>
      <c r="M17" s="19">
        <v>42328.34</v>
      </c>
      <c r="N17" s="5"/>
      <c r="O17" s="27">
        <v>341.2</v>
      </c>
      <c r="P17" s="19">
        <v>42187.25</v>
      </c>
      <c r="Q17" s="5"/>
      <c r="R17" s="27">
        <v>348.25</v>
      </c>
      <c r="S17" s="19">
        <v>42858.97</v>
      </c>
      <c r="T17" s="5"/>
      <c r="U17" s="27">
        <v>350.3</v>
      </c>
      <c r="V17" s="19">
        <v>42506.5</v>
      </c>
      <c r="W17" s="5"/>
      <c r="X17" s="27">
        <v>350.4</v>
      </c>
      <c r="Y17" s="19">
        <v>42573.82</v>
      </c>
      <c r="Z17" s="5"/>
      <c r="AA17" s="27">
        <v>348.85</v>
      </c>
      <c r="AB17" s="19">
        <v>42451.99</v>
      </c>
      <c r="AC17" s="5"/>
      <c r="AD17" s="27">
        <v>348.85</v>
      </c>
      <c r="AE17" s="19">
        <v>42661.08</v>
      </c>
      <c r="AF17" s="5"/>
      <c r="AG17" s="27">
        <v>352.4</v>
      </c>
      <c r="AH17" s="19">
        <v>43360.62</v>
      </c>
      <c r="AI17" s="5"/>
      <c r="AJ17" s="27">
        <v>359.5</v>
      </c>
      <c r="AK17" s="19">
        <v>43224.48</v>
      </c>
      <c r="AL17" s="5"/>
      <c r="AM17" s="27">
        <v>367.6</v>
      </c>
      <c r="AN17" s="19">
        <v>44406.31</v>
      </c>
      <c r="AO17" s="5"/>
      <c r="AP17" s="27">
        <v>364.75</v>
      </c>
      <c r="AQ17" s="19">
        <v>43879.43</v>
      </c>
      <c r="AR17" s="5"/>
      <c r="AS17" s="27">
        <v>369.4</v>
      </c>
      <c r="AT17" s="19">
        <v>44530.25</v>
      </c>
      <c r="AU17" s="5"/>
      <c r="AV17" s="27">
        <v>369.5</v>
      </c>
      <c r="AW17" s="19">
        <v>44303.05</v>
      </c>
      <c r="AX17" s="5"/>
      <c r="AY17" s="27">
        <v>369.8</v>
      </c>
      <c r="AZ17" s="19">
        <v>44104.66</v>
      </c>
      <c r="BA17" s="5"/>
      <c r="BB17" s="27">
        <v>372.9</v>
      </c>
      <c r="BC17" s="19">
        <v>44151.36</v>
      </c>
      <c r="BD17" s="5"/>
      <c r="BE17" s="27">
        <v>364.4</v>
      </c>
      <c r="BF17" s="19">
        <v>43231.28</v>
      </c>
      <c r="BG17" s="5"/>
      <c r="BH17" s="27">
        <v>360.5</v>
      </c>
      <c r="BI17" s="19">
        <v>42928.79</v>
      </c>
      <c r="BJ17" s="5"/>
      <c r="BK17" s="27">
        <v>365.8</v>
      </c>
      <c r="BL17" s="19">
        <v>43301.27</v>
      </c>
      <c r="BM17" s="5"/>
      <c r="BN17" s="27">
        <f t="shared" si="0"/>
        <v>355.81666666666666</v>
      </c>
      <c r="BO17" s="19">
        <f t="shared" si="1"/>
        <v>43160.095238095244</v>
      </c>
      <c r="BP17" s="5"/>
    </row>
    <row r="18" spans="1:68" ht="15.75" customHeight="1">
      <c r="A18" s="16">
        <v>6</v>
      </c>
      <c r="B18" s="20" t="s">
        <v>19</v>
      </c>
      <c r="C18" s="27">
        <v>4.74</v>
      </c>
      <c r="D18" s="19">
        <v>589.6</v>
      </c>
      <c r="E18" s="5"/>
      <c r="F18" s="27">
        <v>4.75</v>
      </c>
      <c r="G18" s="19">
        <v>591.09</v>
      </c>
      <c r="H18" s="5"/>
      <c r="I18" s="27">
        <v>4.78</v>
      </c>
      <c r="J18" s="19">
        <v>593.02</v>
      </c>
      <c r="K18" s="5"/>
      <c r="L18" s="27">
        <v>4.76</v>
      </c>
      <c r="M18" s="19">
        <v>587.41</v>
      </c>
      <c r="N18" s="5"/>
      <c r="O18" s="27">
        <v>4.71</v>
      </c>
      <c r="P18" s="19">
        <v>582.36</v>
      </c>
      <c r="Q18" s="5"/>
      <c r="R18" s="27">
        <v>4.78</v>
      </c>
      <c r="S18" s="19">
        <v>584.53</v>
      </c>
      <c r="T18" s="5"/>
      <c r="U18" s="27">
        <v>4.78</v>
      </c>
      <c r="V18" s="19">
        <v>580.02</v>
      </c>
      <c r="W18" s="5"/>
      <c r="X18" s="27">
        <v>4.84</v>
      </c>
      <c r="Y18" s="19">
        <v>588.06</v>
      </c>
      <c r="Z18" s="5"/>
      <c r="AA18" s="27">
        <v>4.81</v>
      </c>
      <c r="AB18" s="19">
        <v>585.33</v>
      </c>
      <c r="AC18" s="5"/>
      <c r="AD18" s="27">
        <v>4.81</v>
      </c>
      <c r="AE18" s="19">
        <v>588.22</v>
      </c>
      <c r="AF18" s="5"/>
      <c r="AG18" s="27">
        <v>4.78</v>
      </c>
      <c r="AH18" s="19">
        <v>588.15</v>
      </c>
      <c r="AI18" s="5"/>
      <c r="AJ18" s="27">
        <v>4.84</v>
      </c>
      <c r="AK18" s="19">
        <v>581.94</v>
      </c>
      <c r="AL18" s="5"/>
      <c r="AM18" s="27">
        <v>4.83</v>
      </c>
      <c r="AN18" s="19">
        <v>583.47</v>
      </c>
      <c r="AO18" s="5"/>
      <c r="AP18" s="27">
        <v>4.75</v>
      </c>
      <c r="AQ18" s="19">
        <v>571.43</v>
      </c>
      <c r="AR18" s="5"/>
      <c r="AS18" s="27">
        <v>4.69</v>
      </c>
      <c r="AT18" s="19">
        <v>565.37</v>
      </c>
      <c r="AU18" s="5"/>
      <c r="AV18" s="27">
        <v>4.66</v>
      </c>
      <c r="AW18" s="19">
        <v>558.73</v>
      </c>
      <c r="AX18" s="5"/>
      <c r="AY18" s="27">
        <v>4.66</v>
      </c>
      <c r="AZ18" s="19">
        <v>555.78</v>
      </c>
      <c r="BA18" s="5"/>
      <c r="BB18" s="27">
        <v>4.67</v>
      </c>
      <c r="BC18" s="19">
        <v>552.93</v>
      </c>
      <c r="BD18" s="5"/>
      <c r="BE18" s="27">
        <v>4.59</v>
      </c>
      <c r="BF18" s="19">
        <v>544.54</v>
      </c>
      <c r="BG18" s="5"/>
      <c r="BH18" s="27">
        <v>4.61</v>
      </c>
      <c r="BI18" s="19">
        <v>548.96</v>
      </c>
      <c r="BJ18" s="5"/>
      <c r="BK18" s="27">
        <v>4.56</v>
      </c>
      <c r="BL18" s="19">
        <v>539.79</v>
      </c>
      <c r="BM18" s="5"/>
      <c r="BN18" s="27">
        <f t="shared" si="0"/>
        <v>4.733333333333333</v>
      </c>
      <c r="BO18" s="19">
        <f t="shared" si="1"/>
        <v>574.3204761904761</v>
      </c>
      <c r="BP18" s="5"/>
    </row>
    <row r="19" spans="1:68" ht="15.75" customHeight="1">
      <c r="A19" s="16">
        <v>7</v>
      </c>
      <c r="B19" s="17" t="s">
        <v>20</v>
      </c>
      <c r="C19" s="27">
        <f>1/0.6317</f>
        <v>1.583029919265474</v>
      </c>
      <c r="D19" s="19">
        <v>78.58</v>
      </c>
      <c r="E19" s="5"/>
      <c r="F19" s="27">
        <f>1/0.6314</f>
        <v>1.5837820715869497</v>
      </c>
      <c r="G19" s="19">
        <v>78.57</v>
      </c>
      <c r="H19" s="5"/>
      <c r="I19" s="27">
        <f>1/0.637</f>
        <v>1.5698587127158556</v>
      </c>
      <c r="J19" s="19">
        <v>79.03</v>
      </c>
      <c r="K19" s="5"/>
      <c r="L19" s="27">
        <f>1/0.6404</f>
        <v>1.5615240474703311</v>
      </c>
      <c r="M19" s="19">
        <v>79.03</v>
      </c>
      <c r="N19" s="5"/>
      <c r="O19" s="27">
        <f>1/0.6365</f>
        <v>1.5710919088766695</v>
      </c>
      <c r="P19" s="19">
        <v>78.7</v>
      </c>
      <c r="Q19" s="5"/>
      <c r="R19" s="27">
        <f>1/0.6445</f>
        <v>1.5515903801396431</v>
      </c>
      <c r="S19" s="19">
        <v>78.81</v>
      </c>
      <c r="T19" s="5"/>
      <c r="U19" s="27">
        <f>1/0.6486</f>
        <v>1.5417823003391922</v>
      </c>
      <c r="V19" s="19">
        <v>78.7</v>
      </c>
      <c r="W19" s="5"/>
      <c r="X19" s="27">
        <f>1/0.6453</f>
        <v>1.549666821633349</v>
      </c>
      <c r="Y19" s="19">
        <v>78.4</v>
      </c>
      <c r="Z19" s="5"/>
      <c r="AA19" s="27">
        <f>1/0.6445</f>
        <v>1.5515903801396431</v>
      </c>
      <c r="AB19" s="19">
        <v>78.43</v>
      </c>
      <c r="AC19" s="5"/>
      <c r="AD19" s="27">
        <f>1/0.6445</f>
        <v>1.5515903801396431</v>
      </c>
      <c r="AE19" s="19">
        <v>78.82</v>
      </c>
      <c r="AF19" s="5"/>
      <c r="AG19" s="27">
        <f>1/0.6434</f>
        <v>1.554243083618278</v>
      </c>
      <c r="AH19" s="19">
        <v>79.17</v>
      </c>
      <c r="AI19" s="5"/>
      <c r="AJ19" s="27">
        <f>1/0.6568</f>
        <v>1.522533495736906</v>
      </c>
      <c r="AK19" s="19">
        <v>78.97</v>
      </c>
      <c r="AL19" s="5"/>
      <c r="AM19" s="27">
        <f>1/0.6527</f>
        <v>1.532097441397273</v>
      </c>
      <c r="AN19" s="19">
        <v>78.85</v>
      </c>
      <c r="AO19" s="5"/>
      <c r="AP19" s="27">
        <f>1/0.6587</f>
        <v>1.518141794443601</v>
      </c>
      <c r="AQ19" s="19">
        <v>79.24</v>
      </c>
      <c r="AR19" s="5"/>
      <c r="AS19" s="27">
        <f>1/0.656</f>
        <v>1.524390243902439</v>
      </c>
      <c r="AT19" s="19">
        <v>79.08</v>
      </c>
      <c r="AU19" s="5"/>
      <c r="AV19" s="27">
        <f>1/0.6601</f>
        <v>1.5149219815179518</v>
      </c>
      <c r="AW19" s="19">
        <v>79.15</v>
      </c>
      <c r="AX19" s="5"/>
      <c r="AY19" s="27">
        <f>1/0.6585</f>
        <v>1.5186028853454823</v>
      </c>
      <c r="AZ19" s="19">
        <v>78.54</v>
      </c>
      <c r="BA19" s="5"/>
      <c r="BB19" s="27">
        <f>1/0.6595</f>
        <v>1.5163002274450341</v>
      </c>
      <c r="BC19" s="19">
        <v>78.08</v>
      </c>
      <c r="BD19" s="5"/>
      <c r="BE19" s="27">
        <f>1/0.6523</f>
        <v>1.5330369461904032</v>
      </c>
      <c r="BF19" s="19">
        <v>77.39</v>
      </c>
      <c r="BG19" s="5"/>
      <c r="BH19" s="27">
        <f>1/0.6444</f>
        <v>1.5518311607697084</v>
      </c>
      <c r="BI19" s="19">
        <v>76.74</v>
      </c>
      <c r="BJ19" s="18"/>
      <c r="BK19" s="27">
        <f>1/0.6535</f>
        <v>1.5302218821729152</v>
      </c>
      <c r="BL19" s="19">
        <v>77.36</v>
      </c>
      <c r="BM19" s="18"/>
      <c r="BN19" s="27">
        <f t="shared" si="0"/>
        <v>1.544372764992702</v>
      </c>
      <c r="BO19" s="19">
        <f t="shared" si="1"/>
        <v>78.55428571428571</v>
      </c>
      <c r="BP19" s="18"/>
    </row>
    <row r="20" spans="1:68" ht="15.75" customHeight="1">
      <c r="A20" s="16">
        <v>8</v>
      </c>
      <c r="B20" s="17" t="s">
        <v>21</v>
      </c>
      <c r="C20" s="27">
        <v>1.417</v>
      </c>
      <c r="D20" s="19">
        <v>87.78</v>
      </c>
      <c r="E20" s="5"/>
      <c r="F20" s="27">
        <v>1.4175</v>
      </c>
      <c r="G20" s="19">
        <v>87.79</v>
      </c>
      <c r="H20" s="5"/>
      <c r="I20" s="27">
        <v>1.4043</v>
      </c>
      <c r="J20" s="19">
        <v>88.34</v>
      </c>
      <c r="K20" s="5"/>
      <c r="L20" s="27">
        <v>1.3921</v>
      </c>
      <c r="M20" s="19">
        <v>88.65</v>
      </c>
      <c r="N20" s="5"/>
      <c r="O20" s="27">
        <v>1.4062</v>
      </c>
      <c r="P20" s="19">
        <v>87.93</v>
      </c>
      <c r="Q20" s="5"/>
      <c r="R20" s="27">
        <v>1.3949</v>
      </c>
      <c r="S20" s="19">
        <v>87.67</v>
      </c>
      <c r="T20" s="5"/>
      <c r="U20" s="27">
        <v>1.3873</v>
      </c>
      <c r="V20" s="19">
        <v>87.47</v>
      </c>
      <c r="W20" s="5"/>
      <c r="X20" s="27">
        <v>1.3881</v>
      </c>
      <c r="Y20" s="19">
        <v>87.53</v>
      </c>
      <c r="Z20" s="5"/>
      <c r="AA20" s="27">
        <v>1.3871</v>
      </c>
      <c r="AB20" s="19">
        <v>87.73</v>
      </c>
      <c r="AC20" s="5"/>
      <c r="AD20" s="27">
        <v>1.3871</v>
      </c>
      <c r="AE20" s="19">
        <v>88.16</v>
      </c>
      <c r="AF20" s="5"/>
      <c r="AG20" s="27">
        <v>1.3807</v>
      </c>
      <c r="AH20" s="19">
        <v>89.12</v>
      </c>
      <c r="AI20" s="5"/>
      <c r="AJ20" s="27">
        <v>1.3538</v>
      </c>
      <c r="AK20" s="19">
        <v>88.81</v>
      </c>
      <c r="AL20" s="5"/>
      <c r="AM20" s="27">
        <v>1.36</v>
      </c>
      <c r="AN20" s="19">
        <v>88.82</v>
      </c>
      <c r="AO20" s="5"/>
      <c r="AP20" s="27">
        <v>1.3474</v>
      </c>
      <c r="AQ20" s="19">
        <v>89.28</v>
      </c>
      <c r="AR20" s="5"/>
      <c r="AS20" s="27">
        <v>1.3567</v>
      </c>
      <c r="AT20" s="19">
        <v>88.85</v>
      </c>
      <c r="AU20" s="5"/>
      <c r="AV20" s="27">
        <v>1.3729</v>
      </c>
      <c r="AW20" s="19">
        <v>87.33</v>
      </c>
      <c r="AX20" s="5"/>
      <c r="AY20" s="27">
        <v>1.3772</v>
      </c>
      <c r="AZ20" s="19">
        <v>86.6</v>
      </c>
      <c r="BA20" s="5"/>
      <c r="BB20" s="27">
        <v>1.3723</v>
      </c>
      <c r="BC20" s="19">
        <v>86.19</v>
      </c>
      <c r="BD20" s="5"/>
      <c r="BE20" s="27">
        <v>1.378</v>
      </c>
      <c r="BF20" s="19">
        <v>86.09</v>
      </c>
      <c r="BG20" s="5"/>
      <c r="BH20" s="27">
        <v>1.3894</v>
      </c>
      <c r="BI20" s="19">
        <v>85.71</v>
      </c>
      <c r="BJ20" s="5"/>
      <c r="BK20" s="27">
        <v>1.3674</v>
      </c>
      <c r="BL20" s="19">
        <v>86.57</v>
      </c>
      <c r="BM20" s="5"/>
      <c r="BN20" s="27">
        <f t="shared" si="0"/>
        <v>1.3827333333333331</v>
      </c>
      <c r="BO20" s="19">
        <f t="shared" si="1"/>
        <v>87.73428571428569</v>
      </c>
      <c r="BP20" s="5"/>
    </row>
    <row r="21" spans="1:68" ht="15.75" customHeight="1">
      <c r="A21" s="16">
        <v>9</v>
      </c>
      <c r="B21" s="17" t="s">
        <v>22</v>
      </c>
      <c r="C21" s="27">
        <v>8.1156</v>
      </c>
      <c r="D21" s="19">
        <v>15.33</v>
      </c>
      <c r="E21" s="5"/>
      <c r="F21" s="27">
        <v>8.0945</v>
      </c>
      <c r="G21" s="19">
        <v>15.37</v>
      </c>
      <c r="H21" s="5"/>
      <c r="I21" s="27">
        <v>8.016</v>
      </c>
      <c r="J21" s="19">
        <v>15.48</v>
      </c>
      <c r="K21" s="5"/>
      <c r="L21" s="27">
        <v>7.9694</v>
      </c>
      <c r="M21" s="19">
        <v>15.49</v>
      </c>
      <c r="N21" s="5"/>
      <c r="O21" s="27">
        <v>8.0138</v>
      </c>
      <c r="P21" s="19">
        <v>15.43</v>
      </c>
      <c r="Q21" s="5"/>
      <c r="R21" s="27">
        <v>7.9504</v>
      </c>
      <c r="S21" s="19">
        <v>15.38</v>
      </c>
      <c r="T21" s="5"/>
      <c r="U21" s="27">
        <v>7.9359</v>
      </c>
      <c r="V21" s="19">
        <v>15.29</v>
      </c>
      <c r="W21" s="5"/>
      <c r="X21" s="27">
        <v>7.9767</v>
      </c>
      <c r="Y21" s="19">
        <v>15.23</v>
      </c>
      <c r="Z21" s="5"/>
      <c r="AA21" s="27">
        <v>7.9935</v>
      </c>
      <c r="AB21" s="19">
        <v>15.22</v>
      </c>
      <c r="AC21" s="5"/>
      <c r="AD21" s="27">
        <v>7.9935</v>
      </c>
      <c r="AE21" s="19">
        <v>15.3</v>
      </c>
      <c r="AF21" s="5"/>
      <c r="AG21" s="27">
        <v>7.9994</v>
      </c>
      <c r="AH21" s="19">
        <v>15.38</v>
      </c>
      <c r="AI21" s="5"/>
      <c r="AJ21" s="27">
        <v>7.8428</v>
      </c>
      <c r="AK21" s="19">
        <v>15.33</v>
      </c>
      <c r="AL21" s="5"/>
      <c r="AM21" s="27">
        <v>7.8815</v>
      </c>
      <c r="AN21" s="19">
        <v>15.33</v>
      </c>
      <c r="AO21" s="5"/>
      <c r="AP21" s="27">
        <v>7.836</v>
      </c>
      <c r="AQ21" s="19">
        <v>15.35</v>
      </c>
      <c r="AR21" s="5"/>
      <c r="AS21" s="27">
        <v>7.83</v>
      </c>
      <c r="AT21" s="19">
        <v>15.4</v>
      </c>
      <c r="AU21" s="5"/>
      <c r="AV21" s="27">
        <v>7.762</v>
      </c>
      <c r="AW21" s="19">
        <v>15.45</v>
      </c>
      <c r="AX21" s="5"/>
      <c r="AY21" s="27">
        <v>7.78</v>
      </c>
      <c r="AZ21" s="19">
        <v>15.33</v>
      </c>
      <c r="BA21" s="5"/>
      <c r="BB21" s="27">
        <v>7.7323</v>
      </c>
      <c r="BC21" s="19">
        <v>15.31</v>
      </c>
      <c r="BD21" s="5"/>
      <c r="BE21" s="27">
        <v>7.7648</v>
      </c>
      <c r="BF21" s="19">
        <v>15.28</v>
      </c>
      <c r="BG21" s="5"/>
      <c r="BH21" s="27">
        <v>7.8187</v>
      </c>
      <c r="BI21" s="19">
        <v>15.23</v>
      </c>
      <c r="BJ21" s="5"/>
      <c r="BK21" s="27">
        <v>7.7115</v>
      </c>
      <c r="BL21" s="19">
        <v>15.35</v>
      </c>
      <c r="BM21" s="5"/>
      <c r="BN21" s="27">
        <f t="shared" si="0"/>
        <v>7.905633333333334</v>
      </c>
      <c r="BO21" s="19">
        <f t="shared" si="1"/>
        <v>15.345714285714289</v>
      </c>
      <c r="BP21" s="5"/>
    </row>
    <row r="22" spans="1:68" ht="15.75" customHeight="1">
      <c r="A22" s="16">
        <v>10</v>
      </c>
      <c r="B22" s="17" t="s">
        <v>23</v>
      </c>
      <c r="C22" s="27">
        <v>6.9968</v>
      </c>
      <c r="D22" s="19">
        <v>17.78</v>
      </c>
      <c r="E22" s="5"/>
      <c r="F22" s="27">
        <v>7.0168</v>
      </c>
      <c r="G22" s="19">
        <v>17.73</v>
      </c>
      <c r="H22" s="5"/>
      <c r="I22" s="27">
        <v>6.9665</v>
      </c>
      <c r="J22" s="19">
        <v>17.81</v>
      </c>
      <c r="K22" s="5"/>
      <c r="L22" s="27">
        <v>6.8838</v>
      </c>
      <c r="M22" s="19">
        <v>17.93</v>
      </c>
      <c r="N22" s="5"/>
      <c r="O22" s="27">
        <v>6.9058</v>
      </c>
      <c r="P22" s="19">
        <v>17.9</v>
      </c>
      <c r="Q22" s="5"/>
      <c r="R22" s="27">
        <v>6.8449</v>
      </c>
      <c r="S22" s="19">
        <v>17.87</v>
      </c>
      <c r="T22" s="5"/>
      <c r="U22" s="27">
        <v>6.8057</v>
      </c>
      <c r="V22" s="19">
        <v>17.83</v>
      </c>
      <c r="W22" s="5"/>
      <c r="X22" s="27">
        <v>6.8312</v>
      </c>
      <c r="Y22" s="19">
        <v>17.79</v>
      </c>
      <c r="Z22" s="5"/>
      <c r="AA22" s="27">
        <v>6.8431</v>
      </c>
      <c r="AB22" s="19">
        <v>17.78</v>
      </c>
      <c r="AC22" s="5"/>
      <c r="AD22" s="27">
        <v>6.8431</v>
      </c>
      <c r="AE22" s="19">
        <v>17.87</v>
      </c>
      <c r="AF22" s="5"/>
      <c r="AG22" s="27">
        <v>6.8598</v>
      </c>
      <c r="AH22" s="19">
        <v>17.94</v>
      </c>
      <c r="AI22" s="5"/>
      <c r="AJ22" s="27">
        <v>6.7526</v>
      </c>
      <c r="AK22" s="19">
        <v>17.81</v>
      </c>
      <c r="AL22" s="5"/>
      <c r="AM22" s="27">
        <v>6.8318</v>
      </c>
      <c r="AN22" s="19">
        <v>17.68</v>
      </c>
      <c r="AO22" s="5"/>
      <c r="AP22" s="27">
        <v>6.7155</v>
      </c>
      <c r="AQ22" s="19">
        <v>17.91</v>
      </c>
      <c r="AR22" s="5"/>
      <c r="AS22" s="27">
        <v>6.7073</v>
      </c>
      <c r="AT22" s="19">
        <v>17.97</v>
      </c>
      <c r="AU22" s="5"/>
      <c r="AV22" s="27">
        <v>6.6765</v>
      </c>
      <c r="AW22" s="19">
        <v>17.96</v>
      </c>
      <c r="AX22" s="5"/>
      <c r="AY22" s="27">
        <v>6.6736</v>
      </c>
      <c r="AZ22" s="19">
        <v>17.87</v>
      </c>
      <c r="BA22" s="5"/>
      <c r="BB22" s="27">
        <v>6.6272</v>
      </c>
      <c r="BC22" s="19">
        <v>17.87</v>
      </c>
      <c r="BD22" s="5"/>
      <c r="BE22" s="27">
        <v>6.6714</v>
      </c>
      <c r="BF22" s="19">
        <v>17.78</v>
      </c>
      <c r="BG22" s="5"/>
      <c r="BH22" s="27">
        <v>6.721</v>
      </c>
      <c r="BI22" s="19">
        <v>17.72</v>
      </c>
      <c r="BJ22" s="5"/>
      <c r="BK22" s="27">
        <v>6.6615</v>
      </c>
      <c r="BL22" s="19">
        <v>17.77</v>
      </c>
      <c r="BM22" s="5"/>
      <c r="BN22" s="27">
        <f t="shared" si="0"/>
        <v>6.801709523809524</v>
      </c>
      <c r="BO22" s="19">
        <f t="shared" si="1"/>
        <v>17.83666666666667</v>
      </c>
      <c r="BP22" s="5"/>
    </row>
    <row r="23" spans="1:68" ht="15.75" customHeight="1">
      <c r="A23" s="16">
        <v>11</v>
      </c>
      <c r="B23" s="17" t="s">
        <v>24</v>
      </c>
      <c r="C23" s="27">
        <v>6.6082</v>
      </c>
      <c r="D23" s="19">
        <v>18.82</v>
      </c>
      <c r="E23" s="5"/>
      <c r="F23" s="27">
        <v>6.612</v>
      </c>
      <c r="G23" s="19">
        <v>18.82</v>
      </c>
      <c r="H23" s="5"/>
      <c r="I23" s="27">
        <v>6.5494</v>
      </c>
      <c r="J23" s="19">
        <v>18.94</v>
      </c>
      <c r="K23" s="5"/>
      <c r="L23" s="27">
        <v>6.5108</v>
      </c>
      <c r="M23" s="19">
        <v>18.95</v>
      </c>
      <c r="N23" s="5"/>
      <c r="O23" s="27">
        <v>6.5338</v>
      </c>
      <c r="P23" s="19">
        <v>18.92</v>
      </c>
      <c r="Q23" s="5"/>
      <c r="R23" s="27">
        <v>6.4542</v>
      </c>
      <c r="S23" s="19">
        <v>18.95</v>
      </c>
      <c r="T23" s="5"/>
      <c r="U23" s="27">
        <v>6.4167</v>
      </c>
      <c r="V23" s="19">
        <v>18.91</v>
      </c>
      <c r="W23" s="5"/>
      <c r="X23" s="27">
        <v>6.4548</v>
      </c>
      <c r="Y23" s="19">
        <v>18.82</v>
      </c>
      <c r="Z23" s="5"/>
      <c r="AA23" s="27">
        <v>6.4602</v>
      </c>
      <c r="AB23" s="19">
        <v>18.84</v>
      </c>
      <c r="AC23" s="5"/>
      <c r="AD23" s="27">
        <v>6.4602</v>
      </c>
      <c r="AE23" s="19">
        <v>18.93</v>
      </c>
      <c r="AF23" s="5"/>
      <c r="AG23" s="27">
        <v>6.4951</v>
      </c>
      <c r="AH23" s="19">
        <v>18.94</v>
      </c>
      <c r="AI23" s="5"/>
      <c r="AJ23" s="27">
        <v>6.395</v>
      </c>
      <c r="AK23" s="19">
        <v>18.8</v>
      </c>
      <c r="AL23" s="5"/>
      <c r="AM23" s="27">
        <v>6.3873</v>
      </c>
      <c r="AN23" s="19">
        <v>18.91</v>
      </c>
      <c r="AO23" s="5"/>
      <c r="AP23" s="27">
        <v>6.3365</v>
      </c>
      <c r="AQ23" s="19">
        <v>18.99</v>
      </c>
      <c r="AR23" s="5"/>
      <c r="AS23" s="27">
        <v>6.3598</v>
      </c>
      <c r="AT23" s="19">
        <v>18.95</v>
      </c>
      <c r="AU23" s="5"/>
      <c r="AV23" s="27">
        <v>6.2947</v>
      </c>
      <c r="AW23" s="19">
        <v>19.05</v>
      </c>
      <c r="AX23" s="5"/>
      <c r="AY23" s="27">
        <v>6.2819</v>
      </c>
      <c r="AZ23" s="19">
        <v>18.99</v>
      </c>
      <c r="BA23" s="5"/>
      <c r="BB23" s="27">
        <v>6.2437</v>
      </c>
      <c r="BC23" s="19">
        <v>18.96</v>
      </c>
      <c r="BD23" s="5"/>
      <c r="BE23" s="27">
        <v>6.2979</v>
      </c>
      <c r="BF23" s="19">
        <v>18.84</v>
      </c>
      <c r="BG23" s="5"/>
      <c r="BH23" s="27">
        <v>6.377</v>
      </c>
      <c r="BI23" s="19">
        <v>18.67</v>
      </c>
      <c r="BJ23" s="5"/>
      <c r="BK23" s="27">
        <v>6.269</v>
      </c>
      <c r="BL23" s="19">
        <v>18.88</v>
      </c>
      <c r="BM23" s="5"/>
      <c r="BN23" s="27">
        <f t="shared" si="0"/>
        <v>6.418961904761905</v>
      </c>
      <c r="BO23" s="19">
        <f t="shared" si="1"/>
        <v>18.899047619047618</v>
      </c>
      <c r="BP23" s="5"/>
    </row>
    <row r="24" spans="1:68" ht="15.75" customHeight="1">
      <c r="A24" s="16">
        <v>12</v>
      </c>
      <c r="B24" s="17" t="s">
        <v>25</v>
      </c>
      <c r="C24" s="27">
        <f>1/1.38796</f>
        <v>0.7204818582668088</v>
      </c>
      <c r="D24" s="19">
        <v>172.64</v>
      </c>
      <c r="E24" s="5"/>
      <c r="F24" s="27">
        <f>1/1.39182</f>
        <v>0.7184837119742495</v>
      </c>
      <c r="G24" s="19">
        <v>173.2</v>
      </c>
      <c r="H24" s="5"/>
      <c r="I24" s="27">
        <f>1/1.39227</f>
        <v>0.7182514885762101</v>
      </c>
      <c r="J24" s="19">
        <v>172.73</v>
      </c>
      <c r="K24" s="5"/>
      <c r="L24" s="27">
        <f>1/1.39586</f>
        <v>0.7164042239193041</v>
      </c>
      <c r="M24" s="19">
        <v>172.26</v>
      </c>
      <c r="N24" s="5"/>
      <c r="O24" s="27">
        <f>1/1.39992</f>
        <v>0.7143265329447397</v>
      </c>
      <c r="P24" s="19">
        <v>173.09</v>
      </c>
      <c r="Q24" s="5"/>
      <c r="R24" s="27">
        <f>1/1.39879</f>
        <v>0.7149035952501805</v>
      </c>
      <c r="S24" s="19">
        <v>171.05</v>
      </c>
      <c r="T24" s="5"/>
      <c r="U24" s="27">
        <f>1/1.40329</f>
        <v>0.7126110782518226</v>
      </c>
      <c r="V24" s="19">
        <v>170.28</v>
      </c>
      <c r="W24" s="5"/>
      <c r="X24" s="27">
        <f>1/1.40926</f>
        <v>0.7095922682826448</v>
      </c>
      <c r="Y24" s="19">
        <v>171.23</v>
      </c>
      <c r="Z24" s="5"/>
      <c r="AA24" s="27">
        <f>1/1.40525</f>
        <v>0.7116171499733143</v>
      </c>
      <c r="AB24" s="19">
        <v>171.01</v>
      </c>
      <c r="AC24" s="5"/>
      <c r="AD24" s="27">
        <f>1/1.40525</f>
        <v>0.7116171499733143</v>
      </c>
      <c r="AE24" s="19">
        <v>171.85</v>
      </c>
      <c r="AF24" s="5"/>
      <c r="AG24" s="27">
        <f>1/1.40656</f>
        <v>0.7109543851666477</v>
      </c>
      <c r="AH24" s="19">
        <v>173.07</v>
      </c>
      <c r="AI24" s="5"/>
      <c r="AJ24" s="27">
        <f>1/1.40435</f>
        <v>0.7120732011250757</v>
      </c>
      <c r="AK24" s="19">
        <v>168.85</v>
      </c>
      <c r="AL24" s="5"/>
      <c r="AM24" s="27">
        <f>1/1.41811</f>
        <v>0.7051639153521236</v>
      </c>
      <c r="AN24" s="19">
        <v>171.31</v>
      </c>
      <c r="AO24" s="5"/>
      <c r="AP24" s="27">
        <f>1/1.41363</f>
        <v>0.7073986828236526</v>
      </c>
      <c r="AQ24" s="19">
        <v>170.06</v>
      </c>
      <c r="AR24" s="5"/>
      <c r="AS24" s="27">
        <f>1/1.41748</f>
        <v>0.7054773259587437</v>
      </c>
      <c r="AT24" s="19">
        <v>170.87</v>
      </c>
      <c r="AU24" s="5"/>
      <c r="AV24" s="27">
        <f>1/1.41522</f>
        <v>0.7066039202385496</v>
      </c>
      <c r="AW24" s="19">
        <v>169.68</v>
      </c>
      <c r="AX24" s="5"/>
      <c r="AY24" s="27">
        <f>1/1.42034</f>
        <v>0.7040567751383472</v>
      </c>
      <c r="AZ24" s="19">
        <v>169.4</v>
      </c>
      <c r="BA24" s="5"/>
      <c r="BB24" s="27">
        <f>1/1.42034</f>
        <v>0.7040567751383472</v>
      </c>
      <c r="BC24" s="19">
        <v>168.17</v>
      </c>
      <c r="BD24" s="5"/>
      <c r="BE24" s="27">
        <f>1/1.4262</f>
        <v>0.7011639321273314</v>
      </c>
      <c r="BF24" s="19">
        <v>169.2</v>
      </c>
      <c r="BG24" s="5"/>
      <c r="BH24" s="27">
        <f>1/1.41497</f>
        <v>0.7067287645674466</v>
      </c>
      <c r="BI24" s="19">
        <v>168.5</v>
      </c>
      <c r="BJ24" s="5"/>
      <c r="BK24" s="27">
        <f>1/1.41573</f>
        <v>0.7063493745276289</v>
      </c>
      <c r="BL24" s="19">
        <v>167.59</v>
      </c>
      <c r="BM24" s="5"/>
      <c r="BN24" s="27">
        <f t="shared" si="0"/>
        <v>0.7103960052179278</v>
      </c>
      <c r="BO24" s="19">
        <f t="shared" si="1"/>
        <v>170.7638095238095</v>
      </c>
      <c r="BP24" s="5"/>
    </row>
    <row r="25" spans="1:68" ht="15.75" customHeight="1" thickBot="1">
      <c r="A25" s="35">
        <v>13</v>
      </c>
      <c r="B25" s="36" t="s">
        <v>26</v>
      </c>
      <c r="C25" s="28">
        <v>1</v>
      </c>
      <c r="D25" s="22">
        <v>124.39</v>
      </c>
      <c r="E25" s="21"/>
      <c r="F25" s="28">
        <v>1</v>
      </c>
      <c r="G25" s="22">
        <v>124.44</v>
      </c>
      <c r="H25" s="21"/>
      <c r="I25" s="28">
        <v>1</v>
      </c>
      <c r="J25" s="22">
        <v>124.06</v>
      </c>
      <c r="K25" s="21"/>
      <c r="L25" s="28">
        <v>1</v>
      </c>
      <c r="M25" s="22">
        <v>123.41</v>
      </c>
      <c r="N25" s="21"/>
      <c r="O25" s="28">
        <v>1</v>
      </c>
      <c r="P25" s="22">
        <v>123.64</v>
      </c>
      <c r="Q25" s="21"/>
      <c r="R25" s="28">
        <v>1</v>
      </c>
      <c r="S25" s="22">
        <v>122.29</v>
      </c>
      <c r="T25" s="21"/>
      <c r="U25" s="28">
        <v>1</v>
      </c>
      <c r="V25" s="22">
        <v>121.34</v>
      </c>
      <c r="W25" s="21"/>
      <c r="X25" s="28">
        <v>1</v>
      </c>
      <c r="Y25" s="22">
        <v>121.5</v>
      </c>
      <c r="Z25" s="21"/>
      <c r="AA25" s="28">
        <v>1</v>
      </c>
      <c r="AB25" s="22">
        <v>121.69</v>
      </c>
      <c r="AC25" s="21"/>
      <c r="AD25" s="28">
        <v>1</v>
      </c>
      <c r="AE25" s="22">
        <v>122.29</v>
      </c>
      <c r="AF25" s="21"/>
      <c r="AG25" s="28">
        <v>1</v>
      </c>
      <c r="AH25" s="22">
        <v>123.04</v>
      </c>
      <c r="AI25" s="21"/>
      <c r="AJ25" s="28">
        <v>1</v>
      </c>
      <c r="AK25" s="22">
        <v>120.24</v>
      </c>
      <c r="AL25" s="21"/>
      <c r="AM25" s="28">
        <v>1</v>
      </c>
      <c r="AN25" s="22">
        <v>120.8</v>
      </c>
      <c r="AO25" s="21"/>
      <c r="AP25" s="28">
        <v>1</v>
      </c>
      <c r="AQ25" s="22">
        <v>120.3</v>
      </c>
      <c r="AR25" s="21"/>
      <c r="AS25" s="28">
        <v>1</v>
      </c>
      <c r="AT25" s="22">
        <v>120.55</v>
      </c>
      <c r="AU25" s="21"/>
      <c r="AV25" s="28">
        <v>1</v>
      </c>
      <c r="AW25" s="22">
        <v>119.9</v>
      </c>
      <c r="AX25" s="21"/>
      <c r="AY25" s="28">
        <v>1</v>
      </c>
      <c r="AZ25" s="22">
        <v>119.27</v>
      </c>
      <c r="BA25" s="21"/>
      <c r="BB25" s="28">
        <v>1</v>
      </c>
      <c r="BC25" s="22">
        <v>118.4</v>
      </c>
      <c r="BD25" s="21"/>
      <c r="BE25" s="28">
        <v>1</v>
      </c>
      <c r="BF25" s="22">
        <v>118.64</v>
      </c>
      <c r="BG25" s="21"/>
      <c r="BH25" s="28">
        <v>1</v>
      </c>
      <c r="BI25" s="22">
        <v>119.08</v>
      </c>
      <c r="BJ25" s="21"/>
      <c r="BK25" s="28">
        <v>1</v>
      </c>
      <c r="BL25" s="22">
        <v>118.37</v>
      </c>
      <c r="BM25" s="21"/>
      <c r="BN25" s="28">
        <f t="shared" si="0"/>
        <v>1</v>
      </c>
      <c r="BO25" s="22">
        <f t="shared" si="1"/>
        <v>121.31619047619047</v>
      </c>
      <c r="BP25" s="21"/>
    </row>
    <row r="26" spans="1:68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AZ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4" sqref="BK4:BL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132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8" ht="15.75" customHeight="1">
      <c r="A4" s="6" t="s">
        <v>2</v>
      </c>
      <c r="B4" s="5"/>
      <c r="C4" s="4" t="s">
        <v>133</v>
      </c>
      <c r="D4" s="4"/>
      <c r="E4" s="10"/>
      <c r="F4" s="4" t="s">
        <v>134</v>
      </c>
      <c r="G4" s="4"/>
      <c r="H4" s="10"/>
      <c r="I4" s="4" t="s">
        <v>135</v>
      </c>
      <c r="J4" s="4"/>
      <c r="K4" s="10"/>
      <c r="L4" s="4" t="s">
        <v>136</v>
      </c>
      <c r="M4" s="4"/>
      <c r="N4" s="10"/>
      <c r="O4" s="4" t="s">
        <v>137</v>
      </c>
      <c r="P4" s="4"/>
      <c r="Q4" s="10"/>
      <c r="R4" s="4" t="s">
        <v>138</v>
      </c>
      <c r="S4" s="4"/>
      <c r="T4" s="10"/>
      <c r="U4" s="4" t="s">
        <v>139</v>
      </c>
      <c r="V4" s="4"/>
      <c r="W4" s="10"/>
      <c r="X4" s="4" t="s">
        <v>140</v>
      </c>
      <c r="Y4" s="4"/>
      <c r="Z4" s="10"/>
      <c r="AA4" s="4" t="s">
        <v>141</v>
      </c>
      <c r="AB4" s="4"/>
      <c r="AC4" s="10"/>
      <c r="AD4" s="4" t="s">
        <v>142</v>
      </c>
      <c r="AE4" s="4"/>
      <c r="AF4" s="10"/>
      <c r="AG4" s="4" t="s">
        <v>143</v>
      </c>
      <c r="AH4" s="4"/>
      <c r="AI4" s="10"/>
      <c r="AJ4" s="4" t="s">
        <v>144</v>
      </c>
      <c r="AK4" s="4"/>
      <c r="AL4" s="10"/>
      <c r="AM4" s="4" t="s">
        <v>145</v>
      </c>
      <c r="AN4" s="4"/>
      <c r="AO4" s="10"/>
      <c r="AP4" s="4" t="s">
        <v>146</v>
      </c>
      <c r="AQ4" s="4"/>
      <c r="AR4" s="10"/>
      <c r="AS4" s="4" t="s">
        <v>147</v>
      </c>
      <c r="AT4" s="4"/>
      <c r="AU4" s="10"/>
      <c r="AV4" s="4" t="s">
        <v>148</v>
      </c>
      <c r="AW4" s="4"/>
      <c r="AX4" s="10"/>
      <c r="AY4" s="4" t="s">
        <v>149</v>
      </c>
      <c r="AZ4" s="4"/>
      <c r="BA4" s="10"/>
      <c r="BB4" s="4" t="s">
        <v>150</v>
      </c>
      <c r="BC4" s="4"/>
      <c r="BD4" s="10"/>
      <c r="BE4" s="4" t="s">
        <v>151</v>
      </c>
      <c r="BF4" s="4"/>
      <c r="BG4" s="10"/>
      <c r="BH4" s="4" t="s">
        <v>152</v>
      </c>
      <c r="BI4" s="4"/>
      <c r="BJ4" s="26"/>
      <c r="BK4" s="4" t="s">
        <v>153</v>
      </c>
      <c r="BL4" s="4"/>
      <c r="BM4" s="26"/>
      <c r="BN4" s="4" t="s">
        <v>3</v>
      </c>
      <c r="BO4" s="4"/>
      <c r="BP4" s="26"/>
    </row>
    <row r="5" spans="1:68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26"/>
    </row>
    <row r="6" spans="1:68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</row>
    <row r="8" spans="1:68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</row>
    <row r="9" spans="1:68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</row>
    <row r="10" spans="1:68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8" ht="15.75" customHeight="1">
      <c r="A13" s="16">
        <v>1</v>
      </c>
      <c r="B13" s="17" t="s">
        <v>14</v>
      </c>
      <c r="C13" s="27">
        <v>118.44</v>
      </c>
      <c r="D13" s="19">
        <v>100.82</v>
      </c>
      <c r="E13" s="5"/>
      <c r="F13" s="27">
        <v>118.66</v>
      </c>
      <c r="G13" s="19">
        <v>100.39</v>
      </c>
      <c r="H13" s="5"/>
      <c r="I13" s="27">
        <v>118.53</v>
      </c>
      <c r="J13" s="19">
        <v>100.84</v>
      </c>
      <c r="K13" s="5"/>
      <c r="L13" s="27">
        <v>118.34</v>
      </c>
      <c r="M13" s="19">
        <v>101.7</v>
      </c>
      <c r="N13" s="5"/>
      <c r="O13" s="27">
        <v>117.79</v>
      </c>
      <c r="P13" s="19">
        <v>100.88</v>
      </c>
      <c r="Q13" s="5"/>
      <c r="R13" s="27">
        <v>118.37</v>
      </c>
      <c r="S13" s="19">
        <v>101.01</v>
      </c>
      <c r="T13" s="5"/>
      <c r="U13" s="27">
        <v>118.19</v>
      </c>
      <c r="V13" s="19">
        <v>101.05</v>
      </c>
      <c r="W13" s="5"/>
      <c r="X13" s="27">
        <v>117.64</v>
      </c>
      <c r="Y13" s="19">
        <v>101.57</v>
      </c>
      <c r="Z13" s="5"/>
      <c r="AA13" s="27">
        <v>117.73</v>
      </c>
      <c r="AB13" s="19">
        <v>101.11</v>
      </c>
      <c r="AC13" s="5"/>
      <c r="AD13" s="27">
        <v>117.64</v>
      </c>
      <c r="AE13" s="19">
        <v>101.16</v>
      </c>
      <c r="AF13" s="5"/>
      <c r="AG13" s="27">
        <v>117.52</v>
      </c>
      <c r="AH13" s="19">
        <v>100.56</v>
      </c>
      <c r="AI13" s="5"/>
      <c r="AJ13" s="27">
        <v>117.91</v>
      </c>
      <c r="AK13" s="19">
        <v>100.2</v>
      </c>
      <c r="AL13" s="5"/>
      <c r="AM13" s="27">
        <v>118.57</v>
      </c>
      <c r="AN13" s="19">
        <v>99.91</v>
      </c>
      <c r="AO13" s="5"/>
      <c r="AP13" s="27">
        <v>118.63</v>
      </c>
      <c r="AQ13" s="19">
        <v>100.47</v>
      </c>
      <c r="AR13" s="5"/>
      <c r="AS13" s="27">
        <v>118.3</v>
      </c>
      <c r="AT13" s="19">
        <v>100.46</v>
      </c>
      <c r="AU13" s="5"/>
      <c r="AV13" s="27">
        <v>117.99</v>
      </c>
      <c r="AW13" s="19">
        <v>101.02</v>
      </c>
      <c r="AX13" s="5"/>
      <c r="AY13" s="27">
        <v>117.7</v>
      </c>
      <c r="AZ13" s="19">
        <v>101.2</v>
      </c>
      <c r="BA13" s="5"/>
      <c r="BB13" s="27">
        <v>117.68</v>
      </c>
      <c r="BC13" s="19">
        <v>101.09</v>
      </c>
      <c r="BD13" s="5"/>
      <c r="BE13" s="27">
        <v>118.65</v>
      </c>
      <c r="BF13" s="19">
        <v>99.9</v>
      </c>
      <c r="BG13" s="5"/>
      <c r="BH13" s="27">
        <v>119.73</v>
      </c>
      <c r="BI13" s="19">
        <v>98.68</v>
      </c>
      <c r="BJ13" s="5"/>
      <c r="BK13" s="27">
        <v>119.98</v>
      </c>
      <c r="BL13" s="19">
        <v>98.74</v>
      </c>
      <c r="BM13" s="5"/>
      <c r="BN13" s="27">
        <f>(+C13+F13+I13+L13+O13+R13+U13+X13+AA13+AD13+AG13+AJ13+AM13+AP13+AS13+AV13+AY13+BB13+BE13+BH13+BK13)/21</f>
        <v>118.2852380952381</v>
      </c>
      <c r="BO13" s="19">
        <f>(+D13+G13+J13+M13+P13+S13+V13+Y13+AB13+AE13+AH13+AK13+AN13+AQ13+AT13+AW13+AZ13+BC13+BF13+BI13+BL13)/21</f>
        <v>100.60761904761905</v>
      </c>
      <c r="BP13" s="5"/>
    </row>
    <row r="14" spans="1:68" ht="15.75" customHeight="1">
      <c r="A14" s="16">
        <v>2</v>
      </c>
      <c r="B14" s="17" t="s">
        <v>15</v>
      </c>
      <c r="C14" s="27">
        <f>1/1.6287</f>
        <v>0.613986615091791</v>
      </c>
      <c r="D14" s="19">
        <v>194.48</v>
      </c>
      <c r="E14" s="5"/>
      <c r="F14" s="27">
        <f>1/1.6388</f>
        <v>0.6102025872589699</v>
      </c>
      <c r="G14" s="19">
        <v>195.22</v>
      </c>
      <c r="H14" s="5"/>
      <c r="I14" s="27">
        <f>1/1.6304</f>
        <v>0.6133464180569185</v>
      </c>
      <c r="J14" s="19">
        <v>194.87</v>
      </c>
      <c r="K14" s="5"/>
      <c r="L14" s="27">
        <f>1/1.6376</f>
        <v>0.6106497313141183</v>
      </c>
      <c r="M14" s="19">
        <v>197.09</v>
      </c>
      <c r="N14" s="5"/>
      <c r="O14" s="27">
        <f>1/1.667</f>
        <v>0.5998800239952009</v>
      </c>
      <c r="P14" s="19">
        <v>198.08</v>
      </c>
      <c r="Q14" s="5"/>
      <c r="R14" s="27">
        <f>1/1.6506</f>
        <v>0.605840300496789</v>
      </c>
      <c r="S14" s="19">
        <v>197.35</v>
      </c>
      <c r="T14" s="5"/>
      <c r="U14" s="27">
        <f>1/1.652</f>
        <v>0.6053268765133172</v>
      </c>
      <c r="V14" s="19">
        <v>197.3</v>
      </c>
      <c r="W14" s="5"/>
      <c r="X14" s="27">
        <f>1/1.6624</f>
        <v>0.6015399422521656</v>
      </c>
      <c r="Y14" s="19">
        <v>198.63</v>
      </c>
      <c r="Z14" s="5"/>
      <c r="AA14" s="27">
        <f>1/1.674</f>
        <v>0.5973715651135006</v>
      </c>
      <c r="AB14" s="19">
        <v>199.28</v>
      </c>
      <c r="AC14" s="5"/>
      <c r="AD14" s="27">
        <f>1/1.6705</f>
        <v>0.5986231667165519</v>
      </c>
      <c r="AE14" s="19">
        <v>198.8</v>
      </c>
      <c r="AF14" s="5"/>
      <c r="AG14" s="27">
        <f>1/1.6804</f>
        <v>0.5950964056177102</v>
      </c>
      <c r="AH14" s="19">
        <v>198.58</v>
      </c>
      <c r="AI14" s="5"/>
      <c r="AJ14" s="27">
        <f>1/1.6832</f>
        <v>0.594106463878327</v>
      </c>
      <c r="AK14" s="19">
        <v>198.87</v>
      </c>
      <c r="AL14" s="5"/>
      <c r="AM14" s="27">
        <f>1/1.6771</f>
        <v>0.5962673662870431</v>
      </c>
      <c r="AN14" s="19">
        <v>198.67</v>
      </c>
      <c r="AO14" s="5"/>
      <c r="AP14" s="27">
        <f>1/1.675</f>
        <v>0.5970149253731343</v>
      </c>
      <c r="AQ14" s="19">
        <v>199.65</v>
      </c>
      <c r="AR14" s="5"/>
      <c r="AS14" s="27">
        <f>1/1.6737</f>
        <v>0.5974786401386151</v>
      </c>
      <c r="AT14" s="19">
        <v>198.91</v>
      </c>
      <c r="AU14" s="5"/>
      <c r="AV14" s="27">
        <f>1/1.6586</f>
        <v>0.6029181237187989</v>
      </c>
      <c r="AW14" s="19">
        <v>197.69</v>
      </c>
      <c r="AX14" s="5"/>
      <c r="AY14" s="27">
        <f>1/1.6687</f>
        <v>0.5992688919518188</v>
      </c>
      <c r="AZ14" s="19">
        <v>198.75</v>
      </c>
      <c r="BA14" s="5"/>
      <c r="BB14" s="27">
        <f>1/1.6644</f>
        <v>0.600817111271329</v>
      </c>
      <c r="BC14" s="19">
        <v>197.99</v>
      </c>
      <c r="BD14" s="5"/>
      <c r="BE14" s="27">
        <f>1/1.663</f>
        <v>0.6013229104028863</v>
      </c>
      <c r="BF14" s="19">
        <v>197.12</v>
      </c>
      <c r="BG14" s="5"/>
      <c r="BH14" s="27">
        <f>1/1.6538</f>
        <v>0.6046680372475511</v>
      </c>
      <c r="BI14" s="19">
        <v>195.4</v>
      </c>
      <c r="BJ14" s="5"/>
      <c r="BK14" s="27">
        <f>1/1.6473</f>
        <v>0.607053967097675</v>
      </c>
      <c r="BL14" s="19">
        <v>195.15</v>
      </c>
      <c r="BM14" s="5"/>
      <c r="BN14" s="27">
        <f aca="true" t="shared" si="0" ref="BN14:BN25">(+C14+F14+I14+L14+O14+R14+U14+X14+AA14+AD14+AG14+AJ14+AM14+AP14+AS14+AV14+AY14+BB14+BE14+BH14+BK14)/21</f>
        <v>0.6025133366568672</v>
      </c>
      <c r="BO14" s="19">
        <f aca="true" t="shared" si="1" ref="BO14:BO25">(+D14+G14+J14+M14+P14+S14+V14+Y14+AB14+AE14+AH14+AK14+AN14+AQ14+AT14+AW14+AZ14+BC14+BF14+BI14+BL14)/21</f>
        <v>197.51809523809524</v>
      </c>
      <c r="BP14" s="5"/>
    </row>
    <row r="15" spans="1:68" ht="15.75" customHeight="1">
      <c r="A15" s="16">
        <v>3</v>
      </c>
      <c r="B15" s="17" t="s">
        <v>16</v>
      </c>
      <c r="C15" s="27">
        <v>1.3077</v>
      </c>
      <c r="D15" s="19">
        <v>91.31</v>
      </c>
      <c r="E15" s="5"/>
      <c r="F15" s="27">
        <v>1.3055</v>
      </c>
      <c r="G15" s="19">
        <v>91.25</v>
      </c>
      <c r="H15" s="5"/>
      <c r="I15" s="27">
        <v>1.3123</v>
      </c>
      <c r="J15" s="19">
        <v>91.08</v>
      </c>
      <c r="K15" s="5"/>
      <c r="L15" s="27">
        <v>1.3183</v>
      </c>
      <c r="M15" s="19">
        <v>91.29</v>
      </c>
      <c r="N15" s="5"/>
      <c r="O15" s="27">
        <v>1.304</v>
      </c>
      <c r="P15" s="19">
        <v>91.12</v>
      </c>
      <c r="Q15" s="5"/>
      <c r="R15" s="27">
        <v>1.3179</v>
      </c>
      <c r="S15" s="19">
        <v>90.72</v>
      </c>
      <c r="T15" s="5"/>
      <c r="U15" s="27">
        <v>1.3163</v>
      </c>
      <c r="V15" s="19">
        <v>90.73</v>
      </c>
      <c r="W15" s="5"/>
      <c r="X15" s="27">
        <v>1.3117</v>
      </c>
      <c r="Y15" s="19">
        <v>91.09</v>
      </c>
      <c r="Z15" s="5"/>
      <c r="AA15" s="27">
        <v>1.3082</v>
      </c>
      <c r="AB15" s="19">
        <v>91</v>
      </c>
      <c r="AC15" s="5"/>
      <c r="AD15" s="27">
        <v>1.3142</v>
      </c>
      <c r="AE15" s="19">
        <v>90.56</v>
      </c>
      <c r="AF15" s="5"/>
      <c r="AG15" s="27">
        <v>1.2963</v>
      </c>
      <c r="AH15" s="19">
        <v>91.16</v>
      </c>
      <c r="AI15" s="5"/>
      <c r="AJ15" s="27">
        <v>1.3024</v>
      </c>
      <c r="AK15" s="19">
        <v>90.72</v>
      </c>
      <c r="AL15" s="5"/>
      <c r="AM15" s="27">
        <v>1.3155</v>
      </c>
      <c r="AN15" s="19">
        <v>90.05</v>
      </c>
      <c r="AO15" s="5"/>
      <c r="AP15" s="27">
        <v>1.3325</v>
      </c>
      <c r="AQ15" s="19">
        <v>89.45</v>
      </c>
      <c r="AR15" s="5"/>
      <c r="AS15" s="27">
        <v>1.32</v>
      </c>
      <c r="AT15" s="19">
        <v>90.03</v>
      </c>
      <c r="AU15" s="5"/>
      <c r="AV15" s="27">
        <v>1.3276</v>
      </c>
      <c r="AW15" s="19">
        <v>89.78</v>
      </c>
      <c r="AX15" s="5"/>
      <c r="AY15" s="27">
        <v>1.3211</v>
      </c>
      <c r="AZ15" s="19">
        <v>90.16</v>
      </c>
      <c r="BA15" s="5"/>
      <c r="BB15" s="27">
        <v>1.3276</v>
      </c>
      <c r="BC15" s="19">
        <v>89.6</v>
      </c>
      <c r="BD15" s="5"/>
      <c r="BE15" s="27">
        <v>1.3418</v>
      </c>
      <c r="BF15" s="19">
        <v>88.34</v>
      </c>
      <c r="BG15" s="5"/>
      <c r="BH15" s="27">
        <v>1.3542</v>
      </c>
      <c r="BI15" s="19">
        <v>87.25</v>
      </c>
      <c r="BJ15" s="5"/>
      <c r="BK15" s="27">
        <v>1.3588</v>
      </c>
      <c r="BL15" s="19">
        <v>87.18</v>
      </c>
      <c r="BM15" s="5"/>
      <c r="BN15" s="27">
        <f t="shared" si="0"/>
        <v>1.3197095238095238</v>
      </c>
      <c r="BO15" s="19">
        <f t="shared" si="1"/>
        <v>90.1842857142857</v>
      </c>
      <c r="BP15" s="5"/>
    </row>
    <row r="16" spans="1:68" ht="15.75" customHeight="1">
      <c r="A16" s="16">
        <v>4</v>
      </c>
      <c r="B16" s="17" t="s">
        <v>17</v>
      </c>
      <c r="C16" s="27">
        <f>1/1.1682</f>
        <v>0.8560178051703476</v>
      </c>
      <c r="D16" s="19">
        <v>139.49</v>
      </c>
      <c r="E16" s="5"/>
      <c r="F16" s="27">
        <f>1/1.174</f>
        <v>0.8517887563884157</v>
      </c>
      <c r="G16" s="19">
        <v>139.85</v>
      </c>
      <c r="H16" s="5"/>
      <c r="I16" s="27">
        <f>1/1.1706</f>
        <v>0.8542627712284298</v>
      </c>
      <c r="J16" s="19">
        <v>139.91</v>
      </c>
      <c r="K16" s="5"/>
      <c r="L16" s="27">
        <f>1/1.1684</f>
        <v>0.8558712769599451</v>
      </c>
      <c r="M16" s="19">
        <v>140.62</v>
      </c>
      <c r="N16" s="5"/>
      <c r="O16" s="27">
        <f>1/1.1838</f>
        <v>0.8447372867038352</v>
      </c>
      <c r="P16" s="19">
        <v>140.67</v>
      </c>
      <c r="Q16" s="5"/>
      <c r="R16" s="27">
        <f>1/1.1724</f>
        <v>0.8529512111907198</v>
      </c>
      <c r="S16" s="19">
        <v>140.17</v>
      </c>
      <c r="T16" s="5"/>
      <c r="U16" s="27">
        <f>1/1.1713</f>
        <v>0.8537522410996329</v>
      </c>
      <c r="V16" s="19">
        <v>139.89</v>
      </c>
      <c r="W16" s="5"/>
      <c r="X16" s="27">
        <f>1/1.1716</f>
        <v>0.8535336292249914</v>
      </c>
      <c r="Y16" s="19">
        <v>139.99</v>
      </c>
      <c r="Z16" s="5"/>
      <c r="AA16" s="27">
        <f>1/1.1747</f>
        <v>0.8512811781731505</v>
      </c>
      <c r="AB16" s="19">
        <v>139.84</v>
      </c>
      <c r="AC16" s="5"/>
      <c r="AD16" s="27">
        <f>1/1.1782</f>
        <v>0.8487523340689187</v>
      </c>
      <c r="AE16" s="19">
        <v>140.21</v>
      </c>
      <c r="AF16" s="5"/>
      <c r="AG16" s="27">
        <f>1/1.1896</f>
        <v>0.8406186953597848</v>
      </c>
      <c r="AH16" s="19">
        <v>140.58</v>
      </c>
      <c r="AI16" s="5"/>
      <c r="AJ16" s="27">
        <f>1/1.1834</f>
        <v>0.8450228156160217</v>
      </c>
      <c r="AK16" s="19">
        <v>139.82</v>
      </c>
      <c r="AL16" s="5"/>
      <c r="AM16" s="27">
        <f>1/1.1726</f>
        <v>0.8528057308545113</v>
      </c>
      <c r="AN16" s="19">
        <v>138.9</v>
      </c>
      <c r="AO16" s="5"/>
      <c r="AP16" s="27">
        <f>1/1.1647</f>
        <v>0.8585901948999742</v>
      </c>
      <c r="AQ16" s="19">
        <v>138.82</v>
      </c>
      <c r="AR16" s="5"/>
      <c r="AS16" s="27">
        <f>1/1.1691</f>
        <v>0.8553588230262595</v>
      </c>
      <c r="AT16" s="19">
        <v>138.94</v>
      </c>
      <c r="AU16" s="5"/>
      <c r="AV16" s="27">
        <f>1/1.1536</f>
        <v>0.8668515950069349</v>
      </c>
      <c r="AW16" s="19">
        <v>137.5</v>
      </c>
      <c r="AX16" s="5"/>
      <c r="AY16" s="27">
        <f>1/1.1576</f>
        <v>0.8638562543192813</v>
      </c>
      <c r="AZ16" s="19">
        <v>137.88</v>
      </c>
      <c r="BA16" s="5"/>
      <c r="BB16" s="27">
        <f>1/1.1521</f>
        <v>0.867980210051211</v>
      </c>
      <c r="BC16" s="19">
        <v>137.05</v>
      </c>
      <c r="BD16" s="5"/>
      <c r="BE16" s="27">
        <f>1/1.1476</f>
        <v>0.871383757406762</v>
      </c>
      <c r="BF16" s="19">
        <v>136.03</v>
      </c>
      <c r="BG16" s="5"/>
      <c r="BH16" s="27">
        <f>1/1.1417</f>
        <v>0.8758868354208637</v>
      </c>
      <c r="BI16" s="19">
        <v>134.89</v>
      </c>
      <c r="BJ16" s="5"/>
      <c r="BK16" s="27">
        <f>1/1.1414</f>
        <v>0.8761170492377782</v>
      </c>
      <c r="BL16" s="19">
        <v>135.22</v>
      </c>
      <c r="BM16" s="5"/>
      <c r="BN16" s="27">
        <f t="shared" si="0"/>
        <v>0.8570200214956081</v>
      </c>
      <c r="BO16" s="19">
        <f t="shared" si="1"/>
        <v>138.87</v>
      </c>
      <c r="BP16" s="5"/>
    </row>
    <row r="17" spans="1:68" ht="15.75" customHeight="1">
      <c r="A17" s="16">
        <v>5</v>
      </c>
      <c r="B17" s="17" t="s">
        <v>18</v>
      </c>
      <c r="C17" s="27">
        <v>361</v>
      </c>
      <c r="D17" s="19">
        <v>43106.11</v>
      </c>
      <c r="E17" s="5"/>
      <c r="F17" s="27">
        <v>365.25</v>
      </c>
      <c r="G17" s="19">
        <v>43510.71</v>
      </c>
      <c r="H17" s="5"/>
      <c r="I17" s="27">
        <v>365.1</v>
      </c>
      <c r="J17" s="19">
        <v>43636.75</v>
      </c>
      <c r="K17" s="5"/>
      <c r="L17" s="27">
        <v>362.5</v>
      </c>
      <c r="M17" s="19">
        <v>43628.08</v>
      </c>
      <c r="N17" s="5"/>
      <c r="O17" s="27">
        <v>367.1</v>
      </c>
      <c r="P17" s="19">
        <v>43620.96</v>
      </c>
      <c r="Q17" s="5"/>
      <c r="R17" s="27">
        <v>362.4</v>
      </c>
      <c r="S17" s="19">
        <v>43328.85</v>
      </c>
      <c r="T17" s="5"/>
      <c r="U17" s="27">
        <v>359.75</v>
      </c>
      <c r="V17" s="19">
        <v>42964.94</v>
      </c>
      <c r="W17" s="5"/>
      <c r="X17" s="27">
        <v>353.9</v>
      </c>
      <c r="Y17" s="19">
        <v>42285.74</v>
      </c>
      <c r="Z17" s="5"/>
      <c r="AA17" s="27">
        <v>354.2</v>
      </c>
      <c r="AB17" s="19">
        <v>42164.85</v>
      </c>
      <c r="AC17" s="5"/>
      <c r="AD17" s="27">
        <v>354.1</v>
      </c>
      <c r="AE17" s="19">
        <v>42140.56</v>
      </c>
      <c r="AF17" s="5"/>
      <c r="AG17" s="27">
        <v>359.3</v>
      </c>
      <c r="AH17" s="19">
        <v>42460.28</v>
      </c>
      <c r="AI17" s="5"/>
      <c r="AJ17" s="27">
        <v>359.8</v>
      </c>
      <c r="AK17" s="19">
        <v>42510.07</v>
      </c>
      <c r="AL17" s="5"/>
      <c r="AM17" s="27">
        <v>361.2</v>
      </c>
      <c r="AN17" s="19">
        <v>42786.85</v>
      </c>
      <c r="AO17" s="5"/>
      <c r="AP17" s="27">
        <v>356.2</v>
      </c>
      <c r="AQ17" s="19">
        <v>42456.07</v>
      </c>
      <c r="AR17" s="5"/>
      <c r="AS17" s="27">
        <v>359.75</v>
      </c>
      <c r="AT17" s="19">
        <v>42753.59</v>
      </c>
      <c r="AU17" s="5"/>
      <c r="AV17" s="27">
        <v>356</v>
      </c>
      <c r="AW17" s="19">
        <v>42431.94</v>
      </c>
      <c r="AX17" s="5"/>
      <c r="AY17" s="27">
        <v>354.4</v>
      </c>
      <c r="AZ17" s="19">
        <v>42211.7</v>
      </c>
      <c r="BA17" s="5"/>
      <c r="BB17" s="27">
        <v>347.75</v>
      </c>
      <c r="BC17" s="19">
        <v>41367.76</v>
      </c>
      <c r="BD17" s="5"/>
      <c r="BE17" s="27">
        <v>345.6</v>
      </c>
      <c r="BF17" s="19">
        <v>40965.12</v>
      </c>
      <c r="BG17" s="5"/>
      <c r="BH17" s="27">
        <v>343.4</v>
      </c>
      <c r="BI17" s="19">
        <v>40572.71</v>
      </c>
      <c r="BJ17" s="5"/>
      <c r="BK17" s="27">
        <v>344.8</v>
      </c>
      <c r="BL17" s="19">
        <v>40847.31</v>
      </c>
      <c r="BM17" s="5"/>
      <c r="BN17" s="27">
        <f t="shared" si="0"/>
        <v>356.8333333333333</v>
      </c>
      <c r="BO17" s="19">
        <f t="shared" si="1"/>
        <v>42464.33095238094</v>
      </c>
      <c r="BP17" s="5"/>
    </row>
    <row r="18" spans="1:68" ht="15.75" customHeight="1">
      <c r="A18" s="16">
        <v>6</v>
      </c>
      <c r="B18" s="20" t="s">
        <v>19</v>
      </c>
      <c r="C18" s="27">
        <v>4.5</v>
      </c>
      <c r="D18" s="19">
        <v>537.33</v>
      </c>
      <c r="E18" s="5"/>
      <c r="F18" s="27">
        <v>4.5</v>
      </c>
      <c r="G18" s="19">
        <v>536.07</v>
      </c>
      <c r="H18" s="5"/>
      <c r="I18" s="27">
        <v>4.51</v>
      </c>
      <c r="J18" s="19">
        <v>539.04</v>
      </c>
      <c r="K18" s="5"/>
      <c r="L18" s="27">
        <v>4.5</v>
      </c>
      <c r="M18" s="19">
        <v>541.59</v>
      </c>
      <c r="N18" s="5"/>
      <c r="O18" s="27">
        <v>4.53</v>
      </c>
      <c r="P18" s="19">
        <v>538.28</v>
      </c>
      <c r="Q18" s="5"/>
      <c r="R18" s="27">
        <v>4.53</v>
      </c>
      <c r="S18" s="19">
        <v>541.61</v>
      </c>
      <c r="T18" s="5"/>
      <c r="U18" s="27">
        <v>4.5</v>
      </c>
      <c r="V18" s="19">
        <v>537.44</v>
      </c>
      <c r="W18" s="5"/>
      <c r="X18" s="27">
        <v>4.48</v>
      </c>
      <c r="Y18" s="19">
        <v>535.29</v>
      </c>
      <c r="Z18" s="5"/>
      <c r="AA18" s="27">
        <v>4.49</v>
      </c>
      <c r="AB18" s="19">
        <v>534.5</v>
      </c>
      <c r="AC18" s="5"/>
      <c r="AD18" s="27">
        <v>4.5</v>
      </c>
      <c r="AE18" s="19">
        <v>535.53</v>
      </c>
      <c r="AF18" s="5"/>
      <c r="AG18" s="27">
        <v>4.6</v>
      </c>
      <c r="AH18" s="19">
        <v>543.61</v>
      </c>
      <c r="AI18" s="5"/>
      <c r="AJ18" s="27">
        <v>4.61</v>
      </c>
      <c r="AK18" s="19">
        <v>544.67</v>
      </c>
      <c r="AL18" s="5"/>
      <c r="AM18" s="27">
        <v>4.56</v>
      </c>
      <c r="AN18" s="19">
        <v>540.17</v>
      </c>
      <c r="AO18" s="5"/>
      <c r="AP18" s="27">
        <v>4.52</v>
      </c>
      <c r="AQ18" s="19">
        <v>538.75</v>
      </c>
      <c r="AR18" s="5"/>
      <c r="AS18" s="27">
        <v>4.55</v>
      </c>
      <c r="AT18" s="19">
        <v>540.73</v>
      </c>
      <c r="AU18" s="5"/>
      <c r="AV18" s="27">
        <v>4.52</v>
      </c>
      <c r="AW18" s="19">
        <v>538.74</v>
      </c>
      <c r="AX18" s="5"/>
      <c r="AY18" s="27">
        <v>4.55</v>
      </c>
      <c r="AZ18" s="19">
        <v>541.94</v>
      </c>
      <c r="BA18" s="5"/>
      <c r="BB18" s="27">
        <v>4.5</v>
      </c>
      <c r="BC18" s="19">
        <v>535.31</v>
      </c>
      <c r="BD18" s="5"/>
      <c r="BE18" s="27">
        <v>4.53</v>
      </c>
      <c r="BF18" s="19">
        <v>536.96</v>
      </c>
      <c r="BG18" s="5"/>
      <c r="BH18" s="27">
        <v>4.51</v>
      </c>
      <c r="BI18" s="19">
        <v>532.86</v>
      </c>
      <c r="BJ18" s="5"/>
      <c r="BK18" s="27">
        <v>4.5</v>
      </c>
      <c r="BL18" s="19">
        <v>533.1</v>
      </c>
      <c r="BM18" s="5"/>
      <c r="BN18" s="27">
        <f t="shared" si="0"/>
        <v>4.523333333333333</v>
      </c>
      <c r="BO18" s="19">
        <f t="shared" si="1"/>
        <v>538.2628571428572</v>
      </c>
      <c r="BP18" s="5"/>
    </row>
    <row r="19" spans="1:68" ht="15.75" customHeight="1">
      <c r="A19" s="16">
        <v>7</v>
      </c>
      <c r="B19" s="17" t="s">
        <v>20</v>
      </c>
      <c r="C19" s="27">
        <f>1/0.6514</f>
        <v>1.5351550506601168</v>
      </c>
      <c r="D19" s="19">
        <v>77.78</v>
      </c>
      <c r="E19" s="5"/>
      <c r="F19" s="27">
        <f>1/0.658</f>
        <v>1.519756838905775</v>
      </c>
      <c r="G19" s="19">
        <v>78.38</v>
      </c>
      <c r="H19" s="5"/>
      <c r="I19" s="27">
        <f>1/0.6634</f>
        <v>1.507386192342478</v>
      </c>
      <c r="J19" s="19">
        <v>79.29</v>
      </c>
      <c r="K19" s="5"/>
      <c r="L19" s="27">
        <f>1/0.6628</f>
        <v>1.5087507543753773</v>
      </c>
      <c r="M19" s="19">
        <v>79.77</v>
      </c>
      <c r="N19" s="5"/>
      <c r="O19" s="27">
        <f>1/0.6659</f>
        <v>1.5017269860339388</v>
      </c>
      <c r="P19" s="19">
        <v>79.13</v>
      </c>
      <c r="Q19" s="5"/>
      <c r="R19" s="27">
        <f>1/0.6594</f>
        <v>1.5165301789505612</v>
      </c>
      <c r="S19" s="19">
        <v>78.84</v>
      </c>
      <c r="T19" s="5"/>
      <c r="U19" s="27">
        <f>1/0.6573</f>
        <v>1.5213753232922562</v>
      </c>
      <c r="V19" s="19">
        <v>78.5</v>
      </c>
      <c r="W19" s="5"/>
      <c r="X19" s="27">
        <f>1/0.658</f>
        <v>1.519756838905775</v>
      </c>
      <c r="Y19" s="19">
        <v>78.62</v>
      </c>
      <c r="Z19" s="5"/>
      <c r="AA19" s="27">
        <f>1/0.6638</f>
        <v>1.5064778547755349</v>
      </c>
      <c r="AB19" s="19">
        <v>79.02</v>
      </c>
      <c r="AC19" s="5"/>
      <c r="AD19" s="27">
        <f>1/0.6644</f>
        <v>1.5051173991571343</v>
      </c>
      <c r="AE19" s="19">
        <v>79.07</v>
      </c>
      <c r="AF19" s="5"/>
      <c r="AG19" s="27">
        <f>1/0.6686</f>
        <v>1.4956625785222855</v>
      </c>
      <c r="AH19" s="19">
        <v>79.01</v>
      </c>
      <c r="AI19" s="5"/>
      <c r="AJ19" s="27">
        <f>1/0.6689</f>
        <v>1.4949917775452235</v>
      </c>
      <c r="AK19" s="19">
        <v>79.03</v>
      </c>
      <c r="AL19" s="5"/>
      <c r="AM19" s="27">
        <f>1/0.6705</f>
        <v>1.4914243102162565</v>
      </c>
      <c r="AN19" s="19">
        <v>79.43</v>
      </c>
      <c r="AO19" s="5"/>
      <c r="AP19" s="27">
        <f>1/0.6682</f>
        <v>1.4965579167913798</v>
      </c>
      <c r="AQ19" s="19">
        <v>79.64</v>
      </c>
      <c r="AR19" s="5"/>
      <c r="AS19" s="27">
        <f>1/0.6709</f>
        <v>1.4905351021016544</v>
      </c>
      <c r="AT19" s="19">
        <v>79.73</v>
      </c>
      <c r="AU19" s="5"/>
      <c r="AV19" s="27">
        <f>1/0.6636</f>
        <v>1.5069318866787222</v>
      </c>
      <c r="AW19" s="19">
        <v>79.1</v>
      </c>
      <c r="AX19" s="5"/>
      <c r="AY19" s="27">
        <f>1/0.6646</f>
        <v>1.504664459825459</v>
      </c>
      <c r="AZ19" s="19">
        <v>79.16</v>
      </c>
      <c r="BA19" s="5"/>
      <c r="BB19" s="27">
        <f>1/0.6663</f>
        <v>1.5008254539997</v>
      </c>
      <c r="BC19" s="19">
        <v>79.26</v>
      </c>
      <c r="BD19" s="5"/>
      <c r="BE19" s="27">
        <f>1/0.669</f>
        <v>1.4947683109118086</v>
      </c>
      <c r="BF19" s="19">
        <v>79.3</v>
      </c>
      <c r="BG19" s="5"/>
      <c r="BH19" s="27">
        <f>1/0.665</f>
        <v>1.5037593984962405</v>
      </c>
      <c r="BI19" s="19">
        <v>78.57</v>
      </c>
      <c r="BJ19" s="18"/>
      <c r="BK19" s="27">
        <f>1/0.6672</f>
        <v>1.498800959232614</v>
      </c>
      <c r="BL19" s="19">
        <v>79.04</v>
      </c>
      <c r="BM19" s="18"/>
      <c r="BN19" s="27">
        <f t="shared" si="0"/>
        <v>1.5057597891295376</v>
      </c>
      <c r="BO19" s="19">
        <f t="shared" si="1"/>
        <v>79.03190476190476</v>
      </c>
      <c r="BP19" s="18"/>
    </row>
    <row r="20" spans="1:68" ht="15.75" customHeight="1">
      <c r="A20" s="16">
        <v>8</v>
      </c>
      <c r="B20" s="17" t="s">
        <v>21</v>
      </c>
      <c r="C20" s="27">
        <v>1.3764</v>
      </c>
      <c r="D20" s="19">
        <v>86.75</v>
      </c>
      <c r="E20" s="5"/>
      <c r="F20" s="27">
        <v>1.3674</v>
      </c>
      <c r="G20" s="19">
        <v>87.12</v>
      </c>
      <c r="H20" s="5"/>
      <c r="I20" s="27">
        <v>1.3602</v>
      </c>
      <c r="J20" s="19">
        <v>87.87</v>
      </c>
      <c r="K20" s="5"/>
      <c r="L20" s="27">
        <v>1.3572</v>
      </c>
      <c r="M20" s="19">
        <v>88.68</v>
      </c>
      <c r="N20" s="5"/>
      <c r="O20" s="27">
        <v>1.3407</v>
      </c>
      <c r="P20" s="19">
        <v>88.63</v>
      </c>
      <c r="Q20" s="5"/>
      <c r="R20" s="27">
        <v>1.3588</v>
      </c>
      <c r="S20" s="19">
        <v>87.99</v>
      </c>
      <c r="T20" s="5"/>
      <c r="U20" s="27">
        <v>1.3581</v>
      </c>
      <c r="V20" s="19">
        <v>87.94</v>
      </c>
      <c r="W20" s="5"/>
      <c r="X20" s="27">
        <v>1.3594</v>
      </c>
      <c r="Y20" s="19">
        <v>87.9</v>
      </c>
      <c r="Z20" s="5"/>
      <c r="AA20" s="27">
        <v>1.3496</v>
      </c>
      <c r="AB20" s="19">
        <v>88.21</v>
      </c>
      <c r="AC20" s="5"/>
      <c r="AD20" s="27">
        <v>1.3468</v>
      </c>
      <c r="AE20" s="19">
        <v>88.36</v>
      </c>
      <c r="AF20" s="5"/>
      <c r="AG20" s="27">
        <v>1.3113</v>
      </c>
      <c r="AH20" s="19">
        <v>90.12</v>
      </c>
      <c r="AI20" s="5"/>
      <c r="AJ20" s="27">
        <v>1.3425</v>
      </c>
      <c r="AK20" s="19">
        <v>88.01</v>
      </c>
      <c r="AL20" s="5"/>
      <c r="AM20" s="27">
        <v>1.3414</v>
      </c>
      <c r="AN20" s="19">
        <v>88.31</v>
      </c>
      <c r="AO20" s="5"/>
      <c r="AP20" s="27">
        <v>1.3435</v>
      </c>
      <c r="AQ20" s="19">
        <v>88.72</v>
      </c>
      <c r="AR20" s="5"/>
      <c r="AS20" s="27">
        <v>1.3417</v>
      </c>
      <c r="AT20" s="19">
        <v>88.58</v>
      </c>
      <c r="AU20" s="5"/>
      <c r="AV20" s="27">
        <v>1.3662</v>
      </c>
      <c r="AW20" s="19">
        <v>87.24</v>
      </c>
      <c r="AX20" s="5"/>
      <c r="AY20" s="27">
        <v>1.3565</v>
      </c>
      <c r="AZ20" s="19">
        <v>87.81</v>
      </c>
      <c r="BA20" s="5"/>
      <c r="BB20" s="27">
        <v>1.3549</v>
      </c>
      <c r="BC20" s="19">
        <v>87.8</v>
      </c>
      <c r="BD20" s="5"/>
      <c r="BE20" s="27">
        <v>1.3483</v>
      </c>
      <c r="BF20" s="19">
        <v>87.91</v>
      </c>
      <c r="BG20" s="5"/>
      <c r="BH20" s="27">
        <v>1.3534</v>
      </c>
      <c r="BI20" s="19">
        <v>87.3</v>
      </c>
      <c r="BJ20" s="5"/>
      <c r="BK20" s="27">
        <v>1.3508</v>
      </c>
      <c r="BL20" s="19">
        <v>87.7</v>
      </c>
      <c r="BM20" s="5"/>
      <c r="BN20" s="27">
        <f t="shared" si="0"/>
        <v>1.3516714285714286</v>
      </c>
      <c r="BO20" s="19">
        <f t="shared" si="1"/>
        <v>88.04523809523809</v>
      </c>
      <c r="BP20" s="5"/>
    </row>
    <row r="21" spans="1:68" ht="15.75" customHeight="1">
      <c r="A21" s="16">
        <v>9</v>
      </c>
      <c r="B21" s="17" t="s">
        <v>22</v>
      </c>
      <c r="C21" s="27">
        <v>7.7903</v>
      </c>
      <c r="D21" s="19">
        <v>15.33</v>
      </c>
      <c r="E21" s="5"/>
      <c r="F21" s="27">
        <v>7.7692</v>
      </c>
      <c r="G21" s="19">
        <v>15.33</v>
      </c>
      <c r="H21" s="5"/>
      <c r="I21" s="27">
        <v>7.7685</v>
      </c>
      <c r="J21" s="19">
        <v>15.39</v>
      </c>
      <c r="K21" s="5"/>
      <c r="L21" s="27">
        <v>7.8004</v>
      </c>
      <c r="M21" s="19">
        <v>15.43</v>
      </c>
      <c r="N21" s="5"/>
      <c r="O21" s="27">
        <v>7.6963</v>
      </c>
      <c r="P21" s="19">
        <v>15.44</v>
      </c>
      <c r="Q21" s="5"/>
      <c r="R21" s="27">
        <v>7.767</v>
      </c>
      <c r="S21" s="19">
        <v>15.39</v>
      </c>
      <c r="T21" s="5"/>
      <c r="U21" s="27">
        <v>7.7788</v>
      </c>
      <c r="V21" s="19">
        <v>15.35</v>
      </c>
      <c r="W21" s="5"/>
      <c r="X21" s="27">
        <v>7.7755</v>
      </c>
      <c r="Y21" s="19">
        <v>15.37</v>
      </c>
      <c r="Z21" s="5"/>
      <c r="AA21" s="27">
        <v>7.734</v>
      </c>
      <c r="AB21" s="19">
        <v>15.39</v>
      </c>
      <c r="AC21" s="5"/>
      <c r="AD21" s="27">
        <v>7.692</v>
      </c>
      <c r="AE21" s="19">
        <v>15.47</v>
      </c>
      <c r="AF21" s="5"/>
      <c r="AG21" s="27">
        <v>7.6444</v>
      </c>
      <c r="AH21" s="19">
        <v>15.46</v>
      </c>
      <c r="AI21" s="5"/>
      <c r="AJ21" s="27">
        <v>7.6575</v>
      </c>
      <c r="AK21" s="19">
        <v>15.43</v>
      </c>
      <c r="AL21" s="5"/>
      <c r="AM21" s="27">
        <v>7.71</v>
      </c>
      <c r="AN21" s="19">
        <v>15.36</v>
      </c>
      <c r="AO21" s="5"/>
      <c r="AP21" s="27">
        <v>7.769</v>
      </c>
      <c r="AQ21" s="19">
        <v>15.34</v>
      </c>
      <c r="AR21" s="5"/>
      <c r="AS21" s="27">
        <v>7.7537</v>
      </c>
      <c r="AT21" s="19">
        <v>15.33</v>
      </c>
      <c r="AU21" s="5"/>
      <c r="AV21" s="27">
        <v>7.8692</v>
      </c>
      <c r="AW21" s="19">
        <v>15.15</v>
      </c>
      <c r="AX21" s="5"/>
      <c r="AY21" s="27">
        <v>7.8795</v>
      </c>
      <c r="AZ21" s="19">
        <v>15.12</v>
      </c>
      <c r="BA21" s="5"/>
      <c r="BB21" s="27">
        <v>7.9387</v>
      </c>
      <c r="BC21" s="19">
        <v>14.98</v>
      </c>
      <c r="BD21" s="5"/>
      <c r="BE21" s="27">
        <v>7.981</v>
      </c>
      <c r="BF21" s="19">
        <v>14.85</v>
      </c>
      <c r="BG21" s="5"/>
      <c r="BH21" s="27">
        <v>8.019</v>
      </c>
      <c r="BI21" s="19">
        <v>14.73</v>
      </c>
      <c r="BJ21" s="5"/>
      <c r="BK21" s="27">
        <v>8.0318</v>
      </c>
      <c r="BL21" s="19">
        <v>14.75</v>
      </c>
      <c r="BM21" s="5"/>
      <c r="BN21" s="27">
        <f t="shared" si="0"/>
        <v>7.801228571428572</v>
      </c>
      <c r="BO21" s="19">
        <f t="shared" si="1"/>
        <v>15.256666666666671</v>
      </c>
      <c r="BP21" s="5"/>
    </row>
    <row r="22" spans="1:68" ht="15.75" customHeight="1">
      <c r="A22" s="16">
        <v>10</v>
      </c>
      <c r="B22" s="17" t="s">
        <v>23</v>
      </c>
      <c r="C22" s="27">
        <v>6.7385</v>
      </c>
      <c r="D22" s="19">
        <v>17.72</v>
      </c>
      <c r="E22" s="5"/>
      <c r="F22" s="27">
        <v>6.7619</v>
      </c>
      <c r="G22" s="19">
        <v>17.62</v>
      </c>
      <c r="H22" s="5"/>
      <c r="I22" s="27">
        <v>6.8876</v>
      </c>
      <c r="J22" s="19">
        <v>17.35</v>
      </c>
      <c r="K22" s="5"/>
      <c r="L22" s="27">
        <v>6.968</v>
      </c>
      <c r="M22" s="19">
        <v>17.27</v>
      </c>
      <c r="N22" s="5"/>
      <c r="O22" s="27">
        <v>6.893</v>
      </c>
      <c r="P22" s="19">
        <v>17.24</v>
      </c>
      <c r="Q22" s="5"/>
      <c r="R22" s="27">
        <v>6.9409</v>
      </c>
      <c r="S22" s="19">
        <v>17.23</v>
      </c>
      <c r="T22" s="5"/>
      <c r="U22" s="27">
        <v>7.0192</v>
      </c>
      <c r="V22" s="19">
        <v>17.01</v>
      </c>
      <c r="W22" s="5"/>
      <c r="X22" s="27">
        <v>6.969</v>
      </c>
      <c r="Y22" s="19">
        <v>17.15</v>
      </c>
      <c r="Z22" s="5"/>
      <c r="AA22" s="27">
        <v>7.0063</v>
      </c>
      <c r="AB22" s="19">
        <v>16.99</v>
      </c>
      <c r="AC22" s="5"/>
      <c r="AD22" s="27">
        <v>6.9293</v>
      </c>
      <c r="AE22" s="19">
        <v>17.17</v>
      </c>
      <c r="AF22" s="5"/>
      <c r="AG22" s="27">
        <v>6.9122</v>
      </c>
      <c r="AH22" s="19">
        <v>17.1</v>
      </c>
      <c r="AI22" s="5"/>
      <c r="AJ22" s="27">
        <v>6.9424</v>
      </c>
      <c r="AK22" s="19">
        <v>17.02</v>
      </c>
      <c r="AL22" s="5"/>
      <c r="AM22" s="27">
        <v>6.957</v>
      </c>
      <c r="AN22" s="19">
        <v>17.03</v>
      </c>
      <c r="AO22" s="5"/>
      <c r="AP22" s="27">
        <v>6.9797</v>
      </c>
      <c r="AQ22" s="19">
        <v>17.08</v>
      </c>
      <c r="AR22" s="5"/>
      <c r="AS22" s="27">
        <v>6.9779</v>
      </c>
      <c r="AT22" s="19">
        <v>17.03</v>
      </c>
      <c r="AU22" s="5"/>
      <c r="AV22" s="27">
        <v>7.1013</v>
      </c>
      <c r="AW22" s="19">
        <v>16.78</v>
      </c>
      <c r="AX22" s="5"/>
      <c r="AY22" s="27">
        <v>7.0696</v>
      </c>
      <c r="AZ22" s="19">
        <v>16.85</v>
      </c>
      <c r="BA22" s="5"/>
      <c r="BB22" s="27">
        <v>7.1121</v>
      </c>
      <c r="BC22" s="19">
        <v>16.73</v>
      </c>
      <c r="BD22" s="5"/>
      <c r="BE22" s="27">
        <v>7.2291</v>
      </c>
      <c r="BF22" s="19">
        <v>16.4</v>
      </c>
      <c r="BG22" s="5"/>
      <c r="BH22" s="27">
        <v>7.2616</v>
      </c>
      <c r="BI22" s="19">
        <v>16.27</v>
      </c>
      <c r="BJ22" s="5"/>
      <c r="BK22" s="27">
        <v>7.2336</v>
      </c>
      <c r="BL22" s="19">
        <v>16.38</v>
      </c>
      <c r="BM22" s="5"/>
      <c r="BN22" s="27">
        <f t="shared" si="0"/>
        <v>6.994771428571427</v>
      </c>
      <c r="BO22" s="19">
        <f t="shared" si="1"/>
        <v>17.02</v>
      </c>
      <c r="BP22" s="5"/>
    </row>
    <row r="23" spans="1:68" ht="15.75" customHeight="1">
      <c r="A23" s="16">
        <v>11</v>
      </c>
      <c r="B23" s="17" t="s">
        <v>24</v>
      </c>
      <c r="C23" s="27">
        <v>6.3534</v>
      </c>
      <c r="D23" s="19">
        <v>18.79</v>
      </c>
      <c r="E23" s="5"/>
      <c r="F23" s="27">
        <v>6.3229</v>
      </c>
      <c r="G23" s="19">
        <v>18.84</v>
      </c>
      <c r="H23" s="5"/>
      <c r="I23" s="27">
        <v>6.3407</v>
      </c>
      <c r="J23" s="19">
        <v>18.85</v>
      </c>
      <c r="K23" s="5"/>
      <c r="L23" s="27">
        <v>6.352</v>
      </c>
      <c r="M23" s="19">
        <v>18.95</v>
      </c>
      <c r="N23" s="5"/>
      <c r="O23" s="27">
        <v>6.2682</v>
      </c>
      <c r="P23" s="19">
        <v>18.96</v>
      </c>
      <c r="Q23" s="5"/>
      <c r="R23" s="27">
        <v>6.3304</v>
      </c>
      <c r="S23" s="19">
        <v>18.89</v>
      </c>
      <c r="T23" s="5"/>
      <c r="U23" s="27">
        <v>6.336</v>
      </c>
      <c r="V23" s="19">
        <v>18.85</v>
      </c>
      <c r="W23" s="5"/>
      <c r="X23" s="27">
        <v>6.335</v>
      </c>
      <c r="Y23" s="19">
        <v>18.86</v>
      </c>
      <c r="Z23" s="5"/>
      <c r="AA23" s="27">
        <v>6.317</v>
      </c>
      <c r="AB23" s="19">
        <v>18.84</v>
      </c>
      <c r="AC23" s="5"/>
      <c r="AD23" s="27">
        <v>6.3005</v>
      </c>
      <c r="AE23" s="19">
        <v>18.89</v>
      </c>
      <c r="AF23" s="5"/>
      <c r="AG23" s="27">
        <v>6.2405</v>
      </c>
      <c r="AH23" s="19">
        <v>18.94</v>
      </c>
      <c r="AI23" s="5"/>
      <c r="AJ23" s="27">
        <v>6.2717</v>
      </c>
      <c r="AK23" s="19">
        <v>18.84</v>
      </c>
      <c r="AL23" s="5"/>
      <c r="AM23" s="27">
        <v>6.3286</v>
      </c>
      <c r="AN23" s="19">
        <v>18.72</v>
      </c>
      <c r="AO23" s="5"/>
      <c r="AP23" s="27">
        <v>6.3739</v>
      </c>
      <c r="AQ23" s="19">
        <v>18.7</v>
      </c>
      <c r="AR23" s="5"/>
      <c r="AS23" s="27">
        <v>6.3505</v>
      </c>
      <c r="AT23" s="19">
        <v>18.71</v>
      </c>
      <c r="AU23" s="5"/>
      <c r="AV23" s="27">
        <v>6.4344</v>
      </c>
      <c r="AW23" s="19">
        <v>18.52</v>
      </c>
      <c r="AX23" s="5"/>
      <c r="AY23" s="27">
        <v>6.4129</v>
      </c>
      <c r="AZ23" s="19">
        <v>18.57</v>
      </c>
      <c r="BA23" s="5"/>
      <c r="BB23" s="27">
        <v>6.4437</v>
      </c>
      <c r="BC23" s="19">
        <v>18.46</v>
      </c>
      <c r="BD23" s="5"/>
      <c r="BE23" s="27">
        <v>6.4693</v>
      </c>
      <c r="BF23" s="19">
        <v>18.32</v>
      </c>
      <c r="BG23" s="5"/>
      <c r="BH23" s="27">
        <v>6.5042</v>
      </c>
      <c r="BI23" s="19">
        <v>18.17</v>
      </c>
      <c r="BJ23" s="5"/>
      <c r="BK23" s="27">
        <v>6.5067</v>
      </c>
      <c r="BL23" s="19">
        <v>18.21</v>
      </c>
      <c r="BM23" s="5"/>
      <c r="BN23" s="27">
        <f t="shared" si="0"/>
        <v>6.3615476190476175</v>
      </c>
      <c r="BO23" s="19">
        <f t="shared" si="1"/>
        <v>18.708571428571425</v>
      </c>
      <c r="BP23" s="5"/>
    </row>
    <row r="24" spans="1:68" ht="15.75" customHeight="1">
      <c r="A24" s="16">
        <v>12</v>
      </c>
      <c r="B24" s="17" t="s">
        <v>25</v>
      </c>
      <c r="C24" s="27">
        <f>1/1.41995</f>
        <v>0.7042501496531568</v>
      </c>
      <c r="D24" s="19">
        <v>169.55</v>
      </c>
      <c r="E24" s="5"/>
      <c r="F24" s="27">
        <f>1/1.41303</f>
        <v>0.7076990580525537</v>
      </c>
      <c r="G24" s="19">
        <v>168.33</v>
      </c>
      <c r="H24" s="5"/>
      <c r="I24" s="27">
        <f>1/1.41378</f>
        <v>0.7073236288531455</v>
      </c>
      <c r="J24" s="19">
        <v>168.97</v>
      </c>
      <c r="K24" s="5"/>
      <c r="L24" s="27">
        <f>1/1.4134</f>
        <v>0.7075137965190321</v>
      </c>
      <c r="M24" s="19">
        <v>170.11</v>
      </c>
      <c r="N24" s="5"/>
      <c r="O24" s="27">
        <f>1/1.41314</f>
        <v>0.7076439701657302</v>
      </c>
      <c r="P24" s="19">
        <v>167.92</v>
      </c>
      <c r="Q24" s="5"/>
      <c r="R24" s="27">
        <f>1/1.42273</f>
        <v>0.7028740519986223</v>
      </c>
      <c r="S24" s="19">
        <v>170.1</v>
      </c>
      <c r="T24" s="5"/>
      <c r="U24" s="27">
        <f>1/1.4154</f>
        <v>0.7065140596297866</v>
      </c>
      <c r="V24" s="19">
        <v>169.04</v>
      </c>
      <c r="W24" s="5"/>
      <c r="X24" s="27">
        <f>1/1.4167</f>
        <v>0.7058657443354274</v>
      </c>
      <c r="Y24" s="19">
        <v>169.27</v>
      </c>
      <c r="Z24" s="5"/>
      <c r="AA24" s="27">
        <f>1/1.41944</f>
        <v>0.7045031843543933</v>
      </c>
      <c r="AB24" s="19">
        <v>168.97</v>
      </c>
      <c r="AC24" s="5"/>
      <c r="AD24" s="27">
        <f>1/1.42074</f>
        <v>0.7038585525852725</v>
      </c>
      <c r="AE24" s="19">
        <v>169.08</v>
      </c>
      <c r="AF24" s="5"/>
      <c r="AG24" s="27">
        <f>1/1.42105</f>
        <v>0.7037050068611238</v>
      </c>
      <c r="AH24" s="19">
        <v>167.93</v>
      </c>
      <c r="AI24" s="5"/>
      <c r="AJ24" s="27">
        <f>1/1.42703</f>
        <v>0.7007561158490011</v>
      </c>
      <c r="AK24" s="19">
        <v>168.6</v>
      </c>
      <c r="AL24" s="5"/>
      <c r="AM24" s="27">
        <f>1/1.42338</f>
        <v>0.7025530778850342</v>
      </c>
      <c r="AN24" s="19">
        <v>168.61</v>
      </c>
      <c r="AO24" s="5"/>
      <c r="AP24" s="27">
        <f>1/1.41904</f>
        <v>0.7047017702108467</v>
      </c>
      <c r="AQ24" s="19">
        <v>169.14</v>
      </c>
      <c r="AR24" s="5"/>
      <c r="AS24" s="27">
        <f>1/1.41353</f>
        <v>0.7074487276534633</v>
      </c>
      <c r="AT24" s="19">
        <v>167.99</v>
      </c>
      <c r="AU24" s="5"/>
      <c r="AV24" s="27">
        <f>1/1.41703</f>
        <v>0.7057013612979259</v>
      </c>
      <c r="AW24" s="19">
        <v>168.9</v>
      </c>
      <c r="AX24" s="5"/>
      <c r="AY24" s="27">
        <f>1/1.40951</f>
        <v>0.7094664103128038</v>
      </c>
      <c r="AZ24" s="19">
        <v>167.88</v>
      </c>
      <c r="BA24" s="5"/>
      <c r="BB24" s="27">
        <f>1/1.41203</f>
        <v>0.7082002507028888</v>
      </c>
      <c r="BC24" s="19">
        <v>167.97</v>
      </c>
      <c r="BD24" s="5"/>
      <c r="BE24" s="27">
        <f>1/1.4117</f>
        <v>0.7083658000991713</v>
      </c>
      <c r="BF24" s="19">
        <v>167.33</v>
      </c>
      <c r="BG24" s="5"/>
      <c r="BH24" s="27">
        <f>1/1.40608</f>
        <v>0.7111970869367319</v>
      </c>
      <c r="BI24" s="19">
        <v>166.13</v>
      </c>
      <c r="BJ24" s="5"/>
      <c r="BK24" s="27">
        <f>1/1.40181</f>
        <v>0.7133634372703861</v>
      </c>
      <c r="BL24" s="19">
        <v>166.07</v>
      </c>
      <c r="BM24" s="5"/>
      <c r="BN24" s="27">
        <f t="shared" si="0"/>
        <v>0.706357392439357</v>
      </c>
      <c r="BO24" s="19">
        <f t="shared" si="1"/>
        <v>168.47095238095238</v>
      </c>
      <c r="BP24" s="5"/>
    </row>
    <row r="25" spans="1:68" ht="15.75" customHeight="1" thickBot="1">
      <c r="A25" s="35">
        <v>13</v>
      </c>
      <c r="B25" s="36" t="s">
        <v>26</v>
      </c>
      <c r="C25" s="28">
        <v>1</v>
      </c>
      <c r="D25" s="22">
        <v>119.41</v>
      </c>
      <c r="E25" s="21"/>
      <c r="F25" s="28">
        <v>1</v>
      </c>
      <c r="G25" s="22">
        <v>119.13</v>
      </c>
      <c r="H25" s="21"/>
      <c r="I25" s="28">
        <v>1</v>
      </c>
      <c r="J25" s="22">
        <v>119.52</v>
      </c>
      <c r="K25" s="21"/>
      <c r="L25" s="28">
        <v>1</v>
      </c>
      <c r="M25" s="22">
        <v>120.35</v>
      </c>
      <c r="N25" s="21"/>
      <c r="O25" s="28">
        <v>1</v>
      </c>
      <c r="P25" s="22">
        <v>118.83</v>
      </c>
      <c r="Q25" s="21"/>
      <c r="R25" s="28">
        <v>1</v>
      </c>
      <c r="S25" s="22">
        <v>119.56</v>
      </c>
      <c r="T25" s="21"/>
      <c r="U25" s="28">
        <v>1</v>
      </c>
      <c r="V25" s="22">
        <v>119.43</v>
      </c>
      <c r="W25" s="21"/>
      <c r="X25" s="28">
        <v>1</v>
      </c>
      <c r="Y25" s="22">
        <v>119.49</v>
      </c>
      <c r="Z25" s="21"/>
      <c r="AA25" s="28">
        <v>1</v>
      </c>
      <c r="AB25" s="22">
        <v>119.04</v>
      </c>
      <c r="AC25" s="21"/>
      <c r="AD25" s="28">
        <v>1</v>
      </c>
      <c r="AE25" s="22">
        <v>119.01</v>
      </c>
      <c r="AF25" s="21"/>
      <c r="AG25" s="28">
        <v>1</v>
      </c>
      <c r="AH25" s="22">
        <v>118.18</v>
      </c>
      <c r="AI25" s="21"/>
      <c r="AJ25" s="28">
        <v>1</v>
      </c>
      <c r="AK25" s="22">
        <v>118.15</v>
      </c>
      <c r="AL25" s="21"/>
      <c r="AM25" s="28">
        <v>1</v>
      </c>
      <c r="AN25" s="22">
        <v>118.46</v>
      </c>
      <c r="AO25" s="21"/>
      <c r="AP25" s="28">
        <v>1</v>
      </c>
      <c r="AQ25" s="22">
        <v>119.19</v>
      </c>
      <c r="AR25" s="21"/>
      <c r="AS25" s="28">
        <v>1</v>
      </c>
      <c r="AT25" s="22">
        <v>118.84</v>
      </c>
      <c r="AU25" s="21"/>
      <c r="AV25" s="28">
        <v>1</v>
      </c>
      <c r="AW25" s="22">
        <v>119.19</v>
      </c>
      <c r="AX25" s="21"/>
      <c r="AY25" s="28">
        <v>1</v>
      </c>
      <c r="AZ25" s="22">
        <v>119.11</v>
      </c>
      <c r="BA25" s="21"/>
      <c r="BB25" s="28">
        <v>1</v>
      </c>
      <c r="BC25" s="22">
        <v>118.96</v>
      </c>
      <c r="BD25" s="21"/>
      <c r="BE25" s="28">
        <v>1</v>
      </c>
      <c r="BF25" s="22">
        <v>118.53</v>
      </c>
      <c r="BG25" s="21"/>
      <c r="BH25" s="28">
        <v>1</v>
      </c>
      <c r="BI25" s="22">
        <v>118.15</v>
      </c>
      <c r="BJ25" s="21"/>
      <c r="BK25" s="28">
        <v>1</v>
      </c>
      <c r="BL25" s="22">
        <v>118.47</v>
      </c>
      <c r="BM25" s="21"/>
      <c r="BN25" s="28">
        <f t="shared" si="0"/>
        <v>1</v>
      </c>
      <c r="BO25" s="22">
        <f t="shared" si="1"/>
        <v>119</v>
      </c>
      <c r="BP25" s="21"/>
    </row>
    <row r="26" spans="1:68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&amp;LBanka e Shqiperise
Sektori i Statistikave Monetare dhe Financiare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E52"/>
  <sheetViews>
    <sheetView zoomScale="75" zoomScaleNormal="75" zoomScalePageLayoutView="0" workbookViewId="0" topLeftCell="A1">
      <pane xSplit="2" ySplit="11" topLeftCell="BA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H4" sqref="BH4:BI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8515625" style="0" customWidth="1"/>
    <col min="66" max="67" width="13.28125" style="0" customWidth="1"/>
    <col min="68" max="68" width="4.28125" style="0" customWidth="1"/>
  </cols>
  <sheetData>
    <row r="1" spans="1:65" ht="15.75" customHeight="1">
      <c r="A1" s="4" t="s">
        <v>0</v>
      </c>
      <c r="B1" s="4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77" ht="15.75" customHeight="1">
      <c r="A4" s="6" t="s">
        <v>2</v>
      </c>
      <c r="B4" s="5"/>
      <c r="C4" s="4" t="s">
        <v>155</v>
      </c>
      <c r="D4" s="4"/>
      <c r="E4" s="10"/>
      <c r="F4" s="4" t="s">
        <v>157</v>
      </c>
      <c r="G4" s="4"/>
      <c r="H4" s="10"/>
      <c r="I4" s="4" t="s">
        <v>158</v>
      </c>
      <c r="J4" s="4"/>
      <c r="K4" s="10"/>
      <c r="L4" s="4" t="s">
        <v>156</v>
      </c>
      <c r="M4" s="4"/>
      <c r="N4" s="10"/>
      <c r="O4" s="4" t="s">
        <v>159</v>
      </c>
      <c r="P4" s="4"/>
      <c r="Q4" s="10"/>
      <c r="R4" s="4" t="s">
        <v>160</v>
      </c>
      <c r="S4" s="4"/>
      <c r="T4" s="10"/>
      <c r="U4" s="4" t="s">
        <v>161</v>
      </c>
      <c r="V4" s="4"/>
      <c r="W4" s="10"/>
      <c r="X4" s="4" t="s">
        <v>162</v>
      </c>
      <c r="Y4" s="4"/>
      <c r="Z4" s="10"/>
      <c r="AA4" s="4" t="s">
        <v>163</v>
      </c>
      <c r="AB4" s="4"/>
      <c r="AC4" s="10"/>
      <c r="AD4" s="4" t="s">
        <v>164</v>
      </c>
      <c r="AE4" s="4"/>
      <c r="AF4" s="10"/>
      <c r="AG4" s="4" t="s">
        <v>165</v>
      </c>
      <c r="AH4" s="4"/>
      <c r="AI4" s="10"/>
      <c r="AJ4" s="4" t="s">
        <v>166</v>
      </c>
      <c r="AK4" s="4"/>
      <c r="AL4" s="10"/>
      <c r="AM4" s="4" t="s">
        <v>167</v>
      </c>
      <c r="AN4" s="4"/>
      <c r="AO4" s="10"/>
      <c r="AP4" s="4" t="s">
        <v>168</v>
      </c>
      <c r="AQ4" s="4"/>
      <c r="AR4" s="10"/>
      <c r="AS4" s="4" t="s">
        <v>169</v>
      </c>
      <c r="AT4" s="4"/>
      <c r="AU4" s="10"/>
      <c r="AV4" s="4" t="s">
        <v>170</v>
      </c>
      <c r="AW4" s="4"/>
      <c r="AX4" s="10"/>
      <c r="AY4" s="4" t="s">
        <v>171</v>
      </c>
      <c r="AZ4" s="4"/>
      <c r="BA4" s="10"/>
      <c r="BB4" s="4" t="s">
        <v>172</v>
      </c>
      <c r="BC4" s="4"/>
      <c r="BD4" s="10"/>
      <c r="BE4" s="4" t="s">
        <v>173</v>
      </c>
      <c r="BF4" s="4"/>
      <c r="BG4" s="10"/>
      <c r="BH4" s="4" t="s">
        <v>174</v>
      </c>
      <c r="BI4" s="4"/>
      <c r="BJ4" s="26"/>
      <c r="BK4" s="4" t="s">
        <v>175</v>
      </c>
      <c r="BL4" s="4"/>
      <c r="BM4" s="26"/>
      <c r="BN4" s="4" t="s">
        <v>176</v>
      </c>
      <c r="BO4" s="4"/>
      <c r="BP4" s="26"/>
      <c r="BQ4" s="4" t="s">
        <v>177</v>
      </c>
      <c r="BR4" s="4"/>
      <c r="BS4" s="4" t="s">
        <v>3</v>
      </c>
      <c r="BT4" s="4"/>
      <c r="BW4" s="38"/>
      <c r="BX4" s="37"/>
      <c r="BY4" s="37"/>
    </row>
    <row r="5" spans="1:77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W5" s="38"/>
      <c r="BX5" s="38"/>
      <c r="BY5" s="38"/>
    </row>
    <row r="6" spans="1:77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W6" s="9"/>
      <c r="BX6" s="9"/>
      <c r="BY6" s="9"/>
    </row>
    <row r="7" spans="1:77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12" t="s">
        <v>5</v>
      </c>
      <c r="BT7" s="12" t="s">
        <v>5</v>
      </c>
      <c r="BW7" s="39"/>
      <c r="BX7" s="39"/>
      <c r="BY7" s="39"/>
    </row>
    <row r="8" spans="1:77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12" t="s">
        <v>8</v>
      </c>
      <c r="BT8" s="12" t="s">
        <v>9</v>
      </c>
      <c r="BW8" s="39"/>
      <c r="BX8" s="39"/>
      <c r="BY8" s="39"/>
    </row>
    <row r="9" spans="1:77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12" t="s">
        <v>7</v>
      </c>
      <c r="BT9" s="12" t="s">
        <v>11</v>
      </c>
      <c r="BW9" s="39"/>
      <c r="BX9" s="39"/>
      <c r="BY9" s="39"/>
    </row>
    <row r="10" spans="1:77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12" t="s">
        <v>10</v>
      </c>
      <c r="BT10" s="12" t="s">
        <v>12</v>
      </c>
      <c r="BW10" s="39"/>
      <c r="BX10" s="39"/>
      <c r="BY10" s="39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40"/>
      <c r="BV11" s="40"/>
      <c r="BW11" s="9"/>
      <c r="BX11" s="9"/>
      <c r="BY11" s="9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40"/>
      <c r="BV12" s="40"/>
      <c r="BW12" s="9"/>
      <c r="BX12" s="9"/>
      <c r="BY12" s="9"/>
      <c r="BZ12" s="40"/>
      <c r="CA12" s="40"/>
      <c r="CB12" s="40"/>
      <c r="CC12" s="40"/>
      <c r="CD12" s="40"/>
      <c r="CE12" s="40"/>
    </row>
    <row r="13" spans="1:77" ht="15.75" customHeight="1">
      <c r="A13" s="16">
        <v>1</v>
      </c>
      <c r="B13" s="17" t="s">
        <v>14</v>
      </c>
      <c r="C13" s="27">
        <v>119.85</v>
      </c>
      <c r="D13" s="19">
        <v>98.72</v>
      </c>
      <c r="E13" s="5"/>
      <c r="F13" s="27">
        <v>118.9</v>
      </c>
      <c r="G13" s="19">
        <v>99.67</v>
      </c>
      <c r="H13" s="5"/>
      <c r="I13" s="27">
        <v>118.38</v>
      </c>
      <c r="J13" s="19">
        <v>100.54</v>
      </c>
      <c r="K13" s="5"/>
      <c r="L13" s="27">
        <v>118.08</v>
      </c>
      <c r="M13" s="19">
        <v>100.91</v>
      </c>
      <c r="N13" s="5"/>
      <c r="O13" s="27">
        <v>117.96</v>
      </c>
      <c r="P13" s="19">
        <v>101.24</v>
      </c>
      <c r="Q13" s="5"/>
      <c r="R13" s="27">
        <v>118.55</v>
      </c>
      <c r="S13" s="19">
        <v>101.8</v>
      </c>
      <c r="T13" s="5"/>
      <c r="U13" s="27">
        <v>118.12</v>
      </c>
      <c r="V13" s="19">
        <v>102.24</v>
      </c>
      <c r="W13" s="5"/>
      <c r="X13" s="27">
        <v>117.27</v>
      </c>
      <c r="Y13" s="19">
        <v>103.24</v>
      </c>
      <c r="Z13" s="5"/>
      <c r="AA13" s="27">
        <v>117.81</v>
      </c>
      <c r="AB13" s="19">
        <v>103.07</v>
      </c>
      <c r="AC13" s="5"/>
      <c r="AD13" s="27">
        <v>117.45</v>
      </c>
      <c r="AE13" s="19">
        <v>103.73</v>
      </c>
      <c r="AF13" s="5"/>
      <c r="AG13" s="27">
        <v>117.37</v>
      </c>
      <c r="AH13" s="19">
        <v>103.75</v>
      </c>
      <c r="AI13" s="5"/>
      <c r="AJ13" s="27">
        <v>118.36</v>
      </c>
      <c r="AK13" s="19">
        <v>103.51</v>
      </c>
      <c r="AL13" s="5"/>
      <c r="AM13" s="27">
        <v>118.42</v>
      </c>
      <c r="AN13" s="19">
        <v>103.3</v>
      </c>
      <c r="AO13" s="5"/>
      <c r="AP13" s="27">
        <v>119</v>
      </c>
      <c r="AQ13" s="19">
        <v>102.3</v>
      </c>
      <c r="AR13" s="5"/>
      <c r="AS13" s="27">
        <v>118.42</v>
      </c>
      <c r="AT13" s="19">
        <v>102.61</v>
      </c>
      <c r="AU13" s="5"/>
      <c r="AV13" s="27">
        <v>118.97</v>
      </c>
      <c r="AW13" s="19">
        <v>101.67</v>
      </c>
      <c r="AX13" s="5"/>
      <c r="AY13" s="27">
        <v>118.88</v>
      </c>
      <c r="AZ13" s="19">
        <v>101.35</v>
      </c>
      <c r="BA13" s="5"/>
      <c r="BB13" s="27">
        <v>118.77</v>
      </c>
      <c r="BC13" s="19">
        <v>100.36</v>
      </c>
      <c r="BD13" s="5"/>
      <c r="BE13" s="27">
        <v>118.89</v>
      </c>
      <c r="BF13" s="19">
        <v>100.39</v>
      </c>
      <c r="BG13" s="5"/>
      <c r="BH13" s="27">
        <v>119.35</v>
      </c>
      <c r="BI13" s="19">
        <v>99.38</v>
      </c>
      <c r="BJ13" s="5"/>
      <c r="BK13" s="27">
        <v>119.44</v>
      </c>
      <c r="BL13" s="19">
        <v>98.68</v>
      </c>
      <c r="BM13" s="5"/>
      <c r="BN13" s="27">
        <v>119.63</v>
      </c>
      <c r="BO13" s="19">
        <v>99.34</v>
      </c>
      <c r="BP13" s="5"/>
      <c r="BQ13" s="27">
        <v>120.08</v>
      </c>
      <c r="BR13" s="27">
        <v>99.62</v>
      </c>
      <c r="BS13" s="27">
        <f>(+C13+F13+I13+L13+O13+R13+U13+X13+AA13+AD13+AG13+AJ13+AM13+AP13+AS13+AV13+AJ13+BB13+BE13+BH13+BK13+BN13+BQ13)/23</f>
        <v>118.58391304347825</v>
      </c>
      <c r="BT13" s="19">
        <f>(+D13+G13+J13+M13+P13+S13+V13+Y13+AB13+AE13+AH13+AK13+AN13+AQ13+AT13+AW13+AK13+BC13+BF13+BI13+BL13+BO13+BR13)/23</f>
        <v>101.46</v>
      </c>
      <c r="BW13" s="9"/>
      <c r="BX13" s="31"/>
      <c r="BY13" s="32"/>
    </row>
    <row r="14" spans="1:77" ht="15.75" customHeight="1">
      <c r="A14" s="16">
        <v>2</v>
      </c>
      <c r="B14" s="17" t="s">
        <v>15</v>
      </c>
      <c r="C14" s="27">
        <f>1/1.656</f>
        <v>0.6038647342995169</v>
      </c>
      <c r="D14" s="19">
        <v>195.94</v>
      </c>
      <c r="E14" s="5"/>
      <c r="F14" s="27">
        <f>1/1.6632</f>
        <v>0.6012506012506013</v>
      </c>
      <c r="G14" s="19">
        <v>197.1</v>
      </c>
      <c r="H14" s="5"/>
      <c r="I14" s="27">
        <f>1/1.6608</f>
        <v>0.6021194605009633</v>
      </c>
      <c r="J14" s="19">
        <v>197.66</v>
      </c>
      <c r="K14" s="5"/>
      <c r="L14" s="27">
        <f>1/1.6702</f>
        <v>0.5987306909352174</v>
      </c>
      <c r="M14" s="19">
        <v>199</v>
      </c>
      <c r="N14" s="5"/>
      <c r="O14" s="27">
        <f>1/1.6579</f>
        <v>0.603172688340672</v>
      </c>
      <c r="P14" s="19">
        <v>198</v>
      </c>
      <c r="Q14" s="5"/>
      <c r="R14" s="27">
        <f>1/1.6378</f>
        <v>0.6105751618024179</v>
      </c>
      <c r="S14" s="19">
        <v>197.66</v>
      </c>
      <c r="T14" s="5"/>
      <c r="U14" s="27">
        <f>1/1.6306</f>
        <v>0.6132711885195633</v>
      </c>
      <c r="V14" s="19">
        <v>196.92</v>
      </c>
      <c r="W14" s="5"/>
      <c r="X14" s="27">
        <f>1/1.6329</f>
        <v>0.6124073733847756</v>
      </c>
      <c r="Y14" s="19">
        <v>197.7</v>
      </c>
      <c r="Z14" s="5"/>
      <c r="AA14" s="27">
        <f>1/1.6341</f>
        <v>0.6119576525304449</v>
      </c>
      <c r="AB14" s="19">
        <v>198.42</v>
      </c>
      <c r="AC14" s="5"/>
      <c r="AD14" s="27">
        <f>1/1.6242</f>
        <v>0.6156877231867997</v>
      </c>
      <c r="AE14" s="19">
        <v>197.89</v>
      </c>
      <c r="AF14" s="5"/>
      <c r="AG14" s="27">
        <f>1/1.612</f>
        <v>0.6203473945409429</v>
      </c>
      <c r="AH14" s="19">
        <v>196.3</v>
      </c>
      <c r="AI14" s="5"/>
      <c r="AJ14" s="27">
        <f>1/1.5914</f>
        <v>0.6283775292195551</v>
      </c>
      <c r="AK14" s="19">
        <v>194.97</v>
      </c>
      <c r="AL14" s="5"/>
      <c r="AM14" s="27">
        <f>1/1.5945</f>
        <v>0.6271558482282847</v>
      </c>
      <c r="AN14" s="19">
        <v>195.06</v>
      </c>
      <c r="AO14" s="5"/>
      <c r="AP14" s="27">
        <f>1/1.5958</f>
        <v>0.6266449429753101</v>
      </c>
      <c r="AQ14" s="19">
        <v>194.26</v>
      </c>
      <c r="AR14" s="5"/>
      <c r="AS14" s="27">
        <f>1/1.5878</f>
        <v>0.6298022420959818</v>
      </c>
      <c r="AT14" s="19">
        <v>192.94</v>
      </c>
      <c r="AU14" s="5"/>
      <c r="AV14" s="27">
        <f>1/1.6018</f>
        <v>0.6242976651267325</v>
      </c>
      <c r="AW14" s="19">
        <v>193.74</v>
      </c>
      <c r="AX14" s="5"/>
      <c r="AY14" s="27">
        <f>1/1.6018</f>
        <v>0.6242976651267325</v>
      </c>
      <c r="AZ14" s="19">
        <v>192.99</v>
      </c>
      <c r="BA14" s="5"/>
      <c r="BB14" s="27">
        <f>1/1.6132</f>
        <v>0.6198859409868585</v>
      </c>
      <c r="BC14" s="19">
        <v>192.29</v>
      </c>
      <c r="BD14" s="5"/>
      <c r="BE14" s="27">
        <f>1/1.6167</f>
        <v>0.6185439475474732</v>
      </c>
      <c r="BF14" s="19">
        <v>192.95</v>
      </c>
      <c r="BG14" s="5"/>
      <c r="BH14" s="27">
        <f>1/1.6215</f>
        <v>0.6167129201356769</v>
      </c>
      <c r="BI14" s="19">
        <v>192.32</v>
      </c>
      <c r="BJ14" s="5"/>
      <c r="BK14" s="27">
        <f>1/1.6265</f>
        <v>0.6148170919151552</v>
      </c>
      <c r="BL14" s="19">
        <v>191.7</v>
      </c>
      <c r="BM14" s="5"/>
      <c r="BN14" s="27">
        <f>1/1.6226</f>
        <v>0.6162948354492789</v>
      </c>
      <c r="BO14" s="19">
        <v>192.82</v>
      </c>
      <c r="BP14" s="5"/>
      <c r="BQ14" s="27">
        <f>1/1.6135</f>
        <v>0.6197706848466068</v>
      </c>
      <c r="BR14" s="27">
        <v>193.01</v>
      </c>
      <c r="BS14" s="27">
        <f aca="true" t="shared" si="0" ref="BS14:BS25">(+C14+F14+I14+L14+O14+R14+U14+X14+AA14+AD14+AG14+AJ14+AM14+AP14+AS14+AV14+AJ14+BB14+BE14+BH14+BK14+BN14+BQ14)/23</f>
        <v>0.6158289498712342</v>
      </c>
      <c r="BT14" s="19">
        <f aca="true" t="shared" si="1" ref="BT14:BT25">(+D14+G14+J14+M14+P14+S14+V14+Y14+AB14+AE14+AH14+AK14+AN14+AQ14+AT14+AW14+AK14+BC14+BF14+BI14+BL14+BO14+BR14)/23</f>
        <v>195.37478260869565</v>
      </c>
      <c r="BW14" s="9"/>
      <c r="BX14" s="31"/>
      <c r="BY14" s="32"/>
    </row>
    <row r="15" spans="1:77" ht="15.75" customHeight="1">
      <c r="A15" s="16">
        <v>3</v>
      </c>
      <c r="B15" s="17" t="s">
        <v>16</v>
      </c>
      <c r="C15" s="27">
        <v>1.3476</v>
      </c>
      <c r="D15" s="19">
        <v>87.8</v>
      </c>
      <c r="E15" s="5"/>
      <c r="F15" s="27">
        <v>1.3447</v>
      </c>
      <c r="G15" s="19">
        <v>88.13</v>
      </c>
      <c r="H15" s="5"/>
      <c r="I15" s="27">
        <v>1.3543</v>
      </c>
      <c r="J15" s="19">
        <v>87.88</v>
      </c>
      <c r="K15" s="5"/>
      <c r="L15" s="27">
        <v>1.3501</v>
      </c>
      <c r="M15" s="19">
        <v>88.25</v>
      </c>
      <c r="N15" s="5"/>
      <c r="O15" s="27">
        <v>1.362</v>
      </c>
      <c r="P15" s="19">
        <v>87.69</v>
      </c>
      <c r="Q15" s="5"/>
      <c r="R15" s="27">
        <v>1.3761</v>
      </c>
      <c r="S15" s="19">
        <v>87.7</v>
      </c>
      <c r="T15" s="5"/>
      <c r="U15" s="27">
        <v>1.3615</v>
      </c>
      <c r="V15" s="19">
        <v>88.7</v>
      </c>
      <c r="W15" s="5"/>
      <c r="X15" s="27">
        <v>1.368</v>
      </c>
      <c r="Y15" s="19">
        <v>88.5</v>
      </c>
      <c r="Z15" s="5"/>
      <c r="AA15" s="27">
        <v>1.3665</v>
      </c>
      <c r="AB15" s="19">
        <v>88.86</v>
      </c>
      <c r="AC15" s="5"/>
      <c r="AD15" s="27">
        <v>1.3773</v>
      </c>
      <c r="AE15" s="19">
        <v>88.46</v>
      </c>
      <c r="AF15" s="5"/>
      <c r="AG15" s="27">
        <v>1.3704</v>
      </c>
      <c r="AH15" s="19">
        <v>88.86</v>
      </c>
      <c r="AI15" s="5"/>
      <c r="AJ15" s="27">
        <v>1.3889</v>
      </c>
      <c r="AK15" s="19">
        <v>88.21</v>
      </c>
      <c r="AL15" s="5"/>
      <c r="AM15" s="27">
        <v>1.3684</v>
      </c>
      <c r="AN15" s="19">
        <v>89.4</v>
      </c>
      <c r="AO15" s="5"/>
      <c r="AP15" s="27">
        <v>1.371</v>
      </c>
      <c r="AQ15" s="19">
        <v>88.79</v>
      </c>
      <c r="AR15" s="5"/>
      <c r="AS15" s="27">
        <v>1.3602</v>
      </c>
      <c r="AT15" s="19">
        <v>89.33</v>
      </c>
      <c r="AU15" s="5"/>
      <c r="AV15" s="27">
        <v>1.3574</v>
      </c>
      <c r="AW15" s="19">
        <v>89.11</v>
      </c>
      <c r="AX15" s="5"/>
      <c r="AY15" s="27">
        <v>1.3553</v>
      </c>
      <c r="AZ15" s="19">
        <v>88.9</v>
      </c>
      <c r="BA15" s="5"/>
      <c r="BB15" s="27">
        <v>1.349</v>
      </c>
      <c r="BC15" s="19">
        <v>88.36</v>
      </c>
      <c r="BD15" s="5"/>
      <c r="BE15" s="27">
        <v>1.3459</v>
      </c>
      <c r="BF15" s="19">
        <v>88.68</v>
      </c>
      <c r="BG15" s="5"/>
      <c r="BH15" s="27">
        <v>1.3473</v>
      </c>
      <c r="BI15" s="19">
        <v>88.03</v>
      </c>
      <c r="BJ15" s="5"/>
      <c r="BK15" s="27">
        <v>1.3468</v>
      </c>
      <c r="BL15" s="19">
        <v>87.51</v>
      </c>
      <c r="BM15" s="5"/>
      <c r="BN15" s="27">
        <v>1.3537</v>
      </c>
      <c r="BO15" s="19">
        <v>87.79</v>
      </c>
      <c r="BP15" s="5"/>
      <c r="BQ15" s="27">
        <v>1.3687</v>
      </c>
      <c r="BR15" s="27">
        <v>87.4</v>
      </c>
      <c r="BS15" s="27">
        <f t="shared" si="0"/>
        <v>1.3619434782608695</v>
      </c>
      <c r="BT15" s="19">
        <f t="shared" si="1"/>
        <v>88.33260869565218</v>
      </c>
      <c r="BW15" s="9"/>
      <c r="BX15" s="31"/>
      <c r="BY15" s="32"/>
    </row>
    <row r="16" spans="1:77" ht="15.75" customHeight="1">
      <c r="A16" s="16">
        <v>4</v>
      </c>
      <c r="B16" s="17" t="s">
        <v>17</v>
      </c>
      <c r="C16" s="27">
        <f>1/1.1538</f>
        <v>0.8667013347200555</v>
      </c>
      <c r="D16" s="19">
        <v>136.52</v>
      </c>
      <c r="E16" s="5"/>
      <c r="F16" s="27">
        <f>1/1.1538</f>
        <v>0.8667013347200555</v>
      </c>
      <c r="G16" s="19">
        <v>136.73</v>
      </c>
      <c r="H16" s="5"/>
      <c r="I16" s="27">
        <f>1/1.1453</f>
        <v>0.8731336767659129</v>
      </c>
      <c r="J16" s="19">
        <v>136.31</v>
      </c>
      <c r="K16" s="5"/>
      <c r="L16" s="27">
        <f>1/1.1469</f>
        <v>0.8719155985700584</v>
      </c>
      <c r="M16" s="19">
        <v>136.65</v>
      </c>
      <c r="N16" s="5"/>
      <c r="O16" s="27">
        <f>1/1.1389</f>
        <v>0.8780402142418122</v>
      </c>
      <c r="P16" s="19">
        <v>136.02</v>
      </c>
      <c r="Q16" s="5"/>
      <c r="R16" s="27">
        <f>1/1.1279</f>
        <v>0.8866034222892101</v>
      </c>
      <c r="S16" s="19">
        <v>136.12</v>
      </c>
      <c r="T16" s="5"/>
      <c r="U16" s="27">
        <f>1/1.1336</f>
        <v>0.8821453775582216</v>
      </c>
      <c r="V16" s="19">
        <v>136.9</v>
      </c>
      <c r="W16" s="5"/>
      <c r="X16" s="27">
        <f>1/1.1318</f>
        <v>0.8835483300936562</v>
      </c>
      <c r="Y16" s="19">
        <v>137.03</v>
      </c>
      <c r="Z16" s="5"/>
      <c r="AA16" s="27">
        <f>1/1.133</f>
        <v>0.8826125330979699</v>
      </c>
      <c r="AB16" s="19">
        <v>137.57</v>
      </c>
      <c r="AC16" s="5"/>
      <c r="AD16" s="27">
        <f>1/1.1263</f>
        <v>0.8878629139660835</v>
      </c>
      <c r="AE16" s="19">
        <v>137.22</v>
      </c>
      <c r="AF16" s="5"/>
      <c r="AG16" s="27">
        <f>1/1.1317</f>
        <v>0.8836264027569144</v>
      </c>
      <c r="AH16" s="19">
        <v>137.81</v>
      </c>
      <c r="AI16" s="5"/>
      <c r="AJ16" s="27">
        <f>1/1.1151</f>
        <v>0.896780557797507</v>
      </c>
      <c r="AK16" s="19">
        <v>136.62</v>
      </c>
      <c r="AL16" s="5"/>
      <c r="AM16" s="27">
        <f>1/1.1226</f>
        <v>0.8907892392659896</v>
      </c>
      <c r="AN16" s="19">
        <v>137.33</v>
      </c>
      <c r="AO16" s="5"/>
      <c r="AP16" s="27">
        <f>1/1.1205</f>
        <v>0.8924587237840249</v>
      </c>
      <c r="AQ16" s="19">
        <v>136.4</v>
      </c>
      <c r="AR16" s="5"/>
      <c r="AS16" s="27">
        <f>1/1.129</f>
        <v>0.8857395925597874</v>
      </c>
      <c r="AT16" s="19">
        <v>137.19</v>
      </c>
      <c r="AU16" s="5"/>
      <c r="AV16" s="27">
        <f>1/1.136</f>
        <v>0.8802816901408451</v>
      </c>
      <c r="AW16" s="19">
        <v>137.4</v>
      </c>
      <c r="AX16" s="5"/>
      <c r="AY16" s="27">
        <f>1/1.1389</f>
        <v>0.8780402142418122</v>
      </c>
      <c r="AZ16" s="19">
        <v>137.22</v>
      </c>
      <c r="BA16" s="5"/>
      <c r="BB16" s="27">
        <f>1/1.1479</f>
        <v>0.8711560240439064</v>
      </c>
      <c r="BC16" s="19">
        <v>136.83</v>
      </c>
      <c r="BD16" s="5"/>
      <c r="BE16" s="27">
        <f>1/1.1493</f>
        <v>0.8700948403375968</v>
      </c>
      <c r="BF16" s="19">
        <v>137.17</v>
      </c>
      <c r="BG16" s="5"/>
      <c r="BH16" s="27">
        <f>1/1.1484</f>
        <v>0.8707767328456983</v>
      </c>
      <c r="BI16" s="19">
        <v>136.21</v>
      </c>
      <c r="BJ16" s="5"/>
      <c r="BK16" s="27">
        <f>1/1.149</f>
        <v>0.8703220191470844</v>
      </c>
      <c r="BL16" s="19">
        <v>135.42</v>
      </c>
      <c r="BM16" s="5"/>
      <c r="BN16" s="27">
        <f>1/1.1432</f>
        <v>0.8747375787263821</v>
      </c>
      <c r="BO16" s="19">
        <v>135.85</v>
      </c>
      <c r="BP16" s="5"/>
      <c r="BQ16" s="27">
        <f>1/1.131</f>
        <v>0.8841732979664014</v>
      </c>
      <c r="BR16" s="27">
        <v>135.29</v>
      </c>
      <c r="BS16" s="27">
        <f t="shared" si="0"/>
        <v>0.880303564921421</v>
      </c>
      <c r="BT16" s="19">
        <f t="shared" si="1"/>
        <v>136.66130434782607</v>
      </c>
      <c r="BW16" s="9"/>
      <c r="BX16" s="31"/>
      <c r="BY16" s="32"/>
    </row>
    <row r="17" spans="1:77" ht="15.75" customHeight="1">
      <c r="A17" s="16">
        <v>5</v>
      </c>
      <c r="B17" s="17" t="s">
        <v>18</v>
      </c>
      <c r="C17" s="27">
        <v>348.25</v>
      </c>
      <c r="D17" s="19">
        <v>41204.94</v>
      </c>
      <c r="E17" s="5"/>
      <c r="F17" s="27">
        <v>350.9</v>
      </c>
      <c r="G17" s="19">
        <v>41584.57</v>
      </c>
      <c r="H17" s="5"/>
      <c r="I17" s="27">
        <v>349.75</v>
      </c>
      <c r="J17" s="19">
        <v>41625.79</v>
      </c>
      <c r="K17" s="5"/>
      <c r="L17" s="27">
        <v>350.9</v>
      </c>
      <c r="M17" s="19">
        <v>41809.44</v>
      </c>
      <c r="N17" s="5"/>
      <c r="O17" s="27">
        <v>350</v>
      </c>
      <c r="P17" s="19">
        <v>41799.92</v>
      </c>
      <c r="Q17" s="5"/>
      <c r="R17" s="27">
        <v>345</v>
      </c>
      <c r="S17" s="19">
        <v>41636.9</v>
      </c>
      <c r="T17" s="5"/>
      <c r="U17" s="27">
        <v>345.5</v>
      </c>
      <c r="V17" s="19">
        <v>41724.6</v>
      </c>
      <c r="W17" s="5"/>
      <c r="X17" s="27">
        <v>343</v>
      </c>
      <c r="Y17" s="19">
        <v>41528.44</v>
      </c>
      <c r="Z17" s="5"/>
      <c r="AA17" s="27">
        <v>344</v>
      </c>
      <c r="AB17" s="19">
        <v>41769.91</v>
      </c>
      <c r="AC17" s="5"/>
      <c r="AD17" s="27">
        <v>344.25</v>
      </c>
      <c r="AE17" s="19">
        <v>41942.27</v>
      </c>
      <c r="AF17" s="5"/>
      <c r="AG17" s="27">
        <v>348.5</v>
      </c>
      <c r="AH17" s="19">
        <v>42438.3</v>
      </c>
      <c r="AI17" s="5"/>
      <c r="AJ17" s="27">
        <v>342.25</v>
      </c>
      <c r="AK17" s="19">
        <v>41931.33</v>
      </c>
      <c r="AL17" s="5"/>
      <c r="AM17" s="27">
        <v>344.5</v>
      </c>
      <c r="AN17" s="19">
        <v>42142.97</v>
      </c>
      <c r="AO17" s="5"/>
      <c r="AP17" s="27">
        <v>344</v>
      </c>
      <c r="AQ17" s="19">
        <v>41875.98</v>
      </c>
      <c r="AR17" s="5"/>
      <c r="AS17" s="27">
        <v>347.8</v>
      </c>
      <c r="AT17" s="19">
        <v>42261.76</v>
      </c>
      <c r="AU17" s="5"/>
      <c r="AV17" s="27">
        <v>352</v>
      </c>
      <c r="AW17" s="19">
        <v>42575.28</v>
      </c>
      <c r="AX17" s="5"/>
      <c r="AY17" s="27">
        <v>352.5</v>
      </c>
      <c r="AZ17" s="19">
        <v>42470.38</v>
      </c>
      <c r="BA17" s="5"/>
      <c r="BB17" s="27">
        <v>360</v>
      </c>
      <c r="BC17" s="19">
        <v>42911.4</v>
      </c>
      <c r="BD17" s="5"/>
      <c r="BE17" s="27">
        <v>361.2</v>
      </c>
      <c r="BF17" s="19">
        <v>43109.22</v>
      </c>
      <c r="BG17" s="5"/>
      <c r="BH17" s="27">
        <v>361.75</v>
      </c>
      <c r="BI17" s="19">
        <v>42905.96</v>
      </c>
      <c r="BJ17" s="5"/>
      <c r="BK17" s="27">
        <v>363.5</v>
      </c>
      <c r="BL17" s="19">
        <v>42841.2</v>
      </c>
      <c r="BM17" s="5"/>
      <c r="BN17" s="27">
        <v>358.5</v>
      </c>
      <c r="BO17" s="19">
        <v>42602.35</v>
      </c>
      <c r="BP17" s="5"/>
      <c r="BQ17" s="27">
        <v>355.5</v>
      </c>
      <c r="BR17" s="27">
        <v>42526.39</v>
      </c>
      <c r="BS17" s="27">
        <f t="shared" si="0"/>
        <v>350.1434782608696</v>
      </c>
      <c r="BT17" s="19">
        <f t="shared" si="1"/>
        <v>42116.53260869565</v>
      </c>
      <c r="BW17" s="9"/>
      <c r="BX17" s="31"/>
      <c r="BY17" s="32"/>
    </row>
    <row r="18" spans="1:77" ht="15.75" customHeight="1">
      <c r="A18" s="16">
        <v>6</v>
      </c>
      <c r="B18" s="20" t="s">
        <v>19</v>
      </c>
      <c r="C18" s="27">
        <v>4.55</v>
      </c>
      <c r="D18" s="19">
        <v>538.36</v>
      </c>
      <c r="E18" s="5"/>
      <c r="F18" s="27">
        <v>4.57</v>
      </c>
      <c r="G18" s="19">
        <v>541.58</v>
      </c>
      <c r="H18" s="5"/>
      <c r="I18" s="27">
        <v>4.62</v>
      </c>
      <c r="J18" s="19">
        <v>549.85</v>
      </c>
      <c r="K18" s="5"/>
      <c r="L18" s="27">
        <v>4.66</v>
      </c>
      <c r="M18" s="19">
        <v>555.24</v>
      </c>
      <c r="N18" s="5"/>
      <c r="O18" s="27">
        <v>4.67</v>
      </c>
      <c r="P18" s="19">
        <v>557.73</v>
      </c>
      <c r="Q18" s="5"/>
      <c r="R18" s="27">
        <v>4.69</v>
      </c>
      <c r="S18" s="19">
        <v>566.02</v>
      </c>
      <c r="T18" s="5"/>
      <c r="U18" s="27">
        <v>4.73</v>
      </c>
      <c r="V18" s="19">
        <v>571.22</v>
      </c>
      <c r="W18" s="5"/>
      <c r="X18" s="27">
        <v>4.79</v>
      </c>
      <c r="Y18" s="19">
        <v>579.95</v>
      </c>
      <c r="Z18" s="5"/>
      <c r="AA18" s="27">
        <v>4.75</v>
      </c>
      <c r="AB18" s="19">
        <v>576.76</v>
      </c>
      <c r="AC18" s="5"/>
      <c r="AD18" s="27">
        <v>4.79</v>
      </c>
      <c r="AE18" s="19">
        <v>583.6</v>
      </c>
      <c r="AF18" s="5"/>
      <c r="AG18" s="27">
        <v>4.77</v>
      </c>
      <c r="AH18" s="19">
        <v>580.86</v>
      </c>
      <c r="AI18" s="5"/>
      <c r="AJ18" s="27">
        <v>4.66</v>
      </c>
      <c r="AK18" s="19">
        <v>570.93</v>
      </c>
      <c r="AL18" s="5"/>
      <c r="AM18" s="27">
        <v>4.68</v>
      </c>
      <c r="AN18" s="19">
        <v>572.51</v>
      </c>
      <c r="AO18" s="5"/>
      <c r="AP18" s="27">
        <v>4.66</v>
      </c>
      <c r="AQ18" s="19">
        <v>567.27</v>
      </c>
      <c r="AR18" s="5"/>
      <c r="AS18" s="27">
        <v>4.72</v>
      </c>
      <c r="AT18" s="19">
        <v>573.54</v>
      </c>
      <c r="AU18" s="5"/>
      <c r="AV18" s="27">
        <v>4.75</v>
      </c>
      <c r="AW18" s="19">
        <v>574.52</v>
      </c>
      <c r="AX18" s="5"/>
      <c r="AY18" s="27">
        <v>4.83</v>
      </c>
      <c r="AZ18" s="19">
        <v>581.93</v>
      </c>
      <c r="BA18" s="5"/>
      <c r="BB18" s="27">
        <v>5.01</v>
      </c>
      <c r="BC18" s="19">
        <v>597.18</v>
      </c>
      <c r="BD18" s="5"/>
      <c r="BE18" s="27">
        <v>5.05</v>
      </c>
      <c r="BF18" s="19">
        <v>602.72</v>
      </c>
      <c r="BG18" s="5"/>
      <c r="BH18" s="27">
        <v>5.09</v>
      </c>
      <c r="BI18" s="19">
        <v>603.71</v>
      </c>
      <c r="BJ18" s="5"/>
      <c r="BK18" s="27">
        <v>5.05</v>
      </c>
      <c r="BL18" s="19">
        <v>595.18</v>
      </c>
      <c r="BM18" s="5"/>
      <c r="BN18" s="27">
        <v>5.08</v>
      </c>
      <c r="BO18" s="19">
        <v>603.68</v>
      </c>
      <c r="BP18" s="5"/>
      <c r="BQ18" s="27">
        <v>5.06</v>
      </c>
      <c r="BR18" s="27">
        <v>605.3</v>
      </c>
      <c r="BS18" s="27">
        <f t="shared" si="0"/>
        <v>4.785217391304348</v>
      </c>
      <c r="BT18" s="19">
        <f t="shared" si="1"/>
        <v>575.593043478261</v>
      </c>
      <c r="BW18" s="9"/>
      <c r="BX18" s="31"/>
      <c r="BY18" s="32"/>
    </row>
    <row r="19" spans="1:77" ht="15.75" customHeight="1">
      <c r="A19" s="16">
        <v>7</v>
      </c>
      <c r="B19" s="17" t="s">
        <v>20</v>
      </c>
      <c r="C19" s="27">
        <f>1/0.6737</f>
        <v>1.48434021077631</v>
      </c>
      <c r="D19" s="19">
        <v>79.71</v>
      </c>
      <c r="E19" s="5"/>
      <c r="F19" s="27">
        <f>1/0.6781</f>
        <v>1.474708745022858</v>
      </c>
      <c r="G19" s="19">
        <v>80.36</v>
      </c>
      <c r="H19" s="5"/>
      <c r="I19" s="27">
        <f>1/0.6781</f>
        <v>1.474708745022858</v>
      </c>
      <c r="J19" s="19">
        <v>80.7</v>
      </c>
      <c r="K19" s="5"/>
      <c r="L19" s="27">
        <f>1/0.6808</f>
        <v>1.4688601645123385</v>
      </c>
      <c r="M19" s="19">
        <v>81.12</v>
      </c>
      <c r="N19" s="5"/>
      <c r="O19" s="27">
        <f>1/0.6829</f>
        <v>1.464343242055938</v>
      </c>
      <c r="P19" s="19">
        <v>81.56</v>
      </c>
      <c r="Q19" s="5"/>
      <c r="R19" s="27">
        <f>1/0.6672</f>
        <v>1.498800959232614</v>
      </c>
      <c r="S19" s="19">
        <v>80.52</v>
      </c>
      <c r="T19" s="5"/>
      <c r="U19" s="27">
        <f>1/0.6619</f>
        <v>1.5108022359873092</v>
      </c>
      <c r="V19" s="19">
        <v>79.93</v>
      </c>
      <c r="W19" s="5"/>
      <c r="X19" s="27">
        <f>1/0.6531</f>
        <v>1.5311590874291838</v>
      </c>
      <c r="Y19" s="19">
        <v>79.07</v>
      </c>
      <c r="Z19" s="5"/>
      <c r="AA19" s="27">
        <f>1/0.6582</f>
        <v>1.5192950470981463</v>
      </c>
      <c r="AB19" s="19">
        <v>79.92</v>
      </c>
      <c r="AC19" s="5"/>
      <c r="AD19" s="27">
        <f>1/0.6582</f>
        <v>1.5192950470981463</v>
      </c>
      <c r="AE19" s="19">
        <v>80.19</v>
      </c>
      <c r="AF19" s="5"/>
      <c r="AG19" s="27">
        <f>1/0.6581</f>
        <v>1.51952590791673</v>
      </c>
      <c r="AH19" s="19">
        <v>80.14</v>
      </c>
      <c r="AI19" s="5"/>
      <c r="AJ19" s="27">
        <f>1/0.6528</f>
        <v>1.531862745098039</v>
      </c>
      <c r="AK19" s="19">
        <v>79.98</v>
      </c>
      <c r="AL19" s="5"/>
      <c r="AM19" s="27">
        <f>1/0.6546</f>
        <v>1.527650473571647</v>
      </c>
      <c r="AN19" s="19">
        <v>80.08</v>
      </c>
      <c r="AO19" s="5"/>
      <c r="AP19" s="27">
        <f>1/0.6482</f>
        <v>1.54273372415921</v>
      </c>
      <c r="AQ19" s="19">
        <v>78.91</v>
      </c>
      <c r="AR19" s="5"/>
      <c r="AS19" s="27">
        <f>1/0.6477</f>
        <v>1.543924656476764</v>
      </c>
      <c r="AT19" s="19">
        <v>78.7</v>
      </c>
      <c r="AU19" s="5"/>
      <c r="AV19" s="27">
        <f>1/0.654</f>
        <v>1.529051987767584</v>
      </c>
      <c r="AW19" s="19">
        <v>79.1</v>
      </c>
      <c r="AX19" s="5"/>
      <c r="AY19" s="27">
        <f>1/0.6528</f>
        <v>1.531862745098039</v>
      </c>
      <c r="AZ19" s="19">
        <v>78.65</v>
      </c>
      <c r="BA19" s="5"/>
      <c r="BB19" s="27">
        <f>1/0.663</f>
        <v>1.5082956259426847</v>
      </c>
      <c r="BC19" s="19">
        <v>79.03</v>
      </c>
      <c r="BD19" s="5"/>
      <c r="BE19" s="27">
        <f>1/0.6635</f>
        <v>1.5071590052750565</v>
      </c>
      <c r="BF19" s="19">
        <v>79.19</v>
      </c>
      <c r="BG19" s="5"/>
      <c r="BH19" s="27">
        <f>1/0.6622</f>
        <v>1.5101177891875566</v>
      </c>
      <c r="BI19" s="19">
        <v>78.54</v>
      </c>
      <c r="BJ19" s="18"/>
      <c r="BK19" s="27">
        <f>1/0.6652</f>
        <v>1.503307276007216</v>
      </c>
      <c r="BL19" s="19">
        <v>78.4</v>
      </c>
      <c r="BM19" s="18"/>
      <c r="BN19" s="27">
        <f>1/0.6568</f>
        <v>1.522533495736906</v>
      </c>
      <c r="BO19" s="19">
        <v>78.05</v>
      </c>
      <c r="BP19" s="18"/>
      <c r="BQ19" s="27">
        <f>1/0.6497</f>
        <v>1.5391719255040788</v>
      </c>
      <c r="BR19" s="27">
        <v>77.72</v>
      </c>
      <c r="BS19" s="27">
        <f t="shared" si="0"/>
        <v>1.5114569931294444</v>
      </c>
      <c r="BT19" s="19">
        <f t="shared" si="1"/>
        <v>79.60434782608696</v>
      </c>
      <c r="BW19" s="24"/>
      <c r="BX19" s="31"/>
      <c r="BY19" s="32"/>
    </row>
    <row r="20" spans="1:77" ht="15.75" customHeight="1">
      <c r="A20" s="16">
        <v>8</v>
      </c>
      <c r="B20" s="17" t="s">
        <v>21</v>
      </c>
      <c r="C20" s="27">
        <v>1.351</v>
      </c>
      <c r="D20" s="19">
        <v>87.58</v>
      </c>
      <c r="E20" s="5"/>
      <c r="F20" s="27">
        <v>1.35</v>
      </c>
      <c r="G20" s="19">
        <v>87.78</v>
      </c>
      <c r="H20" s="5"/>
      <c r="I20" s="27">
        <v>1.3433</v>
      </c>
      <c r="J20" s="19">
        <v>88.6</v>
      </c>
      <c r="K20" s="5"/>
      <c r="L20" s="27">
        <v>1.3371</v>
      </c>
      <c r="M20" s="19">
        <v>89.11</v>
      </c>
      <c r="N20" s="5"/>
      <c r="O20" s="27">
        <v>1.3431</v>
      </c>
      <c r="P20" s="19">
        <v>88.92</v>
      </c>
      <c r="Q20" s="5"/>
      <c r="R20" s="27">
        <v>1.3578</v>
      </c>
      <c r="S20" s="19">
        <v>88.88</v>
      </c>
      <c r="T20" s="5"/>
      <c r="U20" s="27">
        <v>1.3613</v>
      </c>
      <c r="V20" s="19">
        <v>88.71</v>
      </c>
      <c r="W20" s="5"/>
      <c r="X20" s="27">
        <v>1.3813</v>
      </c>
      <c r="Y20" s="19">
        <v>87.65</v>
      </c>
      <c r="Z20" s="5"/>
      <c r="AA20" s="27">
        <v>1.3828</v>
      </c>
      <c r="AB20" s="19">
        <v>87.81</v>
      </c>
      <c r="AC20" s="5"/>
      <c r="AD20" s="27">
        <v>1.3803</v>
      </c>
      <c r="AE20" s="19">
        <v>88.27</v>
      </c>
      <c r="AF20" s="5"/>
      <c r="AG20" s="27">
        <v>1.3747</v>
      </c>
      <c r="AH20" s="19">
        <v>88.58</v>
      </c>
      <c r="AI20" s="5"/>
      <c r="AJ20" s="27">
        <v>1.3935</v>
      </c>
      <c r="AK20" s="19">
        <v>87.92</v>
      </c>
      <c r="AL20" s="5"/>
      <c r="AM20" s="27">
        <v>1.3875</v>
      </c>
      <c r="AN20" s="19">
        <v>88.17</v>
      </c>
      <c r="AO20" s="5"/>
      <c r="AP20" s="27">
        <v>1.4005</v>
      </c>
      <c r="AQ20" s="19">
        <v>86.92</v>
      </c>
      <c r="AR20" s="5"/>
      <c r="AS20" s="27">
        <v>1.4063</v>
      </c>
      <c r="AT20" s="19">
        <v>86.41</v>
      </c>
      <c r="AU20" s="5"/>
      <c r="AV20" s="27">
        <v>1.403</v>
      </c>
      <c r="AW20" s="19">
        <v>86.21</v>
      </c>
      <c r="AX20" s="5"/>
      <c r="AY20" s="27">
        <v>1.4175</v>
      </c>
      <c r="AZ20" s="19">
        <v>85</v>
      </c>
      <c r="BA20" s="5"/>
      <c r="BB20" s="27">
        <v>1.3934</v>
      </c>
      <c r="BC20" s="19">
        <v>85.54</v>
      </c>
      <c r="BD20" s="5"/>
      <c r="BE20" s="27">
        <v>1.3911</v>
      </c>
      <c r="BF20" s="19">
        <v>85.8</v>
      </c>
      <c r="BG20" s="5"/>
      <c r="BH20" s="27">
        <v>1.3814</v>
      </c>
      <c r="BI20" s="19">
        <v>85.86</v>
      </c>
      <c r="BJ20" s="5"/>
      <c r="BK20" s="27">
        <v>1.3815</v>
      </c>
      <c r="BL20" s="19">
        <v>85.31</v>
      </c>
      <c r="BM20" s="5"/>
      <c r="BN20" s="27">
        <v>1.3928</v>
      </c>
      <c r="BO20" s="19">
        <v>85.32</v>
      </c>
      <c r="BP20" s="5"/>
      <c r="BQ20" s="27">
        <v>1.4046</v>
      </c>
      <c r="BR20" s="27">
        <v>85.17</v>
      </c>
      <c r="BS20" s="27">
        <f t="shared" si="0"/>
        <v>1.3779043478260868</v>
      </c>
      <c r="BT20" s="19">
        <f t="shared" si="1"/>
        <v>87.32347826086958</v>
      </c>
      <c r="BW20" s="9"/>
      <c r="BX20" s="31"/>
      <c r="BY20" s="32"/>
    </row>
    <row r="21" spans="1:77" ht="15.75" customHeight="1">
      <c r="A21" s="16">
        <v>9</v>
      </c>
      <c r="B21" s="17" t="s">
        <v>22</v>
      </c>
      <c r="C21" s="27">
        <v>7.9746</v>
      </c>
      <c r="D21" s="19">
        <v>14.84</v>
      </c>
      <c r="E21" s="5"/>
      <c r="F21" s="27">
        <v>7.9703</v>
      </c>
      <c r="G21" s="19">
        <v>14.87</v>
      </c>
      <c r="H21" s="5"/>
      <c r="I21" s="27">
        <v>8.013</v>
      </c>
      <c r="J21" s="19">
        <v>14.85</v>
      </c>
      <c r="K21" s="5"/>
      <c r="L21" s="27">
        <v>8.0019</v>
      </c>
      <c r="M21" s="19">
        <v>14.89</v>
      </c>
      <c r="N21" s="5"/>
      <c r="O21" s="27">
        <v>8.1176</v>
      </c>
      <c r="P21" s="19">
        <v>14.71</v>
      </c>
      <c r="Q21" s="5"/>
      <c r="R21" s="27">
        <v>8.1381</v>
      </c>
      <c r="S21" s="19">
        <v>14.83</v>
      </c>
      <c r="T21" s="5"/>
      <c r="U21" s="27">
        <v>8.058</v>
      </c>
      <c r="V21" s="19">
        <v>14.99</v>
      </c>
      <c r="W21" s="5"/>
      <c r="X21" s="27">
        <v>8.0687</v>
      </c>
      <c r="Y21" s="19">
        <v>15.01</v>
      </c>
      <c r="Z21" s="5"/>
      <c r="AA21" s="27">
        <v>8.0627</v>
      </c>
      <c r="AB21" s="19">
        <v>15.06</v>
      </c>
      <c r="AC21" s="5"/>
      <c r="AD21" s="27">
        <v>8.1059</v>
      </c>
      <c r="AE21" s="19">
        <v>15.03</v>
      </c>
      <c r="AF21" s="5"/>
      <c r="AG21" s="27">
        <v>8.0716</v>
      </c>
      <c r="AH21" s="19">
        <v>15.09</v>
      </c>
      <c r="AI21" s="5"/>
      <c r="AJ21" s="27">
        <v>8.1939</v>
      </c>
      <c r="AK21" s="19">
        <v>14.95</v>
      </c>
      <c r="AL21" s="5"/>
      <c r="AM21" s="27">
        <v>8.1903</v>
      </c>
      <c r="AN21" s="19">
        <v>14.94</v>
      </c>
      <c r="AO21" s="5"/>
      <c r="AP21" s="27">
        <v>8.2286</v>
      </c>
      <c r="AQ21" s="19">
        <v>14.79</v>
      </c>
      <c r="AR21" s="5"/>
      <c r="AS21" s="27">
        <v>8.2065</v>
      </c>
      <c r="AT21" s="19">
        <v>14.81</v>
      </c>
      <c r="AU21" s="5"/>
      <c r="AV21" s="27">
        <v>8.1575</v>
      </c>
      <c r="AW21" s="19">
        <v>14.83</v>
      </c>
      <c r="AX21" s="5"/>
      <c r="AY21" s="27">
        <v>8.121</v>
      </c>
      <c r="AZ21" s="19">
        <v>14.84</v>
      </c>
      <c r="BA21" s="5"/>
      <c r="BB21" s="27">
        <v>8.03</v>
      </c>
      <c r="BC21" s="19">
        <v>14.84</v>
      </c>
      <c r="BD21" s="5"/>
      <c r="BE21" s="27">
        <v>8.01</v>
      </c>
      <c r="BF21" s="19">
        <v>14.9</v>
      </c>
      <c r="BG21" s="5"/>
      <c r="BH21" s="27">
        <v>7.9863</v>
      </c>
      <c r="BI21" s="19">
        <v>14.85</v>
      </c>
      <c r="BJ21" s="5"/>
      <c r="BK21" s="27">
        <v>7.9915</v>
      </c>
      <c r="BL21" s="19">
        <v>14.75</v>
      </c>
      <c r="BM21" s="5"/>
      <c r="BN21" s="27">
        <v>8.0295</v>
      </c>
      <c r="BO21" s="19">
        <v>14.8</v>
      </c>
      <c r="BP21" s="5"/>
      <c r="BQ21" s="27">
        <v>8.1154</v>
      </c>
      <c r="BR21" s="27">
        <v>14.74</v>
      </c>
      <c r="BS21" s="27">
        <f t="shared" si="0"/>
        <v>8.083295652173915</v>
      </c>
      <c r="BT21" s="19">
        <f t="shared" si="1"/>
        <v>14.883478260869564</v>
      </c>
      <c r="BW21" s="9"/>
      <c r="BX21" s="31"/>
      <c r="BY21" s="32"/>
    </row>
    <row r="22" spans="1:77" ht="15.75" customHeight="1">
      <c r="A22" s="16">
        <v>10</v>
      </c>
      <c r="B22" s="17" t="s">
        <v>23</v>
      </c>
      <c r="C22" s="27">
        <v>7.2077</v>
      </c>
      <c r="D22" s="19">
        <v>16.42</v>
      </c>
      <c r="E22" s="5"/>
      <c r="F22" s="27">
        <v>7.1605</v>
      </c>
      <c r="G22" s="19">
        <v>16.55</v>
      </c>
      <c r="H22" s="5"/>
      <c r="I22" s="27">
        <v>7.2178</v>
      </c>
      <c r="J22" s="19">
        <v>16.49</v>
      </c>
      <c r="K22" s="5"/>
      <c r="L22" s="27">
        <v>7.2119</v>
      </c>
      <c r="M22" s="19">
        <v>16.52</v>
      </c>
      <c r="N22" s="5"/>
      <c r="O22" s="27">
        <v>7.2836</v>
      </c>
      <c r="P22" s="19">
        <v>16.4</v>
      </c>
      <c r="Q22" s="5"/>
      <c r="R22" s="27">
        <v>7.3397</v>
      </c>
      <c r="S22" s="19">
        <v>16.44</v>
      </c>
      <c r="T22" s="5"/>
      <c r="U22" s="27">
        <v>7.263</v>
      </c>
      <c r="V22" s="19">
        <v>16.63</v>
      </c>
      <c r="W22" s="5"/>
      <c r="X22" s="27">
        <v>7.3505</v>
      </c>
      <c r="Y22" s="19">
        <v>16.47</v>
      </c>
      <c r="Z22" s="5"/>
      <c r="AA22" s="27">
        <v>7.342</v>
      </c>
      <c r="AB22" s="19">
        <v>16.54</v>
      </c>
      <c r="AC22" s="5"/>
      <c r="AD22" s="27">
        <v>7.3922</v>
      </c>
      <c r="AE22" s="19">
        <v>16.48</v>
      </c>
      <c r="AF22" s="5"/>
      <c r="AG22" s="27">
        <v>7.3831</v>
      </c>
      <c r="AH22" s="19">
        <v>16.49</v>
      </c>
      <c r="AI22" s="5"/>
      <c r="AJ22" s="27">
        <v>7.4849</v>
      </c>
      <c r="AK22" s="19">
        <v>16.37</v>
      </c>
      <c r="AL22" s="5"/>
      <c r="AM22" s="27">
        <v>7.4221</v>
      </c>
      <c r="AN22" s="19">
        <v>16.48</v>
      </c>
      <c r="AO22" s="5"/>
      <c r="AP22" s="27">
        <v>7.4692</v>
      </c>
      <c r="AQ22" s="19">
        <v>16.3</v>
      </c>
      <c r="AR22" s="5"/>
      <c r="AS22" s="27">
        <v>7.4102</v>
      </c>
      <c r="AT22" s="19">
        <v>16.4</v>
      </c>
      <c r="AU22" s="5"/>
      <c r="AV22" s="27">
        <v>7.3461</v>
      </c>
      <c r="AW22" s="19">
        <v>16.46</v>
      </c>
      <c r="AX22" s="5"/>
      <c r="AY22" s="27">
        <v>7.3123</v>
      </c>
      <c r="AZ22" s="19">
        <v>16.48</v>
      </c>
      <c r="BA22" s="5"/>
      <c r="BB22" s="27">
        <v>7.208</v>
      </c>
      <c r="BC22" s="19">
        <v>16.54</v>
      </c>
      <c r="BD22" s="5"/>
      <c r="BE22" s="27">
        <v>7.1675</v>
      </c>
      <c r="BF22" s="19">
        <v>16.65</v>
      </c>
      <c r="BG22" s="5"/>
      <c r="BH22" s="27">
        <v>7.1549</v>
      </c>
      <c r="BI22" s="19">
        <v>16.58</v>
      </c>
      <c r="BJ22" s="5"/>
      <c r="BK22" s="27">
        <v>7.174</v>
      </c>
      <c r="BL22" s="19">
        <v>16.43</v>
      </c>
      <c r="BM22" s="5"/>
      <c r="BN22" s="27">
        <v>7.2055</v>
      </c>
      <c r="BO22" s="19">
        <v>16.49</v>
      </c>
      <c r="BP22" s="5"/>
      <c r="BQ22" s="27">
        <v>7.2021</v>
      </c>
      <c r="BR22" s="27">
        <v>16.61</v>
      </c>
      <c r="BS22" s="27">
        <f t="shared" si="0"/>
        <v>7.2991913043478265</v>
      </c>
      <c r="BT22" s="19">
        <f t="shared" si="1"/>
        <v>16.48304347826087</v>
      </c>
      <c r="BW22" s="9"/>
      <c r="BX22" s="31"/>
      <c r="BY22" s="32"/>
    </row>
    <row r="23" spans="1:77" ht="15.75" customHeight="1">
      <c r="A23" s="16">
        <v>11</v>
      </c>
      <c r="B23" s="17" t="s">
        <v>24</v>
      </c>
      <c r="C23" s="27">
        <v>6.4386</v>
      </c>
      <c r="D23" s="19">
        <v>18.38</v>
      </c>
      <c r="E23" s="5"/>
      <c r="F23" s="27">
        <v>6.4382</v>
      </c>
      <c r="G23" s="19">
        <v>18.41</v>
      </c>
      <c r="H23" s="5"/>
      <c r="I23" s="27">
        <v>6.4887</v>
      </c>
      <c r="J23" s="19">
        <v>18.34</v>
      </c>
      <c r="K23" s="5"/>
      <c r="L23" s="27">
        <v>6.4783</v>
      </c>
      <c r="M23" s="19">
        <v>18.39</v>
      </c>
      <c r="N23" s="5"/>
      <c r="O23" s="27">
        <v>6.5256</v>
      </c>
      <c r="P23" s="19">
        <v>18.3</v>
      </c>
      <c r="Q23" s="5"/>
      <c r="R23" s="27">
        <v>6.5907</v>
      </c>
      <c r="S23" s="19">
        <v>18.31</v>
      </c>
      <c r="T23" s="5"/>
      <c r="U23" s="27">
        <v>6.5557</v>
      </c>
      <c r="V23" s="19">
        <v>18.42</v>
      </c>
      <c r="W23" s="5"/>
      <c r="X23" s="27">
        <v>6.5692</v>
      </c>
      <c r="Y23" s="19">
        <v>18.43</v>
      </c>
      <c r="Z23" s="5"/>
      <c r="AA23" s="27">
        <v>6.5615</v>
      </c>
      <c r="AB23" s="19">
        <v>18.51</v>
      </c>
      <c r="AC23" s="5"/>
      <c r="AD23" s="27">
        <v>6.5982</v>
      </c>
      <c r="AE23" s="19">
        <v>18.47</v>
      </c>
      <c r="AF23" s="5"/>
      <c r="AG23" s="27">
        <v>6.5652</v>
      </c>
      <c r="AH23" s="19">
        <v>18.55</v>
      </c>
      <c r="AI23" s="5"/>
      <c r="AJ23" s="27">
        <v>6.6648</v>
      </c>
      <c r="AK23" s="19">
        <v>18.38</v>
      </c>
      <c r="AL23" s="5"/>
      <c r="AM23" s="27">
        <v>6.6231</v>
      </c>
      <c r="AN23" s="19">
        <v>18.47</v>
      </c>
      <c r="AO23" s="5"/>
      <c r="AP23" s="27">
        <v>6.6337</v>
      </c>
      <c r="AQ23" s="19">
        <v>18.35</v>
      </c>
      <c r="AR23" s="5"/>
      <c r="AS23" s="27">
        <v>6.5795</v>
      </c>
      <c r="AT23" s="19">
        <v>18.47</v>
      </c>
      <c r="AU23" s="5"/>
      <c r="AV23" s="27">
        <v>6.5435</v>
      </c>
      <c r="AW23" s="19">
        <v>18.48</v>
      </c>
      <c r="AX23" s="5"/>
      <c r="AY23" s="27">
        <v>6.5261</v>
      </c>
      <c r="AZ23" s="19">
        <v>18.46</v>
      </c>
      <c r="BA23" s="5"/>
      <c r="BB23" s="27">
        <v>6.474</v>
      </c>
      <c r="BC23" s="19">
        <v>18.41</v>
      </c>
      <c r="BD23" s="5"/>
      <c r="BE23" s="27">
        <v>6.4649</v>
      </c>
      <c r="BF23" s="19">
        <v>18.46</v>
      </c>
      <c r="BG23" s="5"/>
      <c r="BH23" s="27">
        <v>6.4703</v>
      </c>
      <c r="BI23" s="19">
        <v>18.33</v>
      </c>
      <c r="BJ23" s="5"/>
      <c r="BK23" s="27">
        <v>6.4659</v>
      </c>
      <c r="BL23" s="19">
        <v>18.23</v>
      </c>
      <c r="BM23" s="5"/>
      <c r="BN23" s="27">
        <v>6.4994</v>
      </c>
      <c r="BO23" s="19">
        <v>18.28</v>
      </c>
      <c r="BP23" s="5"/>
      <c r="BQ23" s="27">
        <v>6.5686</v>
      </c>
      <c r="BR23" s="27">
        <v>18.21</v>
      </c>
      <c r="BS23" s="27">
        <f t="shared" si="0"/>
        <v>6.541843478260871</v>
      </c>
      <c r="BT23" s="19">
        <f t="shared" si="1"/>
        <v>18.389565217391308</v>
      </c>
      <c r="BW23" s="9"/>
      <c r="BX23" s="31"/>
      <c r="BY23" s="32"/>
    </row>
    <row r="24" spans="1:77" ht="15.75" customHeight="1">
      <c r="A24" s="16">
        <v>12</v>
      </c>
      <c r="B24" s="17" t="s">
        <v>25</v>
      </c>
      <c r="C24" s="27">
        <f>1/1.40086</f>
        <v>0.713847208143569</v>
      </c>
      <c r="D24" s="19">
        <v>165.75</v>
      </c>
      <c r="E24" s="5"/>
      <c r="F24" s="27">
        <f>1/1.40767</f>
        <v>0.7103937712674135</v>
      </c>
      <c r="G24" s="19">
        <v>166.82</v>
      </c>
      <c r="H24" s="5"/>
      <c r="I24" s="27">
        <f>1/1.40864</f>
        <v>0.7099045888232622</v>
      </c>
      <c r="J24" s="19">
        <v>167.65</v>
      </c>
      <c r="K24" s="5"/>
      <c r="L24" s="27">
        <f>1/1.40607</f>
        <v>0.7112021449856694</v>
      </c>
      <c r="M24" s="19">
        <v>167.53</v>
      </c>
      <c r="N24" s="5"/>
      <c r="O24" s="27">
        <f>1/1.40607</f>
        <v>0.7112021449856694</v>
      </c>
      <c r="P24" s="19">
        <v>167.92</v>
      </c>
      <c r="Q24" s="5"/>
      <c r="R24" s="27">
        <f>1/1.40185</f>
        <v>0.7133430823554588</v>
      </c>
      <c r="S24" s="19">
        <v>169.18</v>
      </c>
      <c r="T24" s="5"/>
      <c r="U24" s="27">
        <f>1/1.39561</f>
        <v>0.7165325556566663</v>
      </c>
      <c r="V24" s="19">
        <v>168.54</v>
      </c>
      <c r="W24" s="5"/>
      <c r="X24" s="27">
        <f>1/1.39936</f>
        <v>0.7146123942373657</v>
      </c>
      <c r="Y24" s="19">
        <v>169.43</v>
      </c>
      <c r="Z24" s="5"/>
      <c r="AA24" s="27">
        <f>1/1.39931</f>
        <v>0.7146379286934275</v>
      </c>
      <c r="AB24" s="19">
        <v>169.91</v>
      </c>
      <c r="AC24" s="5"/>
      <c r="AD24" s="27">
        <f>1/1.39842</f>
        <v>0.7150927475293546</v>
      </c>
      <c r="AE24" s="19">
        <v>170.38</v>
      </c>
      <c r="AF24" s="5"/>
      <c r="AG24" s="27">
        <f>1/1.39591</f>
        <v>0.7163785630878782</v>
      </c>
      <c r="AH24" s="19">
        <v>169.99</v>
      </c>
      <c r="AI24" s="5"/>
      <c r="AJ24" s="27">
        <f>1/1.39726</f>
        <v>0.7156864148404736</v>
      </c>
      <c r="AK24" s="19">
        <v>171.19</v>
      </c>
      <c r="AL24" s="5"/>
      <c r="AM24" s="27">
        <f>1/1.3855</f>
        <v>0.7217610970768675</v>
      </c>
      <c r="AN24" s="19">
        <v>169.49</v>
      </c>
      <c r="AO24" s="5"/>
      <c r="AP24" s="27">
        <f>1/1.38983</f>
        <v>0.7195124583582165</v>
      </c>
      <c r="AQ24" s="19">
        <v>169.19</v>
      </c>
      <c r="AR24" s="5"/>
      <c r="AS24" s="27">
        <f>1/1.3868</f>
        <v>0.7210845111047015</v>
      </c>
      <c r="AT24" s="19">
        <v>168.51</v>
      </c>
      <c r="AU24" s="5"/>
      <c r="AV24" s="27">
        <f>1/1.39197</f>
        <v>0.7184062874918281</v>
      </c>
      <c r="AW24" s="19">
        <v>168.36</v>
      </c>
      <c r="AX24" s="5"/>
      <c r="AY24" s="27">
        <f>1/1.39511</f>
        <v>0.7167893571116256</v>
      </c>
      <c r="AZ24" s="19">
        <v>168.09</v>
      </c>
      <c r="BA24" s="5"/>
      <c r="BB24" s="27">
        <f>1/1.397</f>
        <v>0.7158196134574087</v>
      </c>
      <c r="BC24" s="19">
        <v>166.52</v>
      </c>
      <c r="BD24" s="5"/>
      <c r="BE24" s="27">
        <f>1/1.40235</f>
        <v>0.7130887438941776</v>
      </c>
      <c r="BF24" s="19">
        <v>167.37</v>
      </c>
      <c r="BG24" s="5"/>
      <c r="BH24" s="27">
        <f>1/1.40188</f>
        <v>0.713327816931549</v>
      </c>
      <c r="BI24" s="19">
        <v>166.27</v>
      </c>
      <c r="BJ24" s="5"/>
      <c r="BK24" s="27">
        <f>1/1.40056</f>
        <v>0.7140001142400183</v>
      </c>
      <c r="BL24" s="19">
        <v>165.07</v>
      </c>
      <c r="BM24" s="5"/>
      <c r="BN24" s="27">
        <f>1/1.4</f>
        <v>0.7142857142857143</v>
      </c>
      <c r="BO24" s="19">
        <v>166.57</v>
      </c>
      <c r="BP24" s="5"/>
      <c r="BQ24" s="27">
        <f>1/1.4</f>
        <v>0.7142857142857143</v>
      </c>
      <c r="BR24" s="27">
        <v>167.39</v>
      </c>
      <c r="BS24" s="27">
        <f t="shared" si="0"/>
        <v>0.7149605230683861</v>
      </c>
      <c r="BT24" s="19">
        <f t="shared" si="1"/>
        <v>168.27043478260873</v>
      </c>
      <c r="BW24" s="9"/>
      <c r="BX24" s="31"/>
      <c r="BY24" s="32"/>
    </row>
    <row r="25" spans="1:77" ht="15.75" customHeight="1" thickBot="1">
      <c r="A25" s="35">
        <v>13</v>
      </c>
      <c r="B25" s="36" t="s">
        <v>26</v>
      </c>
      <c r="C25" s="28">
        <v>1</v>
      </c>
      <c r="D25" s="22">
        <v>118.32</v>
      </c>
      <c r="E25" s="21"/>
      <c r="F25" s="28">
        <v>1</v>
      </c>
      <c r="G25" s="22">
        <v>118.51</v>
      </c>
      <c r="H25" s="21"/>
      <c r="I25" s="28">
        <v>1</v>
      </c>
      <c r="J25" s="22">
        <v>119.02</v>
      </c>
      <c r="K25" s="21"/>
      <c r="L25" s="28">
        <v>1</v>
      </c>
      <c r="M25" s="22">
        <v>119.15</v>
      </c>
      <c r="N25" s="21"/>
      <c r="O25" s="28">
        <v>1</v>
      </c>
      <c r="P25" s="22">
        <v>119.43</v>
      </c>
      <c r="Q25" s="21"/>
      <c r="R25" s="28">
        <v>1</v>
      </c>
      <c r="S25" s="22">
        <v>120.69</v>
      </c>
      <c r="T25" s="21"/>
      <c r="U25" s="28">
        <v>1</v>
      </c>
      <c r="V25" s="22">
        <v>120.77</v>
      </c>
      <c r="W25" s="21"/>
      <c r="X25" s="28">
        <v>1</v>
      </c>
      <c r="Y25" s="22">
        <v>121.07</v>
      </c>
      <c r="Z25" s="21"/>
      <c r="AA25" s="28">
        <v>1</v>
      </c>
      <c r="AB25" s="22">
        <v>121.42</v>
      </c>
      <c r="AC25" s="21"/>
      <c r="AD25" s="28">
        <v>1</v>
      </c>
      <c r="AE25" s="22">
        <v>121.84</v>
      </c>
      <c r="AF25" s="21"/>
      <c r="AG25" s="28">
        <v>1</v>
      </c>
      <c r="AH25" s="22">
        <v>121.77</v>
      </c>
      <c r="AI25" s="21"/>
      <c r="AJ25" s="28">
        <v>1</v>
      </c>
      <c r="AK25" s="22">
        <v>122.52</v>
      </c>
      <c r="AL25" s="21"/>
      <c r="AM25" s="28">
        <v>1</v>
      </c>
      <c r="AN25" s="22">
        <v>122.33</v>
      </c>
      <c r="AO25" s="21"/>
      <c r="AP25" s="28">
        <v>1</v>
      </c>
      <c r="AQ25" s="22">
        <v>121.73</v>
      </c>
      <c r="AR25" s="21"/>
      <c r="AS25" s="28">
        <v>1</v>
      </c>
      <c r="AT25" s="22">
        <v>121.51</v>
      </c>
      <c r="AU25" s="21"/>
      <c r="AV25" s="28">
        <v>1</v>
      </c>
      <c r="AW25" s="22">
        <v>120.95</v>
      </c>
      <c r="AX25" s="21"/>
      <c r="AY25" s="28">
        <v>1</v>
      </c>
      <c r="AZ25" s="22">
        <v>120.48</v>
      </c>
      <c r="BA25" s="21"/>
      <c r="BB25" s="28">
        <v>1</v>
      </c>
      <c r="BC25" s="22">
        <v>119.2</v>
      </c>
      <c r="BD25" s="21"/>
      <c r="BE25" s="28">
        <v>1</v>
      </c>
      <c r="BF25" s="22">
        <v>119.35</v>
      </c>
      <c r="BG25" s="21"/>
      <c r="BH25" s="28">
        <v>1</v>
      </c>
      <c r="BI25" s="22">
        <v>118.61</v>
      </c>
      <c r="BJ25" s="21"/>
      <c r="BK25" s="28">
        <v>1</v>
      </c>
      <c r="BL25" s="22">
        <v>117.86</v>
      </c>
      <c r="BM25" s="21"/>
      <c r="BN25" s="28">
        <v>1</v>
      </c>
      <c r="BO25" s="22">
        <v>118.84</v>
      </c>
      <c r="BP25" s="21"/>
      <c r="BQ25" s="28">
        <v>1</v>
      </c>
      <c r="BR25" s="28">
        <v>119.62</v>
      </c>
      <c r="BS25" s="28">
        <f t="shared" si="0"/>
        <v>1</v>
      </c>
      <c r="BT25" s="22">
        <f t="shared" si="1"/>
        <v>120.30565217391305</v>
      </c>
      <c r="BW25" s="9"/>
      <c r="BX25" s="31"/>
      <c r="BY25" s="32"/>
    </row>
    <row r="26" spans="1:77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9"/>
      <c r="BO26" s="31"/>
      <c r="BP26" s="9"/>
      <c r="BQ26" s="9"/>
      <c r="BR26" s="31"/>
      <c r="BS26" s="31"/>
      <c r="BT26" s="32"/>
      <c r="BW26" s="9"/>
      <c r="BX26" s="31"/>
      <c r="BY26" s="32"/>
    </row>
    <row r="27" spans="1:77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  <c r="BW27" s="40"/>
      <c r="BX27" s="40"/>
      <c r="BY27" s="40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&amp;L&amp;"Helv,Bold"Banka e Shqiperise
Sektori i Informacionit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2"/>
  <sheetViews>
    <sheetView zoomScale="75" zoomScaleNormal="75" zoomScalePageLayoutView="0" workbookViewId="0" topLeftCell="A1">
      <pane xSplit="2" ySplit="11" topLeftCell="AO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Y4" sqref="AY4:AZ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178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1" ht="15.75" customHeight="1">
      <c r="A4" s="6" t="s">
        <v>2</v>
      </c>
      <c r="B4" s="5"/>
      <c r="C4" s="4" t="s">
        <v>179</v>
      </c>
      <c r="D4" s="4"/>
      <c r="E4" s="10"/>
      <c r="F4" s="4" t="s">
        <v>180</v>
      </c>
      <c r="G4" s="4"/>
      <c r="H4" s="10"/>
      <c r="I4" s="4" t="s">
        <v>191</v>
      </c>
      <c r="J4" s="4"/>
      <c r="K4" s="10"/>
      <c r="L4" s="4" t="s">
        <v>192</v>
      </c>
      <c r="M4" s="4"/>
      <c r="N4" s="10"/>
      <c r="O4" s="4" t="s">
        <v>193</v>
      </c>
      <c r="P4" s="4"/>
      <c r="Q4" s="10"/>
      <c r="R4" s="4" t="s">
        <v>181</v>
      </c>
      <c r="S4" s="4"/>
      <c r="T4" s="10"/>
      <c r="U4" s="4" t="s">
        <v>182</v>
      </c>
      <c r="V4" s="4"/>
      <c r="W4" s="10"/>
      <c r="X4" s="4" t="s">
        <v>194</v>
      </c>
      <c r="Y4" s="4"/>
      <c r="Z4" s="10"/>
      <c r="AA4" s="4" t="s">
        <v>195</v>
      </c>
      <c r="AB4" s="4"/>
      <c r="AC4" s="10"/>
      <c r="AD4" s="4" t="s">
        <v>183</v>
      </c>
      <c r="AE4" s="4"/>
      <c r="AF4" s="10"/>
      <c r="AG4" s="4" t="s">
        <v>184</v>
      </c>
      <c r="AH4" s="4"/>
      <c r="AI4" s="10"/>
      <c r="AJ4" s="4" t="s">
        <v>185</v>
      </c>
      <c r="AK4" s="4"/>
      <c r="AL4" s="10"/>
      <c r="AM4" s="4" t="s">
        <v>196</v>
      </c>
      <c r="AN4" s="4"/>
      <c r="AO4" s="10"/>
      <c r="AP4" s="4" t="s">
        <v>197</v>
      </c>
      <c r="AQ4" s="4"/>
      <c r="AR4" s="10"/>
      <c r="AS4" s="4" t="s">
        <v>186</v>
      </c>
      <c r="AT4" s="4"/>
      <c r="AU4" s="10"/>
      <c r="AV4" s="4" t="s">
        <v>187</v>
      </c>
      <c r="AW4" s="4"/>
      <c r="AX4" s="26"/>
      <c r="AY4" s="4" t="s">
        <v>188</v>
      </c>
      <c r="AZ4" s="4"/>
      <c r="BA4" s="26"/>
      <c r="BB4" s="4" t="s">
        <v>198</v>
      </c>
      <c r="BC4" s="4"/>
      <c r="BD4" s="26"/>
      <c r="BE4" s="4" t="s">
        <v>199</v>
      </c>
      <c r="BF4" s="4"/>
      <c r="BG4" s="4"/>
      <c r="BH4" s="4" t="s">
        <v>189</v>
      </c>
      <c r="BI4" s="4"/>
      <c r="BJ4" s="4"/>
      <c r="BK4" s="4" t="s">
        <v>190</v>
      </c>
      <c r="BL4" s="4"/>
      <c r="BM4" s="4" t="s">
        <v>3</v>
      </c>
      <c r="BN4" s="4"/>
      <c r="BQ4" s="38"/>
      <c r="BR4" s="37"/>
      <c r="BS4" s="37"/>
    </row>
    <row r="5" spans="1:7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Q5" s="38"/>
      <c r="BR5" s="38"/>
      <c r="BS5" s="38"/>
    </row>
    <row r="6" spans="1:71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Q6" s="9"/>
      <c r="BR6" s="9"/>
      <c r="BS6" s="9"/>
    </row>
    <row r="7" spans="1:71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 t="s">
        <v>5</v>
      </c>
      <c r="BN7" s="12" t="s">
        <v>5</v>
      </c>
      <c r="BQ7" s="39"/>
      <c r="BR7" s="39"/>
      <c r="BS7" s="39"/>
    </row>
    <row r="8" spans="1:71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 t="s">
        <v>8</v>
      </c>
      <c r="BN8" s="12" t="s">
        <v>9</v>
      </c>
      <c r="BQ8" s="39"/>
      <c r="BR8" s="39"/>
      <c r="BS8" s="39"/>
    </row>
    <row r="9" spans="1:71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 t="s">
        <v>7</v>
      </c>
      <c r="BN9" s="12" t="s">
        <v>11</v>
      </c>
      <c r="BQ9" s="39"/>
      <c r="BR9" s="39"/>
      <c r="BS9" s="39"/>
    </row>
    <row r="10" spans="1:71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 t="s">
        <v>10</v>
      </c>
      <c r="BN10" s="12" t="s">
        <v>12</v>
      </c>
      <c r="BQ10" s="39"/>
      <c r="BR10" s="39"/>
      <c r="BS10" s="39"/>
    </row>
    <row r="11" spans="1:77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0"/>
      <c r="BP11" s="40"/>
      <c r="BQ11" s="9"/>
      <c r="BR11" s="9"/>
      <c r="BS11" s="9"/>
      <c r="BT11" s="40"/>
      <c r="BU11" s="40"/>
      <c r="BV11" s="40"/>
      <c r="BW11" s="40"/>
      <c r="BX11" s="40"/>
      <c r="BY11" s="40"/>
    </row>
    <row r="12" spans="1:77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40"/>
      <c r="BP12" s="40"/>
      <c r="BQ12" s="9"/>
      <c r="BR12" s="9"/>
      <c r="BS12" s="9"/>
      <c r="BT12" s="40"/>
      <c r="BU12" s="40"/>
      <c r="BV12" s="40"/>
      <c r="BW12" s="40"/>
      <c r="BX12" s="40"/>
      <c r="BY12" s="40"/>
    </row>
    <row r="13" spans="1:71" ht="15.75" customHeight="1">
      <c r="A13" s="16">
        <v>1</v>
      </c>
      <c r="B13" s="17" t="s">
        <v>14</v>
      </c>
      <c r="C13" s="27">
        <v>120.33</v>
      </c>
      <c r="D13" s="19">
        <v>100.33</v>
      </c>
      <c r="E13" s="5"/>
      <c r="F13" s="27">
        <v>119.97</v>
      </c>
      <c r="G13" s="19">
        <v>98.83</v>
      </c>
      <c r="H13" s="5"/>
      <c r="I13" s="27">
        <v>120.47</v>
      </c>
      <c r="J13" s="19">
        <v>98.14</v>
      </c>
      <c r="K13" s="5"/>
      <c r="L13" s="27">
        <v>119.96</v>
      </c>
      <c r="M13" s="19">
        <v>98.59</v>
      </c>
      <c r="N13" s="5"/>
      <c r="O13" s="27">
        <v>119.87</v>
      </c>
      <c r="P13" s="19">
        <v>98.93</v>
      </c>
      <c r="Q13" s="5"/>
      <c r="R13" s="27">
        <v>118.9</v>
      </c>
      <c r="S13" s="19">
        <v>99.69</v>
      </c>
      <c r="T13" s="5"/>
      <c r="U13" s="27">
        <v>118.54</v>
      </c>
      <c r="V13" s="19">
        <v>100.03</v>
      </c>
      <c r="W13" s="5"/>
      <c r="X13" s="27">
        <v>118.58</v>
      </c>
      <c r="Y13" s="19">
        <v>99.8</v>
      </c>
      <c r="Z13" s="5"/>
      <c r="AA13" s="27">
        <v>118.88</v>
      </c>
      <c r="AB13" s="19">
        <v>99.85</v>
      </c>
      <c r="AC13" s="5"/>
      <c r="AD13" s="27">
        <v>119.31</v>
      </c>
      <c r="AE13" s="19">
        <v>99.23</v>
      </c>
      <c r="AF13" s="5"/>
      <c r="AG13" s="27">
        <v>119.07</v>
      </c>
      <c r="AH13" s="19">
        <v>99.48</v>
      </c>
      <c r="AI13" s="5"/>
      <c r="AJ13" s="27">
        <v>119.38</v>
      </c>
      <c r="AK13" s="19">
        <v>99.18</v>
      </c>
      <c r="AL13" s="5"/>
      <c r="AM13" s="27">
        <v>119.5</v>
      </c>
      <c r="AN13" s="19">
        <v>99.76</v>
      </c>
      <c r="AO13" s="5"/>
      <c r="AP13" s="27">
        <v>118.4</v>
      </c>
      <c r="AQ13" s="19">
        <v>100.73</v>
      </c>
      <c r="AR13" s="5"/>
      <c r="AS13" s="27">
        <v>117.94</v>
      </c>
      <c r="AT13" s="19">
        <v>101.94</v>
      </c>
      <c r="AU13" s="5"/>
      <c r="AV13" s="27">
        <v>117.97</v>
      </c>
      <c r="AW13" s="19">
        <v>102.76</v>
      </c>
      <c r="AX13" s="5"/>
      <c r="AY13" s="27">
        <v>117.36</v>
      </c>
      <c r="AZ13" s="19">
        <v>103.61</v>
      </c>
      <c r="BA13" s="5"/>
      <c r="BB13" s="27">
        <v>117.64</v>
      </c>
      <c r="BC13" s="19">
        <v>103.64</v>
      </c>
      <c r="BD13" s="5"/>
      <c r="BE13" s="27">
        <v>117.59</v>
      </c>
      <c r="BF13" s="19">
        <v>104.43</v>
      </c>
      <c r="BG13" s="27"/>
      <c r="BH13" s="27">
        <v>117.45</v>
      </c>
      <c r="BI13" s="19">
        <v>105.93</v>
      </c>
      <c r="BJ13" s="27"/>
      <c r="BK13" s="27">
        <v>117.01</v>
      </c>
      <c r="BL13" s="19">
        <v>105.92</v>
      </c>
      <c r="BM13" s="27">
        <f>(+C13+F13+I13+L13+O13+R13+U13+X13+AA13+AD13+AG13+AJ13+AM13+AP13+AS13+AV13+AY13+BB13+BE13+BH13+BK13)/21</f>
        <v>118.76761904761904</v>
      </c>
      <c r="BN13" s="19">
        <f>(+D13+G13+J13+M13+P13+S13+V13+Y13+AB13+AE13+AH13+AK13+AN13+AQ13+AT13+AW13+AZ13+BC13+BF13+BI13+BL13)/21</f>
        <v>100.9904761904762</v>
      </c>
      <c r="BQ13" s="9"/>
      <c r="BR13" s="31"/>
      <c r="BS13" s="32"/>
    </row>
    <row r="14" spans="1:71" ht="15.75" customHeight="1">
      <c r="A14" s="16">
        <v>2</v>
      </c>
      <c r="B14" s="17" t="s">
        <v>15</v>
      </c>
      <c r="C14" s="27">
        <f>1/1.6036</f>
        <v>0.6235969069593416</v>
      </c>
      <c r="D14" s="19">
        <v>193.61</v>
      </c>
      <c r="E14" s="5"/>
      <c r="F14" s="27">
        <f>1/1.6111</f>
        <v>0.620693935820247</v>
      </c>
      <c r="G14" s="19">
        <v>191.02</v>
      </c>
      <c r="H14" s="5"/>
      <c r="I14" s="27">
        <f>1/1.6105</f>
        <v>0.6209251785159888</v>
      </c>
      <c r="J14" s="19">
        <v>190.41</v>
      </c>
      <c r="K14" s="5"/>
      <c r="L14" s="27">
        <f>1/1.6154</f>
        <v>0.619041723412158</v>
      </c>
      <c r="M14" s="19">
        <v>191.05</v>
      </c>
      <c r="N14" s="5"/>
      <c r="O14" s="27">
        <f>1/1.6081</f>
        <v>0.6218518748834028</v>
      </c>
      <c r="P14" s="19">
        <v>190.71</v>
      </c>
      <c r="Q14" s="5"/>
      <c r="R14" s="27">
        <f>1/1.612</f>
        <v>0.6203473945409429</v>
      </c>
      <c r="S14" s="19">
        <v>191.08</v>
      </c>
      <c r="T14" s="5"/>
      <c r="U14" s="27">
        <f>1/1.5999</f>
        <v>0.6250390649415588</v>
      </c>
      <c r="V14" s="19">
        <v>189.71</v>
      </c>
      <c r="W14" s="5"/>
      <c r="X14" s="27">
        <f>1/1.605</f>
        <v>0.6230529595015576</v>
      </c>
      <c r="Y14" s="19">
        <v>189.95</v>
      </c>
      <c r="Z14" s="5"/>
      <c r="AA14" s="27">
        <f>1/1.6031</f>
        <v>0.6237914041544508</v>
      </c>
      <c r="AB14" s="19">
        <v>190.29</v>
      </c>
      <c r="AC14" s="5"/>
      <c r="AD14" s="27">
        <f>1/1.6089</f>
        <v>0.6215426689042203</v>
      </c>
      <c r="AE14" s="19">
        <v>190.49</v>
      </c>
      <c r="AF14" s="5"/>
      <c r="AG14" s="27">
        <f>1/1.6025</f>
        <v>0.62402496099844</v>
      </c>
      <c r="AH14" s="19">
        <v>189.81</v>
      </c>
      <c r="AI14" s="5"/>
      <c r="AJ14" s="27">
        <f>1/1.5938</f>
        <v>0.627431296273058</v>
      </c>
      <c r="AK14" s="19">
        <v>188.7</v>
      </c>
      <c r="AL14" s="5"/>
      <c r="AM14" s="27">
        <f>1/1.5863</f>
        <v>0.6303977809998108</v>
      </c>
      <c r="AN14" s="19">
        <v>189.11</v>
      </c>
      <c r="AO14" s="5"/>
      <c r="AP14" s="27">
        <f>1/1.593</f>
        <v>0.6277463904582549</v>
      </c>
      <c r="AQ14" s="19">
        <v>189.99</v>
      </c>
      <c r="AR14" s="5"/>
      <c r="AS14" s="27">
        <f>1/1.5833</f>
        <v>0.6315922440472431</v>
      </c>
      <c r="AT14" s="19">
        <v>190.37</v>
      </c>
      <c r="AU14" s="5"/>
      <c r="AV14" s="27">
        <f>1/1.5776</f>
        <v>0.6338742393509128</v>
      </c>
      <c r="AW14" s="19">
        <v>191.24</v>
      </c>
      <c r="AX14" s="5"/>
      <c r="AY14" s="27">
        <f>1/1.5771</f>
        <v>0.6340752013188764</v>
      </c>
      <c r="AZ14" s="19">
        <v>191.76</v>
      </c>
      <c r="BA14" s="5"/>
      <c r="BB14" s="27">
        <f>1/1.5653</f>
        <v>0.6388551715326136</v>
      </c>
      <c r="BC14" s="19">
        <v>190.84</v>
      </c>
      <c r="BD14" s="5"/>
      <c r="BE14" s="27">
        <f>1/1.571</f>
        <v>0.6365372374283896</v>
      </c>
      <c r="BF14" s="19">
        <v>192.92</v>
      </c>
      <c r="BG14" s="27"/>
      <c r="BH14" s="27">
        <f>1/1.5679</f>
        <v>0.637795777791951</v>
      </c>
      <c r="BI14" s="19">
        <v>195.08</v>
      </c>
      <c r="BJ14" s="27"/>
      <c r="BK14" s="27">
        <f>1/1.5818</f>
        <v>0.6321911746112024</v>
      </c>
      <c r="BL14" s="19">
        <v>196.05</v>
      </c>
      <c r="BM14" s="27">
        <f aca="true" t="shared" si="0" ref="BM14:BM25">(+C14+F14+I14+L14+O14+R14+U14+X14+AA14+AD14+AG14+AJ14+AM14+AP14+AS14+AV14+AY14+BB14+BE14+BH14+BK14)/21</f>
        <v>0.6273525993545058</v>
      </c>
      <c r="BN14" s="19">
        <f aca="true" t="shared" si="1" ref="BN14:BN25">(+D14+G14+J14+M14+P14+S14+V14+Y14+AB14+AE14+AH14+AK14+AN14+AQ14+AT14+AW14+AZ14+BC14+BF14+BI14+BL14)/21</f>
        <v>191.15190476190477</v>
      </c>
      <c r="BQ14" s="9"/>
      <c r="BR14" s="31"/>
      <c r="BS14" s="32"/>
    </row>
    <row r="15" spans="1:71" ht="15.75" customHeight="1">
      <c r="A15" s="16">
        <v>3</v>
      </c>
      <c r="B15" s="17" t="s">
        <v>16</v>
      </c>
      <c r="C15" s="27">
        <v>1.3743</v>
      </c>
      <c r="D15" s="19">
        <v>87.85</v>
      </c>
      <c r="E15" s="5"/>
      <c r="F15" s="27">
        <v>1.3582</v>
      </c>
      <c r="G15" s="19">
        <v>87.29</v>
      </c>
      <c r="H15" s="5"/>
      <c r="I15" s="27">
        <v>1.3516</v>
      </c>
      <c r="J15" s="19">
        <v>87.48</v>
      </c>
      <c r="K15" s="5"/>
      <c r="L15" s="27">
        <v>1.3458</v>
      </c>
      <c r="M15" s="19">
        <v>87.88</v>
      </c>
      <c r="N15" s="5"/>
      <c r="O15" s="27">
        <v>1.3524</v>
      </c>
      <c r="P15" s="19">
        <v>87.69</v>
      </c>
      <c r="Q15" s="5"/>
      <c r="R15" s="27">
        <v>1.3548</v>
      </c>
      <c r="S15" s="19">
        <v>87.49</v>
      </c>
      <c r="T15" s="5"/>
      <c r="U15" s="27">
        <v>1.3621</v>
      </c>
      <c r="V15" s="19">
        <v>87.06</v>
      </c>
      <c r="W15" s="5"/>
      <c r="X15" s="27">
        <v>1.3614</v>
      </c>
      <c r="Y15" s="19">
        <v>86.93</v>
      </c>
      <c r="Z15" s="5"/>
      <c r="AA15" s="27">
        <v>1.3739</v>
      </c>
      <c r="AB15" s="19">
        <v>86.4</v>
      </c>
      <c r="AC15" s="5"/>
      <c r="AD15" s="27">
        <v>1.3665</v>
      </c>
      <c r="AE15" s="19">
        <v>86.64</v>
      </c>
      <c r="AF15" s="5"/>
      <c r="AG15" s="27">
        <v>1.3682</v>
      </c>
      <c r="AH15" s="19">
        <v>86.57</v>
      </c>
      <c r="AI15" s="5"/>
      <c r="AJ15" s="27">
        <v>1.3778</v>
      </c>
      <c r="AK15" s="19">
        <v>85.93</v>
      </c>
      <c r="AL15" s="5"/>
      <c r="AM15" s="27">
        <v>1.3943</v>
      </c>
      <c r="AN15" s="19">
        <v>85.5</v>
      </c>
      <c r="AO15" s="5"/>
      <c r="AP15" s="27">
        <v>1.3896</v>
      </c>
      <c r="AQ15" s="19">
        <v>85.83</v>
      </c>
      <c r="AR15" s="5"/>
      <c r="AS15" s="27">
        <v>1.4022</v>
      </c>
      <c r="AT15" s="19">
        <v>85.75</v>
      </c>
      <c r="AU15" s="5"/>
      <c r="AV15" s="27">
        <v>1.4118</v>
      </c>
      <c r="AW15" s="19">
        <v>85.87</v>
      </c>
      <c r="AX15" s="5"/>
      <c r="AY15" s="27">
        <v>1.4127</v>
      </c>
      <c r="AZ15" s="19">
        <v>86.07</v>
      </c>
      <c r="BA15" s="5"/>
      <c r="BB15" s="27">
        <v>1.4208</v>
      </c>
      <c r="BC15" s="19">
        <v>85.81</v>
      </c>
      <c r="BD15" s="5"/>
      <c r="BE15" s="27">
        <v>1.4084</v>
      </c>
      <c r="BF15" s="19">
        <v>87.19</v>
      </c>
      <c r="BG15" s="27"/>
      <c r="BH15" s="27">
        <v>1.4193</v>
      </c>
      <c r="BI15" s="19">
        <v>87.66</v>
      </c>
      <c r="BJ15" s="27"/>
      <c r="BK15" s="27">
        <v>1.4092</v>
      </c>
      <c r="BL15" s="19">
        <v>87.95</v>
      </c>
      <c r="BM15" s="27">
        <f t="shared" si="0"/>
        <v>1.3816809523809526</v>
      </c>
      <c r="BN15" s="19">
        <f t="shared" si="1"/>
        <v>86.80190476190475</v>
      </c>
      <c r="BQ15" s="9"/>
      <c r="BR15" s="31"/>
      <c r="BS15" s="32"/>
    </row>
    <row r="16" spans="1:71" ht="15.75" customHeight="1">
      <c r="A16" s="16">
        <v>4</v>
      </c>
      <c r="B16" s="17" t="s">
        <v>17</v>
      </c>
      <c r="C16" s="27">
        <f>1/1.1181</f>
        <v>0.8943743851176101</v>
      </c>
      <c r="D16" s="19">
        <v>134.99</v>
      </c>
      <c r="E16" s="5"/>
      <c r="F16" s="27">
        <f>1/1.1301</f>
        <v>0.8848774444739402</v>
      </c>
      <c r="G16" s="19">
        <v>133.99</v>
      </c>
      <c r="H16" s="5"/>
      <c r="I16" s="27">
        <f>1/1.1332</f>
        <v>0.8824567596187787</v>
      </c>
      <c r="J16" s="19">
        <v>133.98</v>
      </c>
      <c r="K16" s="5"/>
      <c r="L16" s="27">
        <f>1/1.1388</f>
        <v>0.8781173164734808</v>
      </c>
      <c r="M16" s="19">
        <v>134.68</v>
      </c>
      <c r="N16" s="5"/>
      <c r="O16" s="27">
        <f>1/1.1361</f>
        <v>0.8802042073761112</v>
      </c>
      <c r="P16" s="19">
        <v>134.73</v>
      </c>
      <c r="Q16" s="5"/>
      <c r="R16" s="27">
        <f>1/1.1346</f>
        <v>0.8813678829543451</v>
      </c>
      <c r="S16" s="19">
        <v>134.49</v>
      </c>
      <c r="T16" s="5"/>
      <c r="U16" s="27">
        <f>1/1.1281</f>
        <v>0.8864462370357237</v>
      </c>
      <c r="V16" s="19">
        <v>133.77</v>
      </c>
      <c r="W16" s="5"/>
      <c r="X16" s="27">
        <f>1/1.1333</f>
        <v>0.8823788934968676</v>
      </c>
      <c r="Y16" s="19">
        <v>134.12</v>
      </c>
      <c r="Z16" s="5"/>
      <c r="AA16" s="27">
        <f>1/1.125</f>
        <v>0.8888888888888888</v>
      </c>
      <c r="AB16" s="19">
        <v>133.54</v>
      </c>
      <c r="AC16" s="5"/>
      <c r="AD16" s="27">
        <f>1/1.1319</f>
        <v>0.8834702712253734</v>
      </c>
      <c r="AE16" s="19">
        <v>134.01</v>
      </c>
      <c r="AF16" s="5"/>
      <c r="AG16" s="27">
        <f>1/1.128</f>
        <v>0.8865248226950355</v>
      </c>
      <c r="AH16" s="19">
        <v>133.61</v>
      </c>
      <c r="AI16" s="5"/>
      <c r="AJ16" s="27">
        <f>1/1.1211</f>
        <v>0.891981090000892</v>
      </c>
      <c r="AK16" s="19">
        <v>132.74</v>
      </c>
      <c r="AL16" s="5"/>
      <c r="AM16" s="27">
        <f>1/1.1109</f>
        <v>0.9001710324961743</v>
      </c>
      <c r="AN16" s="19">
        <v>132.44</v>
      </c>
      <c r="AO16" s="5"/>
      <c r="AP16" s="27">
        <f>1/1.1109</f>
        <v>0.9001710324961743</v>
      </c>
      <c r="AQ16" s="19">
        <v>132.49</v>
      </c>
      <c r="AR16" s="5"/>
      <c r="AS16" s="27">
        <f>1/0.992</f>
        <v>1.0080645161290323</v>
      </c>
      <c r="AT16" s="19">
        <v>132.16</v>
      </c>
      <c r="AU16" s="5"/>
      <c r="AV16" s="27">
        <f>1/1.0922</f>
        <v>0.9155832265152902</v>
      </c>
      <c r="AW16" s="19">
        <v>132.4</v>
      </c>
      <c r="AX16" s="5"/>
      <c r="AY16" s="27">
        <f>1/1.0903</f>
        <v>0.9171787581399614</v>
      </c>
      <c r="AZ16" s="19">
        <v>132.57</v>
      </c>
      <c r="BA16" s="5"/>
      <c r="BB16" s="27">
        <f>1/1.0826</f>
        <v>0.9237021984112322</v>
      </c>
      <c r="BC16" s="19">
        <v>131.99</v>
      </c>
      <c r="BD16" s="5"/>
      <c r="BE16" s="27">
        <f>1/1.0898</f>
        <v>0.9175995595522113</v>
      </c>
      <c r="BF16" s="19">
        <v>133.83</v>
      </c>
      <c r="BG16" s="27"/>
      <c r="BH16" s="27">
        <f>1/1.0856</f>
        <v>0.9211495946941785</v>
      </c>
      <c r="BI16" s="19">
        <v>135.07</v>
      </c>
      <c r="BJ16" s="27"/>
      <c r="BK16" s="27">
        <f>1/1.0907</f>
        <v>0.9168423947923352</v>
      </c>
      <c r="BL16" s="19">
        <v>135.18</v>
      </c>
      <c r="BM16" s="27">
        <f t="shared" si="0"/>
        <v>0.9019785958373161</v>
      </c>
      <c r="BN16" s="19">
        <f t="shared" si="1"/>
        <v>133.65619047619046</v>
      </c>
      <c r="BQ16" s="9"/>
      <c r="BR16" s="31"/>
      <c r="BS16" s="32"/>
    </row>
    <row r="17" spans="1:71" ht="15.75" customHeight="1">
      <c r="A17" s="16">
        <v>5</v>
      </c>
      <c r="B17" s="17" t="s">
        <v>18</v>
      </c>
      <c r="C17" s="27">
        <v>353</v>
      </c>
      <c r="D17" s="19">
        <v>42618.57</v>
      </c>
      <c r="E17" s="5"/>
      <c r="F17" s="27">
        <v>348.75</v>
      </c>
      <c r="G17" s="19">
        <v>41348.67</v>
      </c>
      <c r="H17" s="5"/>
      <c r="I17" s="27">
        <v>348.8</v>
      </c>
      <c r="J17" s="19">
        <v>41239.79</v>
      </c>
      <c r="K17" s="5"/>
      <c r="L17" s="27">
        <v>352.5</v>
      </c>
      <c r="M17" s="19">
        <v>41688.71</v>
      </c>
      <c r="N17" s="5"/>
      <c r="O17" s="27">
        <v>350.1</v>
      </c>
      <c r="P17" s="19">
        <v>41518.65</v>
      </c>
      <c r="Q17" s="5"/>
      <c r="R17" s="27">
        <v>353.9</v>
      </c>
      <c r="S17" s="19">
        <v>41950.13</v>
      </c>
      <c r="T17" s="5"/>
      <c r="U17" s="27">
        <v>356.75</v>
      </c>
      <c r="V17" s="19">
        <v>42302.82</v>
      </c>
      <c r="W17" s="5"/>
      <c r="X17" s="27">
        <v>360</v>
      </c>
      <c r="Y17" s="19">
        <v>42604.8</v>
      </c>
      <c r="Z17" s="5"/>
      <c r="AA17" s="27">
        <v>356.25</v>
      </c>
      <c r="AB17" s="19">
        <v>42286.88</v>
      </c>
      <c r="AC17" s="5"/>
      <c r="AD17" s="27">
        <v>363.25</v>
      </c>
      <c r="AE17" s="19">
        <v>43006.98</v>
      </c>
      <c r="AF17" s="5"/>
      <c r="AG17" s="27">
        <v>363.25</v>
      </c>
      <c r="AH17" s="19">
        <v>43025.45</v>
      </c>
      <c r="AI17" s="5"/>
      <c r="AJ17" s="27">
        <v>361.5</v>
      </c>
      <c r="AK17" s="19">
        <v>42801.3</v>
      </c>
      <c r="AL17" s="5"/>
      <c r="AM17" s="27">
        <v>358.1</v>
      </c>
      <c r="AN17" s="19">
        <v>42691.49</v>
      </c>
      <c r="AO17" s="5"/>
      <c r="AP17" s="27">
        <v>361.8</v>
      </c>
      <c r="AQ17" s="19">
        <v>43150.68</v>
      </c>
      <c r="AR17" s="5"/>
      <c r="AS17" s="27">
        <v>363.75</v>
      </c>
      <c r="AT17" s="19">
        <v>43734.88</v>
      </c>
      <c r="AU17" s="5"/>
      <c r="AV17" s="27">
        <v>360.5</v>
      </c>
      <c r="AW17" s="19">
        <v>43701.61</v>
      </c>
      <c r="AX17" s="5"/>
      <c r="AY17" s="27">
        <v>363.25</v>
      </c>
      <c r="AZ17" s="19">
        <v>44168.48</v>
      </c>
      <c r="BA17" s="5"/>
      <c r="BB17" s="27">
        <v>360.5</v>
      </c>
      <c r="BC17" s="19">
        <v>43950.96</v>
      </c>
      <c r="BD17" s="5"/>
      <c r="BE17" s="27">
        <v>364.1</v>
      </c>
      <c r="BF17" s="19">
        <v>44712.69</v>
      </c>
      <c r="BG17" s="27"/>
      <c r="BH17" s="27">
        <v>371.1</v>
      </c>
      <c r="BI17" s="19">
        <v>46172.26</v>
      </c>
      <c r="BJ17" s="27"/>
      <c r="BK17" s="27">
        <v>371</v>
      </c>
      <c r="BL17" s="19">
        <v>45982.36</v>
      </c>
      <c r="BM17" s="27">
        <f t="shared" si="0"/>
        <v>359.1500000000001</v>
      </c>
      <c r="BN17" s="19">
        <f t="shared" si="1"/>
        <v>43078.96</v>
      </c>
      <c r="BQ17" s="9"/>
      <c r="BR17" s="31"/>
      <c r="BS17" s="32"/>
    </row>
    <row r="18" spans="1:71" ht="15.75" customHeight="1">
      <c r="A18" s="16">
        <v>6</v>
      </c>
      <c r="B18" s="20" t="s">
        <v>19</v>
      </c>
      <c r="C18" s="27">
        <v>5.13</v>
      </c>
      <c r="D18" s="19">
        <v>619.36</v>
      </c>
      <c r="E18" s="5"/>
      <c r="F18" s="27">
        <v>5.04</v>
      </c>
      <c r="G18" s="19">
        <v>597.56</v>
      </c>
      <c r="H18" s="5"/>
      <c r="I18" s="27">
        <v>4.97</v>
      </c>
      <c r="J18" s="19">
        <v>587.62</v>
      </c>
      <c r="K18" s="5"/>
      <c r="L18" s="27">
        <v>4.94</v>
      </c>
      <c r="M18" s="19">
        <v>584.23</v>
      </c>
      <c r="N18" s="5"/>
      <c r="O18" s="27">
        <v>4.92</v>
      </c>
      <c r="P18" s="19">
        <v>583.47</v>
      </c>
      <c r="Q18" s="5"/>
      <c r="R18" s="27">
        <v>5.03</v>
      </c>
      <c r="S18" s="19">
        <v>596.24</v>
      </c>
      <c r="T18" s="5"/>
      <c r="U18" s="27">
        <v>4.97</v>
      </c>
      <c r="V18" s="19">
        <v>589.33</v>
      </c>
      <c r="W18" s="5"/>
      <c r="X18" s="27">
        <v>4.98</v>
      </c>
      <c r="Y18" s="19">
        <v>589.37</v>
      </c>
      <c r="Z18" s="5"/>
      <c r="AA18" s="27">
        <v>4.85</v>
      </c>
      <c r="AB18" s="19">
        <v>575.7</v>
      </c>
      <c r="AC18" s="5"/>
      <c r="AD18" s="27">
        <v>5.04</v>
      </c>
      <c r="AE18" s="19">
        <v>596.71</v>
      </c>
      <c r="AF18" s="5"/>
      <c r="AG18" s="27">
        <v>4.99</v>
      </c>
      <c r="AH18" s="19">
        <v>591.04</v>
      </c>
      <c r="AI18" s="5"/>
      <c r="AJ18" s="27">
        <v>4.93</v>
      </c>
      <c r="AK18" s="19">
        <v>583.71</v>
      </c>
      <c r="AL18" s="5"/>
      <c r="AM18" s="27">
        <v>4.92</v>
      </c>
      <c r="AN18" s="19">
        <v>586.55</v>
      </c>
      <c r="AO18" s="5"/>
      <c r="AP18" s="27">
        <v>4.98</v>
      </c>
      <c r="AQ18" s="19">
        <v>593.95</v>
      </c>
      <c r="AR18" s="5"/>
      <c r="AS18" s="27">
        <v>5</v>
      </c>
      <c r="AT18" s="19">
        <v>601.17</v>
      </c>
      <c r="AU18" s="5"/>
      <c r="AV18" s="27">
        <v>4.94</v>
      </c>
      <c r="AW18" s="19">
        <v>598.85</v>
      </c>
      <c r="AX18" s="5"/>
      <c r="AY18" s="27">
        <v>4.98</v>
      </c>
      <c r="AZ18" s="19">
        <v>605.53</v>
      </c>
      <c r="BA18" s="5"/>
      <c r="BB18" s="27">
        <v>4.97</v>
      </c>
      <c r="BC18" s="19">
        <v>605.93</v>
      </c>
      <c r="BD18" s="5"/>
      <c r="BE18" s="27">
        <v>4.98</v>
      </c>
      <c r="BF18" s="19">
        <v>611.56</v>
      </c>
      <c r="BG18" s="27"/>
      <c r="BH18" s="27">
        <v>5.09</v>
      </c>
      <c r="BI18" s="19">
        <v>633.3</v>
      </c>
      <c r="BJ18" s="27"/>
      <c r="BK18" s="27">
        <v>5.1</v>
      </c>
      <c r="BL18" s="19">
        <v>632.1</v>
      </c>
      <c r="BM18" s="27">
        <f t="shared" si="0"/>
        <v>4.988095238095239</v>
      </c>
      <c r="BN18" s="19">
        <f t="shared" si="1"/>
        <v>598.2514285714286</v>
      </c>
      <c r="BQ18" s="9"/>
      <c r="BR18" s="31"/>
      <c r="BS18" s="32"/>
    </row>
    <row r="19" spans="1:71" ht="15.75" customHeight="1">
      <c r="A19" s="16">
        <v>7</v>
      </c>
      <c r="B19" s="17" t="s">
        <v>20</v>
      </c>
      <c r="C19" s="27">
        <f>1/0.6463</f>
        <v>1.547269070091289</v>
      </c>
      <c r="D19" s="19">
        <v>78.03</v>
      </c>
      <c r="E19" s="5"/>
      <c r="F19" s="27">
        <f>1/0.6521</f>
        <v>1.5335071308081583</v>
      </c>
      <c r="G19" s="19">
        <v>77.31</v>
      </c>
      <c r="H19" s="5"/>
      <c r="I19" s="27">
        <f>1/0.6431</f>
        <v>1.5549681231534753</v>
      </c>
      <c r="J19" s="19">
        <v>76.04</v>
      </c>
      <c r="K19" s="5"/>
      <c r="L19" s="27">
        <f>1/0.6487</f>
        <v>1.5415446277169722</v>
      </c>
      <c r="M19" s="19">
        <v>76.72</v>
      </c>
      <c r="N19" s="5"/>
      <c r="O19" s="27">
        <f>1/0.6473</f>
        <v>1.544878727019929</v>
      </c>
      <c r="P19" s="19">
        <v>76.76</v>
      </c>
      <c r="Q19" s="5"/>
      <c r="R19" s="27">
        <f>1/0.6514</f>
        <v>1.5351550506601168</v>
      </c>
      <c r="S19" s="19">
        <v>77.21</v>
      </c>
      <c r="T19" s="5"/>
      <c r="U19" s="27">
        <f>1/0.6537</f>
        <v>1.529753709652746</v>
      </c>
      <c r="V19" s="19">
        <v>77.51</v>
      </c>
      <c r="W19" s="5"/>
      <c r="X19" s="27">
        <f>1/0.6585</f>
        <v>1.5186028853454823</v>
      </c>
      <c r="Y19" s="19">
        <v>77.93</v>
      </c>
      <c r="Z19" s="5"/>
      <c r="AA19" s="27">
        <f>1/0.6541</f>
        <v>1.5288182235132242</v>
      </c>
      <c r="AB19" s="19">
        <v>77.64</v>
      </c>
      <c r="AC19" s="5"/>
      <c r="AD19" s="27">
        <f>1/0.6576</f>
        <v>1.5206812652068127</v>
      </c>
      <c r="AE19" s="19">
        <v>77.86</v>
      </c>
      <c r="AF19" s="5"/>
      <c r="AG19" s="27">
        <f>1/0.659</f>
        <v>1.5174506828528072</v>
      </c>
      <c r="AH19" s="19">
        <v>78.06</v>
      </c>
      <c r="AI19" s="5"/>
      <c r="AJ19" s="27">
        <f>1/0.6602</f>
        <v>1.5146925174189638</v>
      </c>
      <c r="AK19" s="19">
        <v>78.17</v>
      </c>
      <c r="AL19" s="5"/>
      <c r="AM19" s="27">
        <f>1/0.6554</f>
        <v>1.5257857796765335</v>
      </c>
      <c r="AN19" s="19">
        <v>78.13</v>
      </c>
      <c r="AO19" s="5"/>
      <c r="AP19" s="27">
        <f>1/0.6563</f>
        <v>1.5236934328813043</v>
      </c>
      <c r="AQ19" s="19">
        <v>78.27</v>
      </c>
      <c r="AR19" s="5"/>
      <c r="AS19" s="27">
        <f>1/0.6588</f>
        <v>1.5179113539769276</v>
      </c>
      <c r="AT19" s="19">
        <v>79.21</v>
      </c>
      <c r="AU19" s="5"/>
      <c r="AV19" s="27">
        <f>1/0.65</f>
        <v>1.5384615384615383</v>
      </c>
      <c r="AW19" s="19">
        <v>78.8</v>
      </c>
      <c r="AX19" s="18"/>
      <c r="AY19" s="27">
        <f>1/0.6527</f>
        <v>1.532097441397273</v>
      </c>
      <c r="AZ19" s="19">
        <v>79.36</v>
      </c>
      <c r="BA19" s="18"/>
      <c r="BB19" s="27">
        <f>1/0.6455</f>
        <v>1.549186676994578</v>
      </c>
      <c r="BC19" s="19">
        <v>78.7</v>
      </c>
      <c r="BD19" s="18"/>
      <c r="BE19" s="27">
        <f>1/0.6387</f>
        <v>1.5656802880851728</v>
      </c>
      <c r="BF19" s="19">
        <v>78.43</v>
      </c>
      <c r="BG19" s="27"/>
      <c r="BH19" s="27">
        <f>1/0.6375</f>
        <v>1.5686274509803924</v>
      </c>
      <c r="BI19" s="19">
        <v>79.32</v>
      </c>
      <c r="BJ19" s="27"/>
      <c r="BK19" s="27">
        <f>1/0.6429</f>
        <v>1.555451858764971</v>
      </c>
      <c r="BL19" s="19">
        <v>79.68</v>
      </c>
      <c r="BM19" s="27">
        <f t="shared" si="0"/>
        <v>1.5363913254599364</v>
      </c>
      <c r="BN19" s="19">
        <f t="shared" si="1"/>
        <v>78.05428571428571</v>
      </c>
      <c r="BQ19" s="24"/>
      <c r="BR19" s="31"/>
      <c r="BS19" s="32"/>
    </row>
    <row r="20" spans="1:71" ht="15.75" customHeight="1">
      <c r="A20" s="16">
        <v>8</v>
      </c>
      <c r="B20" s="17" t="s">
        <v>21</v>
      </c>
      <c r="C20" s="27">
        <v>1.4071</v>
      </c>
      <c r="D20" s="19">
        <v>85.8</v>
      </c>
      <c r="E20" s="5"/>
      <c r="F20" s="27">
        <v>1.3975</v>
      </c>
      <c r="G20" s="19">
        <v>84.84</v>
      </c>
      <c r="H20" s="5"/>
      <c r="I20" s="27">
        <v>1.4099</v>
      </c>
      <c r="J20" s="19">
        <v>83.86</v>
      </c>
      <c r="K20" s="5"/>
      <c r="L20" s="27">
        <v>1.4001</v>
      </c>
      <c r="M20" s="19">
        <v>84.47</v>
      </c>
      <c r="N20" s="5"/>
      <c r="O20" s="27">
        <v>1.4011</v>
      </c>
      <c r="P20" s="19">
        <v>84.64</v>
      </c>
      <c r="Q20" s="5"/>
      <c r="R20" s="27">
        <v>1.3938</v>
      </c>
      <c r="S20" s="19">
        <v>85.05</v>
      </c>
      <c r="T20" s="5"/>
      <c r="U20" s="27">
        <v>1.3974</v>
      </c>
      <c r="V20" s="19">
        <v>84.86</v>
      </c>
      <c r="W20" s="5"/>
      <c r="X20" s="27">
        <v>1.3821</v>
      </c>
      <c r="Y20" s="19">
        <v>85.63</v>
      </c>
      <c r="Z20" s="5"/>
      <c r="AA20" s="27">
        <v>1.382</v>
      </c>
      <c r="AB20" s="19">
        <v>85.89</v>
      </c>
      <c r="AC20" s="5"/>
      <c r="AD20" s="27">
        <v>1.3793</v>
      </c>
      <c r="AE20" s="19">
        <v>85.84</v>
      </c>
      <c r="AF20" s="5"/>
      <c r="AG20" s="27">
        <v>1.3906</v>
      </c>
      <c r="AH20" s="19">
        <v>85.18</v>
      </c>
      <c r="AI20" s="5"/>
      <c r="AJ20" s="27">
        <v>1.3873</v>
      </c>
      <c r="AK20" s="19">
        <v>85.35</v>
      </c>
      <c r="AL20" s="5"/>
      <c r="AM20" s="27">
        <v>1.3938</v>
      </c>
      <c r="AN20" s="19">
        <v>85.53</v>
      </c>
      <c r="AO20" s="5"/>
      <c r="AP20" s="27">
        <v>1.396</v>
      </c>
      <c r="AQ20" s="19">
        <v>85.43</v>
      </c>
      <c r="AR20" s="5"/>
      <c r="AS20" s="27">
        <v>1.4065</v>
      </c>
      <c r="AT20" s="19">
        <v>85.48</v>
      </c>
      <c r="AU20" s="5"/>
      <c r="AV20" s="27">
        <v>1.4098</v>
      </c>
      <c r="AW20" s="19">
        <v>85.99</v>
      </c>
      <c r="AX20" s="5"/>
      <c r="AY20" s="27">
        <v>1.4012</v>
      </c>
      <c r="AZ20" s="19">
        <v>86.78</v>
      </c>
      <c r="BA20" s="5"/>
      <c r="BB20" s="27">
        <v>1.403</v>
      </c>
      <c r="BC20" s="19">
        <v>86.9</v>
      </c>
      <c r="BD20" s="5"/>
      <c r="BE20" s="27">
        <v>1.399</v>
      </c>
      <c r="BF20" s="19">
        <v>87.78</v>
      </c>
      <c r="BG20" s="27"/>
      <c r="BH20" s="27">
        <v>1.4056</v>
      </c>
      <c r="BI20" s="19">
        <v>88.52</v>
      </c>
      <c r="BJ20" s="27"/>
      <c r="BK20" s="27">
        <v>1.3944</v>
      </c>
      <c r="BL20" s="19">
        <v>88.89</v>
      </c>
      <c r="BM20" s="27">
        <f t="shared" si="0"/>
        <v>1.3970238095238094</v>
      </c>
      <c r="BN20" s="19">
        <f t="shared" si="1"/>
        <v>85.84333333333335</v>
      </c>
      <c r="BQ20" s="9"/>
      <c r="BR20" s="31"/>
      <c r="BS20" s="32"/>
    </row>
    <row r="21" spans="1:71" ht="15.75" customHeight="1">
      <c r="A21" s="16">
        <v>9</v>
      </c>
      <c r="B21" s="17" t="s">
        <v>22</v>
      </c>
      <c r="C21" s="27">
        <v>8.2463</v>
      </c>
      <c r="D21" s="19">
        <v>14.64</v>
      </c>
      <c r="E21" s="5"/>
      <c r="F21" s="27">
        <v>8.1919</v>
      </c>
      <c r="G21" s="19">
        <v>14.47</v>
      </c>
      <c r="H21" s="5"/>
      <c r="I21" s="27">
        <v>8.1305</v>
      </c>
      <c r="J21" s="19">
        <v>14.54</v>
      </c>
      <c r="K21" s="5"/>
      <c r="L21" s="27">
        <v>8.0874</v>
      </c>
      <c r="M21" s="19">
        <v>14.62</v>
      </c>
      <c r="N21" s="5"/>
      <c r="O21" s="27">
        <v>8.0872</v>
      </c>
      <c r="P21" s="19">
        <v>14.66</v>
      </c>
      <c r="Q21" s="5"/>
      <c r="R21" s="27">
        <v>8.1176</v>
      </c>
      <c r="S21" s="19">
        <v>14.6</v>
      </c>
      <c r="T21" s="5"/>
      <c r="U21" s="27">
        <v>8.1665</v>
      </c>
      <c r="V21" s="19">
        <v>14.52</v>
      </c>
      <c r="W21" s="5"/>
      <c r="X21" s="27">
        <v>8.1538</v>
      </c>
      <c r="Y21" s="19">
        <v>14.51</v>
      </c>
      <c r="Z21" s="5"/>
      <c r="AA21" s="27">
        <v>8.2058</v>
      </c>
      <c r="AB21" s="19">
        <v>14.47</v>
      </c>
      <c r="AC21" s="5"/>
      <c r="AD21" s="27">
        <v>8.1434</v>
      </c>
      <c r="AE21" s="19">
        <v>14.54</v>
      </c>
      <c r="AF21" s="5"/>
      <c r="AG21" s="27">
        <v>8.1664</v>
      </c>
      <c r="AH21" s="19">
        <v>14.5</v>
      </c>
      <c r="AI21" s="5"/>
      <c r="AJ21" s="27">
        <v>8.2368</v>
      </c>
      <c r="AK21" s="19">
        <v>14.37</v>
      </c>
      <c r="AL21" s="5"/>
      <c r="AM21" s="27">
        <v>8.361</v>
      </c>
      <c r="AN21" s="19">
        <v>14.26</v>
      </c>
      <c r="AO21" s="5"/>
      <c r="AP21" s="27">
        <v>8.3421</v>
      </c>
      <c r="AQ21" s="19">
        <v>14.3</v>
      </c>
      <c r="AR21" s="5"/>
      <c r="AS21" s="27">
        <v>8.3886</v>
      </c>
      <c r="AT21" s="19">
        <v>14.33</v>
      </c>
      <c r="AU21" s="5"/>
      <c r="AV21" s="27">
        <v>8.405</v>
      </c>
      <c r="AW21" s="19">
        <v>14.42</v>
      </c>
      <c r="AX21" s="5"/>
      <c r="AY21" s="27">
        <v>8.4743</v>
      </c>
      <c r="AZ21" s="19">
        <v>14.35</v>
      </c>
      <c r="BA21" s="5"/>
      <c r="BB21" s="27">
        <v>8.564</v>
      </c>
      <c r="BC21" s="19">
        <v>14.24</v>
      </c>
      <c r="BD21" s="5"/>
      <c r="BE21" s="27">
        <v>8.5131</v>
      </c>
      <c r="BF21" s="19">
        <v>14.43</v>
      </c>
      <c r="BG21" s="27"/>
      <c r="BH21" s="27">
        <v>8.497</v>
      </c>
      <c r="BI21" s="19">
        <v>14.64</v>
      </c>
      <c r="BJ21" s="27"/>
      <c r="BK21" s="27">
        <v>8.4435</v>
      </c>
      <c r="BL21" s="19">
        <v>14.68</v>
      </c>
      <c r="BM21" s="27">
        <f t="shared" si="0"/>
        <v>8.282009523809524</v>
      </c>
      <c r="BN21" s="19">
        <f t="shared" si="1"/>
        <v>14.480476190476189</v>
      </c>
      <c r="BQ21" s="9"/>
      <c r="BR21" s="31"/>
      <c r="BS21" s="32"/>
    </row>
    <row r="22" spans="1:71" ht="15.75" customHeight="1">
      <c r="A22" s="16">
        <v>10</v>
      </c>
      <c r="B22" s="17" t="s">
        <v>23</v>
      </c>
      <c r="C22" s="27">
        <v>7.302</v>
      </c>
      <c r="D22" s="19">
        <v>16.53</v>
      </c>
      <c r="E22" s="5"/>
      <c r="F22" s="27">
        <v>7.2419</v>
      </c>
      <c r="G22" s="19">
        <v>16.37</v>
      </c>
      <c r="H22" s="5"/>
      <c r="I22" s="27">
        <v>7.2594</v>
      </c>
      <c r="J22" s="19">
        <v>16.29</v>
      </c>
      <c r="K22" s="5"/>
      <c r="L22" s="27">
        <v>7.196</v>
      </c>
      <c r="M22" s="19">
        <v>16.43</v>
      </c>
      <c r="N22" s="5"/>
      <c r="O22" s="27">
        <v>7.1797</v>
      </c>
      <c r="P22" s="19">
        <v>16.52</v>
      </c>
      <c r="Q22" s="5"/>
      <c r="R22" s="27">
        <v>7.1712</v>
      </c>
      <c r="S22" s="19">
        <v>16.53</v>
      </c>
      <c r="T22" s="5"/>
      <c r="U22" s="27">
        <v>7.2804</v>
      </c>
      <c r="V22" s="19">
        <v>16.29</v>
      </c>
      <c r="W22" s="5"/>
      <c r="X22" s="27">
        <v>7.2702</v>
      </c>
      <c r="Y22" s="19">
        <v>16.28</v>
      </c>
      <c r="Z22" s="5"/>
      <c r="AA22" s="27">
        <v>7.3297</v>
      </c>
      <c r="AB22" s="19">
        <v>16.19</v>
      </c>
      <c r="AC22" s="5"/>
      <c r="AD22" s="27">
        <v>7.3626</v>
      </c>
      <c r="AE22" s="19">
        <v>16.08</v>
      </c>
      <c r="AF22" s="5"/>
      <c r="AG22" s="27">
        <v>7.3472</v>
      </c>
      <c r="AH22" s="19">
        <v>16.12</v>
      </c>
      <c r="AI22" s="5"/>
      <c r="AJ22" s="27">
        <v>7.409</v>
      </c>
      <c r="AK22" s="19">
        <v>15.98</v>
      </c>
      <c r="AL22" s="5"/>
      <c r="AM22" s="27">
        <v>7.508</v>
      </c>
      <c r="AN22" s="19">
        <v>15.88</v>
      </c>
      <c r="AO22" s="5"/>
      <c r="AP22" s="27">
        <v>7.4746</v>
      </c>
      <c r="AQ22" s="19">
        <v>15.96</v>
      </c>
      <c r="AR22" s="5"/>
      <c r="AS22" s="27">
        <v>7.5355</v>
      </c>
      <c r="AT22" s="19">
        <v>15.96</v>
      </c>
      <c r="AU22" s="5"/>
      <c r="AV22" s="27">
        <v>7.5967</v>
      </c>
      <c r="AW22" s="19">
        <v>15.96</v>
      </c>
      <c r="AX22" s="5"/>
      <c r="AY22" s="27">
        <v>7.6123</v>
      </c>
      <c r="AZ22" s="19">
        <v>15.97</v>
      </c>
      <c r="BA22" s="5"/>
      <c r="BB22" s="27">
        <v>7.6915</v>
      </c>
      <c r="BC22" s="19">
        <v>15.85</v>
      </c>
      <c r="BD22" s="5"/>
      <c r="BE22" s="27">
        <v>7.6669</v>
      </c>
      <c r="BF22" s="19">
        <v>16.02</v>
      </c>
      <c r="BG22" s="27"/>
      <c r="BH22" s="27">
        <v>7.6457</v>
      </c>
      <c r="BI22" s="19">
        <v>16.27</v>
      </c>
      <c r="BJ22" s="27"/>
      <c r="BK22" s="27">
        <v>7.5589</v>
      </c>
      <c r="BL22" s="19">
        <v>16.4</v>
      </c>
      <c r="BM22" s="27">
        <f t="shared" si="0"/>
        <v>7.4113999999999995</v>
      </c>
      <c r="BN22" s="19">
        <f t="shared" si="1"/>
        <v>16.184761904761906</v>
      </c>
      <c r="BQ22" s="9"/>
      <c r="BR22" s="31"/>
      <c r="BS22" s="32"/>
    </row>
    <row r="23" spans="1:71" ht="15.75" customHeight="1">
      <c r="A23" s="16">
        <v>11</v>
      </c>
      <c r="B23" s="17" t="s">
        <v>24</v>
      </c>
      <c r="C23" s="27">
        <v>6.644</v>
      </c>
      <c r="D23" s="19">
        <v>18.17</v>
      </c>
      <c r="E23" s="5"/>
      <c r="F23" s="27">
        <v>6.5733</v>
      </c>
      <c r="G23" s="19">
        <v>18.04</v>
      </c>
      <c r="H23" s="5"/>
      <c r="I23" s="27">
        <v>6.5574</v>
      </c>
      <c r="J23" s="19">
        <v>18.03</v>
      </c>
      <c r="K23" s="5"/>
      <c r="L23" s="27">
        <v>6.5256</v>
      </c>
      <c r="M23" s="19">
        <v>18.12</v>
      </c>
      <c r="N23" s="5"/>
      <c r="O23" s="27">
        <v>6.5415</v>
      </c>
      <c r="P23" s="19">
        <v>18.13</v>
      </c>
      <c r="Q23" s="5"/>
      <c r="R23" s="27">
        <v>6.5521</v>
      </c>
      <c r="S23" s="19">
        <v>18.09</v>
      </c>
      <c r="T23" s="5"/>
      <c r="U23" s="27">
        <v>6.5882</v>
      </c>
      <c r="V23" s="19">
        <v>18</v>
      </c>
      <c r="W23" s="5"/>
      <c r="X23" s="27">
        <v>6.5575</v>
      </c>
      <c r="Y23" s="19">
        <v>18.05</v>
      </c>
      <c r="Z23" s="5"/>
      <c r="AA23" s="27">
        <v>6.6056</v>
      </c>
      <c r="AB23" s="19">
        <v>17.97</v>
      </c>
      <c r="AC23" s="5"/>
      <c r="AD23" s="27">
        <v>6.5635</v>
      </c>
      <c r="AE23" s="19">
        <v>18.04</v>
      </c>
      <c r="AF23" s="5"/>
      <c r="AG23" s="27">
        <v>6.5861</v>
      </c>
      <c r="AH23" s="19">
        <v>17.98</v>
      </c>
      <c r="AI23" s="5"/>
      <c r="AJ23" s="27">
        <v>6.6272</v>
      </c>
      <c r="AK23" s="19">
        <v>17.87</v>
      </c>
      <c r="AL23" s="5"/>
      <c r="AM23" s="27">
        <v>6.6913</v>
      </c>
      <c r="AN23" s="19">
        <v>17.82</v>
      </c>
      <c r="AO23" s="5"/>
      <c r="AP23" s="27">
        <v>6.6905</v>
      </c>
      <c r="AQ23" s="19">
        <v>17.83</v>
      </c>
      <c r="AR23" s="5"/>
      <c r="AS23" s="27">
        <v>6.759</v>
      </c>
      <c r="AT23" s="19">
        <v>17.79</v>
      </c>
      <c r="AU23" s="5"/>
      <c r="AV23" s="27">
        <v>6.8039</v>
      </c>
      <c r="AW23" s="19">
        <v>17.82</v>
      </c>
      <c r="AX23" s="5"/>
      <c r="AY23" s="27">
        <v>6.813</v>
      </c>
      <c r="AZ23" s="19">
        <v>17.85</v>
      </c>
      <c r="BA23" s="5"/>
      <c r="BB23" s="27">
        <v>6.8627</v>
      </c>
      <c r="BC23" s="19">
        <v>17.77</v>
      </c>
      <c r="BD23" s="5"/>
      <c r="BE23" s="27">
        <v>6.8172</v>
      </c>
      <c r="BF23" s="19">
        <v>18.01</v>
      </c>
      <c r="BG23" s="27"/>
      <c r="BH23" s="27">
        <v>6.8435</v>
      </c>
      <c r="BI23" s="19">
        <v>18.18</v>
      </c>
      <c r="BJ23" s="27"/>
      <c r="BK23" s="27">
        <v>6.8088</v>
      </c>
      <c r="BL23" s="19">
        <v>18.2</v>
      </c>
      <c r="BM23" s="27">
        <f t="shared" si="0"/>
        <v>6.667233333333333</v>
      </c>
      <c r="BN23" s="19">
        <f t="shared" si="1"/>
        <v>17.98857142857143</v>
      </c>
      <c r="BQ23" s="9"/>
      <c r="BR23" s="31"/>
      <c r="BS23" s="32"/>
    </row>
    <row r="24" spans="1:71" ht="15.75" customHeight="1">
      <c r="A24" s="16">
        <v>12</v>
      </c>
      <c r="B24" s="17" t="s">
        <v>25</v>
      </c>
      <c r="C24" s="27">
        <f>1/1.39</f>
        <v>0.7194244604316548</v>
      </c>
      <c r="D24" s="19">
        <v>168.05</v>
      </c>
      <c r="E24" s="5"/>
      <c r="F24" s="27">
        <f>1/1.38452</f>
        <v>0.722271978736313</v>
      </c>
      <c r="G24" s="19">
        <v>164.15</v>
      </c>
      <c r="H24" s="5"/>
      <c r="I24" s="27">
        <f>1/1.39173</f>
        <v>0.7185301746746855</v>
      </c>
      <c r="J24" s="19">
        <v>164.55</v>
      </c>
      <c r="K24" s="5"/>
      <c r="L24" s="27">
        <f>1/1.39204</f>
        <v>0.7183701617769604</v>
      </c>
      <c r="M24" s="19">
        <v>164.63</v>
      </c>
      <c r="N24" s="5"/>
      <c r="O24" s="27">
        <f>1/1.39578</f>
        <v>0.716445285073579</v>
      </c>
      <c r="P24" s="19">
        <v>165.53</v>
      </c>
      <c r="Q24" s="5"/>
      <c r="R24" s="27">
        <f>1/1.39392</f>
        <v>0.7174012855831038</v>
      </c>
      <c r="S24" s="19">
        <v>165.23</v>
      </c>
      <c r="T24" s="5"/>
      <c r="U24" s="27">
        <f>1/1.39553</f>
        <v>0.7165736315235073</v>
      </c>
      <c r="V24" s="19">
        <v>165.48</v>
      </c>
      <c r="W24" s="5"/>
      <c r="X24" s="27">
        <f>1/1.39157</f>
        <v>0.7186127898704341</v>
      </c>
      <c r="Y24" s="19">
        <v>164.69</v>
      </c>
      <c r="Z24" s="5"/>
      <c r="AA24" s="27">
        <f>1/1.39402</f>
        <v>0.7173498228145937</v>
      </c>
      <c r="AB24" s="19">
        <v>165.47</v>
      </c>
      <c r="AC24" s="5"/>
      <c r="AD24" s="27">
        <f>1/1.39133</f>
        <v>0.7187367482912034</v>
      </c>
      <c r="AE24" s="19">
        <v>164.73</v>
      </c>
      <c r="AF24" s="5"/>
      <c r="AG24" s="27">
        <f>1/1.39164</f>
        <v>0.7185766433847834</v>
      </c>
      <c r="AH24" s="19">
        <v>164.83</v>
      </c>
      <c r="AI24" s="5"/>
      <c r="AJ24" s="27">
        <f>1/1.39071</f>
        <v>0.7190571722357645</v>
      </c>
      <c r="AK24" s="19">
        <v>164.66</v>
      </c>
      <c r="AL24" s="5"/>
      <c r="AM24" s="27">
        <f>1/1.38585</f>
        <v>0.7215788144460078</v>
      </c>
      <c r="AN24" s="19">
        <v>165.22</v>
      </c>
      <c r="AO24" s="5"/>
      <c r="AP24" s="27">
        <f>1/1.38129</f>
        <v>0.7239609350679438</v>
      </c>
      <c r="AQ24" s="19">
        <v>164.74</v>
      </c>
      <c r="AR24" s="5"/>
      <c r="AS24" s="27">
        <f>1/1.38285</f>
        <v>0.7231442311168963</v>
      </c>
      <c r="AT24" s="19">
        <v>166.26</v>
      </c>
      <c r="AU24" s="5"/>
      <c r="AV24" s="27">
        <f>1/1.37914</f>
        <v>0.725089548559247</v>
      </c>
      <c r="AW24" s="19">
        <v>167.19</v>
      </c>
      <c r="AX24" s="5"/>
      <c r="AY24" s="27">
        <f>1/1.3751</f>
        <v>0.7272198385571959</v>
      </c>
      <c r="AZ24" s="19">
        <v>167.2</v>
      </c>
      <c r="BA24" s="5"/>
      <c r="BB24" s="27">
        <f>1/1.37464</f>
        <v>0.7274631903625676</v>
      </c>
      <c r="BC24" s="19">
        <v>167.59</v>
      </c>
      <c r="BD24" s="5"/>
      <c r="BE24" s="27">
        <f>1/1.37022</f>
        <v>0.7298098115631066</v>
      </c>
      <c r="BF24" s="19">
        <v>168.27</v>
      </c>
      <c r="BG24" s="27"/>
      <c r="BH24" s="27">
        <f>1/1.3742</f>
        <v>0.7276961141027506</v>
      </c>
      <c r="BI24" s="19">
        <v>170.98</v>
      </c>
      <c r="BJ24" s="27"/>
      <c r="BK24" s="27">
        <f>1/1.37103</f>
        <v>0.7293786423345952</v>
      </c>
      <c r="BL24" s="19">
        <v>169.93</v>
      </c>
      <c r="BM24" s="27">
        <f t="shared" si="0"/>
        <v>0.7217472038336614</v>
      </c>
      <c r="BN24" s="19">
        <f t="shared" si="1"/>
        <v>166.16095238095238</v>
      </c>
      <c r="BQ24" s="9"/>
      <c r="BR24" s="31"/>
      <c r="BS24" s="32"/>
    </row>
    <row r="25" spans="1:71" ht="15.75" customHeight="1" thickBot="1">
      <c r="A25" s="35">
        <v>13</v>
      </c>
      <c r="B25" s="36" t="s">
        <v>26</v>
      </c>
      <c r="C25" s="28">
        <v>1</v>
      </c>
      <c r="D25" s="22">
        <v>120.73</v>
      </c>
      <c r="E25" s="21"/>
      <c r="F25" s="28">
        <v>1</v>
      </c>
      <c r="G25" s="22">
        <v>118.56</v>
      </c>
      <c r="H25" s="21"/>
      <c r="I25" s="28">
        <v>1</v>
      </c>
      <c r="J25" s="22">
        <v>118.23</v>
      </c>
      <c r="K25" s="21"/>
      <c r="L25" s="28">
        <v>1</v>
      </c>
      <c r="M25" s="22">
        <v>118.27</v>
      </c>
      <c r="N25" s="21"/>
      <c r="O25" s="28">
        <v>1</v>
      </c>
      <c r="P25" s="22">
        <v>118.59</v>
      </c>
      <c r="Q25" s="21"/>
      <c r="R25" s="28">
        <v>1</v>
      </c>
      <c r="S25" s="22">
        <v>118.54</v>
      </c>
      <c r="T25" s="21"/>
      <c r="U25" s="28">
        <v>1</v>
      </c>
      <c r="V25" s="22">
        <v>118.58</v>
      </c>
      <c r="W25" s="21"/>
      <c r="X25" s="28">
        <v>1</v>
      </c>
      <c r="Y25" s="22">
        <v>118.35</v>
      </c>
      <c r="Z25" s="21"/>
      <c r="AA25" s="28">
        <v>1</v>
      </c>
      <c r="AB25" s="22">
        <v>118.7</v>
      </c>
      <c r="AC25" s="21"/>
      <c r="AD25" s="28">
        <v>1</v>
      </c>
      <c r="AE25" s="22">
        <v>118.4</v>
      </c>
      <c r="AF25" s="21"/>
      <c r="AG25" s="28">
        <v>1</v>
      </c>
      <c r="AH25" s="22">
        <v>118.45</v>
      </c>
      <c r="AI25" s="21"/>
      <c r="AJ25" s="28">
        <v>1</v>
      </c>
      <c r="AK25" s="22">
        <v>118.4</v>
      </c>
      <c r="AL25" s="21"/>
      <c r="AM25" s="28">
        <v>1</v>
      </c>
      <c r="AN25" s="22">
        <v>119.22</v>
      </c>
      <c r="AO25" s="21"/>
      <c r="AP25" s="28">
        <v>1</v>
      </c>
      <c r="AQ25" s="22">
        <v>119.27</v>
      </c>
      <c r="AR25" s="21"/>
      <c r="AS25" s="28">
        <v>1</v>
      </c>
      <c r="AT25" s="22">
        <v>120.23</v>
      </c>
      <c r="AU25" s="21"/>
      <c r="AV25" s="28">
        <v>1</v>
      </c>
      <c r="AW25" s="22">
        <v>121.23</v>
      </c>
      <c r="AX25" s="21"/>
      <c r="AY25" s="28">
        <v>1</v>
      </c>
      <c r="AZ25" s="22">
        <v>121.59</v>
      </c>
      <c r="BA25" s="21"/>
      <c r="BB25" s="28">
        <v>1</v>
      </c>
      <c r="BC25" s="22">
        <v>121.92</v>
      </c>
      <c r="BD25" s="21"/>
      <c r="BE25" s="28">
        <v>1</v>
      </c>
      <c r="BF25" s="22">
        <v>122.8</v>
      </c>
      <c r="BG25" s="28"/>
      <c r="BH25" s="28">
        <v>1</v>
      </c>
      <c r="BI25" s="22">
        <v>124.42</v>
      </c>
      <c r="BJ25" s="28"/>
      <c r="BK25" s="28">
        <v>1</v>
      </c>
      <c r="BL25" s="22">
        <v>123.94</v>
      </c>
      <c r="BM25" s="28">
        <f t="shared" si="0"/>
        <v>1</v>
      </c>
      <c r="BN25" s="22">
        <f t="shared" si="1"/>
        <v>119.92476190476194</v>
      </c>
      <c r="BQ25" s="9"/>
      <c r="BR25" s="31"/>
      <c r="BS25" s="32"/>
    </row>
    <row r="26" spans="1:71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31"/>
      <c r="BI26" s="31"/>
      <c r="BJ26" s="31"/>
      <c r="BK26" s="31"/>
      <c r="BL26" s="31"/>
      <c r="BM26" s="31"/>
      <c r="BN26" s="32"/>
      <c r="BQ26" s="9"/>
      <c r="BR26" s="31"/>
      <c r="BS26" s="32"/>
    </row>
    <row r="27" spans="1:71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Q27" s="40"/>
      <c r="BR27" s="40"/>
      <c r="BS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&amp;L&amp;"Helv,Bold"Banka e Shqiperise
Sektori i Informacionit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Y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G4" sqref="AG4:AH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200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201</v>
      </c>
      <c r="D4" s="4"/>
      <c r="E4" s="10"/>
      <c r="F4" s="4" t="s">
        <v>202</v>
      </c>
      <c r="G4" s="4"/>
      <c r="H4" s="10"/>
      <c r="I4" s="4" t="s">
        <v>203</v>
      </c>
      <c r="J4" s="4"/>
      <c r="K4" s="10"/>
      <c r="L4" s="4" t="s">
        <v>204</v>
      </c>
      <c r="M4" s="4"/>
      <c r="N4" s="10"/>
      <c r="O4" s="4" t="s">
        <v>205</v>
      </c>
      <c r="P4" s="4"/>
      <c r="Q4" s="10"/>
      <c r="R4" s="4" t="s">
        <v>206</v>
      </c>
      <c r="S4" s="4"/>
      <c r="T4" s="10"/>
      <c r="U4" s="4" t="s">
        <v>207</v>
      </c>
      <c r="V4" s="4"/>
      <c r="W4" s="10"/>
      <c r="X4" s="4" t="s">
        <v>208</v>
      </c>
      <c r="Y4" s="4"/>
      <c r="Z4" s="10"/>
      <c r="AA4" s="4" t="s">
        <v>209</v>
      </c>
      <c r="AB4" s="4"/>
      <c r="AC4" s="10"/>
      <c r="AD4" s="4" t="s">
        <v>210</v>
      </c>
      <c r="AE4" s="4"/>
      <c r="AF4" s="10"/>
      <c r="AG4" s="4" t="s">
        <v>211</v>
      </c>
      <c r="AH4" s="4"/>
      <c r="AI4" s="10"/>
      <c r="AJ4" s="4" t="s">
        <v>212</v>
      </c>
      <c r="AK4" s="4"/>
      <c r="AL4" s="10"/>
      <c r="AM4" s="4" t="s">
        <v>213</v>
      </c>
      <c r="AN4" s="4"/>
      <c r="AO4" s="10"/>
      <c r="AP4" s="4" t="s">
        <v>214</v>
      </c>
      <c r="AQ4" s="4"/>
      <c r="AR4" s="10"/>
      <c r="AS4" s="4" t="s">
        <v>215</v>
      </c>
      <c r="AT4" s="4"/>
      <c r="AU4" s="10"/>
      <c r="AV4" s="4" t="s">
        <v>216</v>
      </c>
      <c r="AW4" s="4"/>
      <c r="AX4" s="26"/>
      <c r="AY4" s="4" t="s">
        <v>217</v>
      </c>
      <c r="AZ4" s="4"/>
      <c r="BA4" s="26"/>
      <c r="BB4" s="4" t="s">
        <v>218</v>
      </c>
      <c r="BC4" s="4"/>
      <c r="BD4" s="26"/>
      <c r="BE4" s="4" t="s">
        <v>219</v>
      </c>
      <c r="BF4" s="4"/>
      <c r="BG4" s="4"/>
      <c r="BH4" s="4" t="s">
        <v>220</v>
      </c>
      <c r="BI4" s="4"/>
      <c r="BJ4" s="4"/>
      <c r="BK4" s="4" t="s">
        <v>221</v>
      </c>
      <c r="BL4" s="4"/>
      <c r="BM4" s="4"/>
      <c r="BN4" s="4" t="s">
        <v>222</v>
      </c>
      <c r="BO4" s="4"/>
      <c r="BP4" s="4"/>
      <c r="BQ4" s="4" t="s">
        <v>3</v>
      </c>
      <c r="BR4" s="4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9"/>
      <c r="BT6" s="9"/>
      <c r="BU6" s="9"/>
    </row>
    <row r="7" spans="1:73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116.56</v>
      </c>
      <c r="D13" s="19">
        <v>105.27</v>
      </c>
      <c r="E13" s="5"/>
      <c r="F13" s="27">
        <v>117.2</v>
      </c>
      <c r="G13" s="19">
        <v>105.34</v>
      </c>
      <c r="H13" s="5"/>
      <c r="I13" s="27">
        <v>116.02</v>
      </c>
      <c r="J13" s="19">
        <v>106.84</v>
      </c>
      <c r="K13" s="5"/>
      <c r="L13" s="27">
        <v>116.83</v>
      </c>
      <c r="M13" s="19">
        <v>105.87</v>
      </c>
      <c r="N13" s="5"/>
      <c r="O13" s="27">
        <v>116.79</v>
      </c>
      <c r="P13" s="19">
        <v>105.19</v>
      </c>
      <c r="Q13" s="5"/>
      <c r="R13" s="27">
        <v>116.86</v>
      </c>
      <c r="S13" s="19">
        <v>103.89</v>
      </c>
      <c r="T13" s="5"/>
      <c r="U13" s="27">
        <v>116.26</v>
      </c>
      <c r="V13" s="19">
        <v>104.54</v>
      </c>
      <c r="W13" s="5"/>
      <c r="X13" s="27">
        <v>116.77</v>
      </c>
      <c r="Y13" s="19">
        <v>103.46</v>
      </c>
      <c r="Z13" s="5"/>
      <c r="AA13" s="27">
        <v>117.13</v>
      </c>
      <c r="AB13" s="19">
        <v>102.85</v>
      </c>
      <c r="AC13" s="5"/>
      <c r="AD13" s="27">
        <v>117</v>
      </c>
      <c r="AE13" s="19">
        <v>103.14</v>
      </c>
      <c r="AF13" s="5"/>
      <c r="AG13" s="27">
        <v>117.53</v>
      </c>
      <c r="AH13" s="19">
        <v>102.14</v>
      </c>
      <c r="AI13" s="5"/>
      <c r="AJ13" s="27">
        <v>116.4</v>
      </c>
      <c r="AK13" s="19">
        <v>103</v>
      </c>
      <c r="AL13" s="5"/>
      <c r="AM13" s="27">
        <v>116.17</v>
      </c>
      <c r="AN13" s="19">
        <v>103.5</v>
      </c>
      <c r="AO13" s="5"/>
      <c r="AP13" s="27">
        <v>115.81</v>
      </c>
      <c r="AQ13" s="19">
        <v>103.12</v>
      </c>
      <c r="AR13" s="5"/>
      <c r="AS13" s="27">
        <v>115.28</v>
      </c>
      <c r="AT13" s="19">
        <v>103.6</v>
      </c>
      <c r="AU13" s="5"/>
      <c r="AV13" s="27">
        <v>112.31</v>
      </c>
      <c r="AW13" s="19">
        <v>105.34</v>
      </c>
      <c r="AX13" s="5"/>
      <c r="AY13" s="27">
        <v>111.13</v>
      </c>
      <c r="AZ13" s="19">
        <v>106.48</v>
      </c>
      <c r="BA13" s="5"/>
      <c r="BB13" s="27">
        <v>111.61</v>
      </c>
      <c r="BC13" s="19">
        <v>107.07</v>
      </c>
      <c r="BD13" s="5"/>
      <c r="BE13" s="27">
        <v>111.81</v>
      </c>
      <c r="BF13" s="19">
        <v>107.52</v>
      </c>
      <c r="BG13" s="27"/>
      <c r="BH13" s="27">
        <v>112.06</v>
      </c>
      <c r="BI13" s="19">
        <v>106.49</v>
      </c>
      <c r="BJ13" s="27"/>
      <c r="BK13" s="27">
        <v>111.61</v>
      </c>
      <c r="BL13" s="19">
        <v>106.82</v>
      </c>
      <c r="BM13" s="19"/>
      <c r="BN13" s="27">
        <v>110.32</v>
      </c>
      <c r="BO13" s="19">
        <v>107.05</v>
      </c>
      <c r="BP13" s="19"/>
      <c r="BQ13" s="27">
        <f aca="true" t="shared" si="0" ref="BQ13:BQ24">(+C13+F13+I13+L13+O13+R13+U13+X13+AA13+AD13+AG13+AJ13+AM13+AP13+AS13+AV13+AY13+BB13+BE13+BH13+BK13+BN13)/22</f>
        <v>114.97545454545457</v>
      </c>
      <c r="BR13" s="19">
        <f aca="true" t="shared" si="1" ref="BR13:BR24">(+D13+G13+J13+M13+P13+S13+V13+Y13+AB13+AE13+AH13+AK13+AN13+AQ13+AT13+AW13+AZ13+BC13+BF13+BI13+BL13+BO13)/22</f>
        <v>104.93272727272728</v>
      </c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1/1.5761</f>
        <v>0.6344775077723495</v>
      </c>
      <c r="D14" s="19">
        <v>193.39</v>
      </c>
      <c r="E14" s="5"/>
      <c r="F14" s="27">
        <f>1/1.5658</f>
        <v>0.6386511687316387</v>
      </c>
      <c r="G14" s="19">
        <v>193.3</v>
      </c>
      <c r="H14" s="5"/>
      <c r="I14" s="27">
        <f>1/1.5664</f>
        <v>0.6384065372829417</v>
      </c>
      <c r="J14" s="19">
        <v>194.17</v>
      </c>
      <c r="K14" s="5"/>
      <c r="L14" s="27">
        <f>1/1.5749</f>
        <v>0.634960949901581</v>
      </c>
      <c r="M14" s="19">
        <v>194.79</v>
      </c>
      <c r="N14" s="5"/>
      <c r="O14" s="27">
        <f>1/1.5821</f>
        <v>0.632071297642374</v>
      </c>
      <c r="P14" s="19">
        <v>194.36</v>
      </c>
      <c r="Q14" s="5"/>
      <c r="R14" s="27">
        <f>1/1.5878</f>
        <v>0.6298022420959818</v>
      </c>
      <c r="S14" s="19">
        <v>192.77</v>
      </c>
      <c r="T14" s="5"/>
      <c r="U14" s="27">
        <f>1/1.5834</f>
        <v>0.6315523556902868</v>
      </c>
      <c r="V14" s="19">
        <v>192.44</v>
      </c>
      <c r="W14" s="5"/>
      <c r="X14" s="27">
        <f>1/1.5914</f>
        <v>0.6283775292195551</v>
      </c>
      <c r="Y14" s="19">
        <v>192.27</v>
      </c>
      <c r="Z14" s="5"/>
      <c r="AA14" s="27">
        <f>1/1.594</f>
        <v>0.6273525721455457</v>
      </c>
      <c r="AB14" s="19">
        <v>192.03</v>
      </c>
      <c r="AC14" s="5"/>
      <c r="AD14" s="27">
        <f>1/1.593</f>
        <v>0.6277463904582549</v>
      </c>
      <c r="AE14" s="19">
        <v>192.23</v>
      </c>
      <c r="AF14" s="5"/>
      <c r="AG14" s="27">
        <f>1/1.6037</f>
        <v>0.623558022073954</v>
      </c>
      <c r="AH14" s="19">
        <v>192.51</v>
      </c>
      <c r="AI14" s="5"/>
      <c r="AJ14" s="27">
        <f>1/1.5987</f>
        <v>0.6255082254331644</v>
      </c>
      <c r="AK14" s="19">
        <v>191.67</v>
      </c>
      <c r="AL14" s="5"/>
      <c r="AM14" s="27">
        <f>1/1.5959</f>
        <v>0.626605677047434</v>
      </c>
      <c r="AN14" s="19">
        <v>191.88</v>
      </c>
      <c r="AO14" s="5"/>
      <c r="AP14" s="27">
        <f>1/1.6131</f>
        <v>0.6199243692269544</v>
      </c>
      <c r="AQ14" s="19">
        <v>192.64</v>
      </c>
      <c r="AR14" s="5"/>
      <c r="AS14" s="27">
        <f>1/1.6258</f>
        <v>0.6150818058801821</v>
      </c>
      <c r="AT14" s="19">
        <v>194.17</v>
      </c>
      <c r="AU14" s="5"/>
      <c r="AV14" s="27">
        <f>1/1.6451</f>
        <v>0.6078657832350617</v>
      </c>
      <c r="AW14" s="19">
        <v>194.64</v>
      </c>
      <c r="AX14" s="5"/>
      <c r="AY14" s="27">
        <f>1/1.6538</f>
        <v>0.6046680372475511</v>
      </c>
      <c r="AZ14" s="19">
        <v>195.7</v>
      </c>
      <c r="BA14" s="5"/>
      <c r="BB14" s="27">
        <f>1/1.6556</f>
        <v>0.6040106305870984</v>
      </c>
      <c r="BC14" s="19">
        <v>197.84</v>
      </c>
      <c r="BD14" s="5"/>
      <c r="BE14" s="27">
        <f>1/1.6595</f>
        <v>0.6025911419102139</v>
      </c>
      <c r="BF14" s="19">
        <v>199.5</v>
      </c>
      <c r="BG14" s="27"/>
      <c r="BH14" s="27">
        <f>1/1.6577</f>
        <v>0.6032454605779092</v>
      </c>
      <c r="BI14" s="19">
        <v>197.81</v>
      </c>
      <c r="BJ14" s="27"/>
      <c r="BK14" s="27">
        <f>1/1.6479</f>
        <v>0.6068329388919231</v>
      </c>
      <c r="BL14" s="19">
        <v>196.47</v>
      </c>
      <c r="BM14" s="19"/>
      <c r="BN14" s="27">
        <f>1/1.6719</f>
        <v>0.5981218972426581</v>
      </c>
      <c r="BO14" s="19">
        <v>197.45</v>
      </c>
      <c r="BP14" s="19"/>
      <c r="BQ14" s="27">
        <f t="shared" si="0"/>
        <v>0.6209732972861187</v>
      </c>
      <c r="BR14" s="19">
        <f t="shared" si="1"/>
        <v>194.2740909090909</v>
      </c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1.4013</v>
      </c>
      <c r="D15" s="19">
        <v>87.56</v>
      </c>
      <c r="E15" s="5"/>
      <c r="F15" s="27">
        <v>1.4147</v>
      </c>
      <c r="G15" s="19">
        <v>87.26</v>
      </c>
      <c r="H15" s="5"/>
      <c r="I15" s="27">
        <v>1.4168</v>
      </c>
      <c r="J15" s="19">
        <v>87.49</v>
      </c>
      <c r="K15" s="5"/>
      <c r="L15" s="27">
        <v>1.4177</v>
      </c>
      <c r="M15" s="19">
        <v>87.24</v>
      </c>
      <c r="N15" s="5"/>
      <c r="O15" s="27">
        <v>1.407</v>
      </c>
      <c r="P15" s="19">
        <v>87.31</v>
      </c>
      <c r="Q15" s="5"/>
      <c r="R15" s="27">
        <v>1.389</v>
      </c>
      <c r="S15" s="19">
        <v>87.41</v>
      </c>
      <c r="T15" s="5"/>
      <c r="U15" s="27">
        <v>1.3875</v>
      </c>
      <c r="V15" s="19">
        <v>87.59</v>
      </c>
      <c r="W15" s="5"/>
      <c r="X15" s="27">
        <v>1.3821</v>
      </c>
      <c r="Y15" s="19">
        <v>87.41</v>
      </c>
      <c r="Z15" s="5"/>
      <c r="AA15" s="27">
        <v>1.3821</v>
      </c>
      <c r="AB15" s="19">
        <v>87.16</v>
      </c>
      <c r="AC15" s="5"/>
      <c r="AD15" s="27">
        <v>1.3935</v>
      </c>
      <c r="AE15" s="19">
        <v>86.6</v>
      </c>
      <c r="AF15" s="5"/>
      <c r="AG15" s="27">
        <v>1.3833</v>
      </c>
      <c r="AH15" s="19">
        <v>86.78</v>
      </c>
      <c r="AI15" s="5"/>
      <c r="AJ15" s="27">
        <v>1.3846</v>
      </c>
      <c r="AK15" s="19">
        <v>86.59</v>
      </c>
      <c r="AL15" s="5"/>
      <c r="AM15" s="27">
        <v>1.3894</v>
      </c>
      <c r="AN15" s="19">
        <v>86.53</v>
      </c>
      <c r="AO15" s="5"/>
      <c r="AP15" s="27">
        <v>1.3822</v>
      </c>
      <c r="AQ15" s="19">
        <v>86.4</v>
      </c>
      <c r="AR15" s="5"/>
      <c r="AS15" s="27">
        <v>1.3802</v>
      </c>
      <c r="AT15" s="19">
        <v>86.53</v>
      </c>
      <c r="AU15" s="5"/>
      <c r="AV15" s="27">
        <v>1.3551</v>
      </c>
      <c r="AW15" s="19">
        <v>87.31</v>
      </c>
      <c r="AX15" s="5"/>
      <c r="AY15" s="27">
        <v>1.3508</v>
      </c>
      <c r="AZ15" s="19">
        <v>87.6</v>
      </c>
      <c r="BA15" s="5"/>
      <c r="BB15" s="27">
        <v>1.353</v>
      </c>
      <c r="BC15" s="19">
        <v>88.32</v>
      </c>
      <c r="BD15" s="5"/>
      <c r="BE15" s="27">
        <v>1.3482</v>
      </c>
      <c r="BF15" s="19">
        <v>89.17</v>
      </c>
      <c r="BG15" s="27"/>
      <c r="BH15" s="27">
        <v>1.3468</v>
      </c>
      <c r="BI15" s="19">
        <v>88.6</v>
      </c>
      <c r="BJ15" s="27"/>
      <c r="BK15" s="27">
        <v>1.3497</v>
      </c>
      <c r="BL15" s="19">
        <v>88.34</v>
      </c>
      <c r="BM15" s="19"/>
      <c r="BN15" s="27">
        <v>1.3167</v>
      </c>
      <c r="BO15" s="19">
        <v>89.69</v>
      </c>
      <c r="BP15" s="19"/>
      <c r="BQ15" s="27">
        <f t="shared" si="0"/>
        <v>1.378713636363636</v>
      </c>
      <c r="BR15" s="19">
        <f t="shared" si="1"/>
        <v>87.49499999999999</v>
      </c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1/1.0978</f>
        <v>0.9109127345600291</v>
      </c>
      <c r="D16" s="19">
        <v>134.7</v>
      </c>
      <c r="E16" s="5"/>
      <c r="F16" s="27">
        <f>1/1.0851</f>
        <v>0.921574048474795</v>
      </c>
      <c r="G16" s="19">
        <v>133.96</v>
      </c>
      <c r="H16" s="5"/>
      <c r="I16" s="27">
        <f>1/1.0816</f>
        <v>0.9245562130177516</v>
      </c>
      <c r="J16" s="19">
        <v>134.07</v>
      </c>
      <c r="K16" s="5"/>
      <c r="L16" s="27">
        <f>1/1.0846</f>
        <v>0.9219988936013277</v>
      </c>
      <c r="M16" s="19">
        <v>134.15</v>
      </c>
      <c r="N16" s="5"/>
      <c r="O16" s="27">
        <f>1/1.0935</f>
        <v>0.9144947416552356</v>
      </c>
      <c r="P16" s="19">
        <v>134.33</v>
      </c>
      <c r="Q16" s="5"/>
      <c r="R16" s="27">
        <f>1/1.1073</f>
        <v>0.9030976248532466</v>
      </c>
      <c r="S16" s="19">
        <v>134.43</v>
      </c>
      <c r="T16" s="5"/>
      <c r="U16" s="27">
        <f>1/1.1125</f>
        <v>0.898876404494382</v>
      </c>
      <c r="V16" s="19">
        <v>135.21</v>
      </c>
      <c r="W16" s="5"/>
      <c r="X16" s="27">
        <f>1/1.1205</f>
        <v>0.8924587237840249</v>
      </c>
      <c r="Y16" s="19">
        <v>135.37</v>
      </c>
      <c r="Z16" s="5"/>
      <c r="AA16" s="27">
        <f>1/1.1225</f>
        <v>0.8908685968819599</v>
      </c>
      <c r="AB16" s="19">
        <v>135.23</v>
      </c>
      <c r="AC16" s="5"/>
      <c r="AD16" s="27">
        <f>1/1.115</f>
        <v>0.8968609865470852</v>
      </c>
      <c r="AE16" s="19">
        <v>134.55</v>
      </c>
      <c r="AF16" s="5"/>
      <c r="AG16" s="27">
        <f>1/1.1257</f>
        <v>0.888336146397797</v>
      </c>
      <c r="AH16" s="19">
        <v>135.13</v>
      </c>
      <c r="AI16" s="5"/>
      <c r="AJ16" s="27">
        <f>1/1.1247</f>
        <v>0.8891259891526629</v>
      </c>
      <c r="AK16" s="19">
        <v>134.84</v>
      </c>
      <c r="AL16" s="5"/>
      <c r="AM16" s="27">
        <f>1/1.1155</f>
        <v>0.8964589870013447</v>
      </c>
      <c r="AN16" s="19">
        <v>134.12</v>
      </c>
      <c r="AO16" s="5"/>
      <c r="AP16" s="27">
        <f>1/1.1266</f>
        <v>0.8876264867743653</v>
      </c>
      <c r="AQ16" s="19">
        <v>134.54</v>
      </c>
      <c r="AR16" s="5"/>
      <c r="AS16" s="27">
        <f>1/1.129</f>
        <v>0.8857395925597874</v>
      </c>
      <c r="AT16" s="19">
        <v>134.84</v>
      </c>
      <c r="AU16" s="5"/>
      <c r="AV16" s="27">
        <f>1/1.1457</f>
        <v>0.8728288382648163</v>
      </c>
      <c r="AW16" s="19">
        <v>135.55</v>
      </c>
      <c r="AX16" s="5"/>
      <c r="AY16" s="27">
        <f>1/1.1487</f>
        <v>0.8705493166187864</v>
      </c>
      <c r="AZ16" s="19">
        <v>135.93</v>
      </c>
      <c r="BA16" s="5"/>
      <c r="BB16" s="27">
        <f>1/1.1473</f>
        <v>0.8716116098666434</v>
      </c>
      <c r="BC16" s="19">
        <v>137.1</v>
      </c>
      <c r="BD16" s="5"/>
      <c r="BE16" s="27">
        <f>1/1.1496</f>
        <v>0.8698677800974253</v>
      </c>
      <c r="BF16" s="19">
        <v>138.2</v>
      </c>
      <c r="BG16" s="27"/>
      <c r="BH16" s="27">
        <f>1/1.1467</f>
        <v>0.8720676724513822</v>
      </c>
      <c r="BI16" s="19">
        <v>136.83</v>
      </c>
      <c r="BJ16" s="27"/>
      <c r="BK16" s="27">
        <f>1/1.1416</f>
        <v>0.8759635599159076</v>
      </c>
      <c r="BL16" s="19">
        <v>136.11</v>
      </c>
      <c r="BM16" s="19"/>
      <c r="BN16" s="27">
        <f>1/1.1677</f>
        <v>0.8563843452941681</v>
      </c>
      <c r="BO16" s="19">
        <v>137.91</v>
      </c>
      <c r="BP16" s="19"/>
      <c r="BQ16" s="27">
        <f t="shared" si="0"/>
        <v>0.8914663314665874</v>
      </c>
      <c r="BR16" s="19">
        <f t="shared" si="1"/>
        <v>135.32272727272724</v>
      </c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376.35</v>
      </c>
      <c r="D17" s="19">
        <v>46178.46</v>
      </c>
      <c r="E17" s="5"/>
      <c r="F17" s="27">
        <v>375.25</v>
      </c>
      <c r="G17" s="19">
        <v>46325.86</v>
      </c>
      <c r="H17" s="5"/>
      <c r="I17" s="27">
        <v>371.75</v>
      </c>
      <c r="J17" s="19">
        <v>46081.51</v>
      </c>
      <c r="K17" s="5"/>
      <c r="L17" s="27">
        <v>372.75</v>
      </c>
      <c r="M17" s="19">
        <v>46104.21</v>
      </c>
      <c r="N17" s="5"/>
      <c r="O17" s="27">
        <v>370.75</v>
      </c>
      <c r="P17" s="19">
        <v>45545.71</v>
      </c>
      <c r="Q17" s="5"/>
      <c r="R17" s="27">
        <v>376.25</v>
      </c>
      <c r="S17" s="19">
        <v>45678.94</v>
      </c>
      <c r="T17" s="5"/>
      <c r="U17" s="27">
        <v>378.4</v>
      </c>
      <c r="V17" s="19">
        <v>45988.84</v>
      </c>
      <c r="W17" s="5"/>
      <c r="X17" s="27">
        <v>381</v>
      </c>
      <c r="Y17" s="19">
        <v>46030.83</v>
      </c>
      <c r="Z17" s="5"/>
      <c r="AA17" s="27">
        <v>379.5</v>
      </c>
      <c r="AB17" s="19">
        <v>45717.73</v>
      </c>
      <c r="AC17" s="5"/>
      <c r="AD17" s="27">
        <v>377.25</v>
      </c>
      <c r="AE17" s="19">
        <v>45524.33</v>
      </c>
      <c r="AF17" s="5"/>
      <c r="AG17" s="27">
        <v>375.2</v>
      </c>
      <c r="AH17" s="19">
        <v>45039.32</v>
      </c>
      <c r="AI17" s="5"/>
      <c r="AJ17" s="27">
        <v>374.6</v>
      </c>
      <c r="AK17" s="19">
        <v>44910.79</v>
      </c>
      <c r="AL17" s="5"/>
      <c r="AM17" s="27">
        <v>372.6</v>
      </c>
      <c r="AN17" s="19">
        <v>44798.01</v>
      </c>
      <c r="AO17" s="5"/>
      <c r="AP17" s="27">
        <v>376.75</v>
      </c>
      <c r="AQ17" s="19">
        <v>44991.8</v>
      </c>
      <c r="AR17" s="5"/>
      <c r="AS17" s="27">
        <v>376.75</v>
      </c>
      <c r="AT17" s="19">
        <v>44996.51</v>
      </c>
      <c r="AU17" s="5"/>
      <c r="AV17" s="27">
        <v>385.9</v>
      </c>
      <c r="AW17" s="19">
        <v>45656.79</v>
      </c>
      <c r="AX17" s="5"/>
      <c r="AY17" s="27">
        <v>386.2</v>
      </c>
      <c r="AZ17" s="19">
        <v>45700.98</v>
      </c>
      <c r="BA17" s="5"/>
      <c r="BB17" s="27">
        <v>385.25</v>
      </c>
      <c r="BC17" s="19">
        <v>46037.38</v>
      </c>
      <c r="BD17" s="5"/>
      <c r="BE17" s="27">
        <v>391</v>
      </c>
      <c r="BF17" s="19">
        <v>47004.07</v>
      </c>
      <c r="BG17" s="27"/>
      <c r="BH17" s="27">
        <v>384</v>
      </c>
      <c r="BI17" s="19">
        <v>45821.76</v>
      </c>
      <c r="BJ17" s="27"/>
      <c r="BK17" s="27">
        <v>379.6</v>
      </c>
      <c r="BL17" s="19">
        <v>45258.13</v>
      </c>
      <c r="BM17" s="19"/>
      <c r="BN17" s="27">
        <v>384.25</v>
      </c>
      <c r="BO17" s="19">
        <v>45379.93</v>
      </c>
      <c r="BP17" s="19"/>
      <c r="BQ17" s="27">
        <f t="shared" si="0"/>
        <v>378.69772727272726</v>
      </c>
      <c r="BR17" s="19">
        <f t="shared" si="1"/>
        <v>45671.449545454554</v>
      </c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5.13</v>
      </c>
      <c r="D18" s="19">
        <v>629.46</v>
      </c>
      <c r="E18" s="5"/>
      <c r="F18" s="27">
        <v>5.13</v>
      </c>
      <c r="G18" s="19">
        <v>633.32</v>
      </c>
      <c r="H18" s="5"/>
      <c r="I18" s="27">
        <v>4.99</v>
      </c>
      <c r="J18" s="19">
        <v>618.55</v>
      </c>
      <c r="K18" s="5"/>
      <c r="L18" s="27">
        <v>5.03</v>
      </c>
      <c r="M18" s="19">
        <v>622.14</v>
      </c>
      <c r="N18" s="5"/>
      <c r="O18" s="27">
        <v>4.99</v>
      </c>
      <c r="P18" s="19">
        <v>613.01</v>
      </c>
      <c r="Q18" s="5"/>
      <c r="R18" s="27">
        <v>5.09</v>
      </c>
      <c r="S18" s="19">
        <v>617.96</v>
      </c>
      <c r="T18" s="5"/>
      <c r="U18" s="27">
        <v>5.12</v>
      </c>
      <c r="V18" s="19">
        <v>622.26</v>
      </c>
      <c r="W18" s="5"/>
      <c r="X18" s="27">
        <v>5.22</v>
      </c>
      <c r="Y18" s="19">
        <v>630.66</v>
      </c>
      <c r="Z18" s="5"/>
      <c r="AA18" s="27">
        <v>5.23</v>
      </c>
      <c r="AB18" s="19">
        <v>630.05</v>
      </c>
      <c r="AC18" s="5"/>
      <c r="AD18" s="27">
        <v>5.28</v>
      </c>
      <c r="AE18" s="19">
        <v>637.16</v>
      </c>
      <c r="AF18" s="5"/>
      <c r="AG18" s="27">
        <v>5.16</v>
      </c>
      <c r="AH18" s="19">
        <v>619.41</v>
      </c>
      <c r="AI18" s="5"/>
      <c r="AJ18" s="27">
        <v>5.17</v>
      </c>
      <c r="AK18" s="19">
        <v>619.83</v>
      </c>
      <c r="AL18" s="5"/>
      <c r="AM18" s="27">
        <v>5.16</v>
      </c>
      <c r="AN18" s="19">
        <v>620.39</v>
      </c>
      <c r="AO18" s="5"/>
      <c r="AP18" s="27">
        <v>5.27</v>
      </c>
      <c r="AQ18" s="19">
        <v>629.35</v>
      </c>
      <c r="AR18" s="5"/>
      <c r="AS18" s="27">
        <v>5.2</v>
      </c>
      <c r="AT18" s="19">
        <v>621.05</v>
      </c>
      <c r="AU18" s="5"/>
      <c r="AV18" s="27">
        <v>5.3</v>
      </c>
      <c r="AW18" s="19">
        <v>627.06</v>
      </c>
      <c r="AX18" s="5"/>
      <c r="AY18" s="27">
        <v>5.24</v>
      </c>
      <c r="AZ18" s="19">
        <v>620.08</v>
      </c>
      <c r="BA18" s="5"/>
      <c r="BB18" s="27">
        <v>5.22</v>
      </c>
      <c r="BC18" s="19">
        <v>623.79</v>
      </c>
      <c r="BD18" s="5"/>
      <c r="BE18" s="27">
        <v>5.31</v>
      </c>
      <c r="BF18" s="19">
        <v>638.34</v>
      </c>
      <c r="BG18" s="27"/>
      <c r="BH18" s="27">
        <v>5.18</v>
      </c>
      <c r="BI18" s="19">
        <v>618.12</v>
      </c>
      <c r="BJ18" s="27"/>
      <c r="BK18" s="27">
        <v>5.1</v>
      </c>
      <c r="BL18" s="19">
        <v>608.05</v>
      </c>
      <c r="BM18" s="19"/>
      <c r="BN18" s="27">
        <v>5.1</v>
      </c>
      <c r="BO18" s="19">
        <v>602.31</v>
      </c>
      <c r="BP18" s="19"/>
      <c r="BQ18" s="27">
        <f t="shared" si="0"/>
        <v>5.164545454545453</v>
      </c>
      <c r="BR18" s="19">
        <f t="shared" si="1"/>
        <v>622.8340909090908</v>
      </c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1/0.6451</f>
        <v>1.550147263990079</v>
      </c>
      <c r="D19" s="19">
        <v>79.15</v>
      </c>
      <c r="E19" s="5"/>
      <c r="F19" s="27">
        <f>1/0.6396</f>
        <v>1.5634771732332708</v>
      </c>
      <c r="G19" s="19">
        <v>78.96</v>
      </c>
      <c r="H19" s="5"/>
      <c r="I19" s="27">
        <f>1/0.639</f>
        <v>1.5649452269170578</v>
      </c>
      <c r="J19" s="19">
        <v>79.21</v>
      </c>
      <c r="K19" s="5"/>
      <c r="L19" s="27">
        <f>1/0.6403</f>
        <v>1.561767921286897</v>
      </c>
      <c r="M19" s="19">
        <v>79.2</v>
      </c>
      <c r="N19" s="5"/>
      <c r="O19" s="27">
        <f>1/0.6437</f>
        <v>1.5535187199005747</v>
      </c>
      <c r="P19" s="19">
        <v>79.08</v>
      </c>
      <c r="Q19" s="5"/>
      <c r="R19" s="27">
        <f>1/0.6459</f>
        <v>1.5482272797646695</v>
      </c>
      <c r="S19" s="19">
        <v>78.42</v>
      </c>
      <c r="T19" s="5"/>
      <c r="U19" s="27">
        <f>1/0.6516</f>
        <v>1.5346838551258442</v>
      </c>
      <c r="V19" s="19">
        <v>79.19</v>
      </c>
      <c r="W19" s="5"/>
      <c r="X19" s="27">
        <f>1/0.6574</f>
        <v>1.52114390021296</v>
      </c>
      <c r="Y19" s="19">
        <v>79.42</v>
      </c>
      <c r="Z19" s="5"/>
      <c r="AA19" s="27">
        <f>1/0.6586</f>
        <v>1.5183723048891589</v>
      </c>
      <c r="AB19" s="19">
        <v>79.34</v>
      </c>
      <c r="AC19" s="5"/>
      <c r="AD19" s="27">
        <f>1/0.6578</f>
        <v>1.5202189115232592</v>
      </c>
      <c r="AE19" s="19">
        <v>79.38</v>
      </c>
      <c r="AF19" s="5"/>
      <c r="AG19" s="27">
        <f>1/0.6628</f>
        <v>1.5087507543753773</v>
      </c>
      <c r="AH19" s="19">
        <v>79.56</v>
      </c>
      <c r="AI19" s="5"/>
      <c r="AJ19" s="27">
        <f>1/0.6633</f>
        <v>1.5076134479119554</v>
      </c>
      <c r="AK19" s="19">
        <v>79.52</v>
      </c>
      <c r="AL19" s="5"/>
      <c r="AM19" s="27">
        <f>1/0.661</f>
        <v>1.51285930408472</v>
      </c>
      <c r="AN19" s="19">
        <v>79.47</v>
      </c>
      <c r="AO19" s="5"/>
      <c r="AP19" s="27">
        <f>1/0.6647</f>
        <v>1.504438092372499</v>
      </c>
      <c r="AQ19" s="19">
        <v>79.38</v>
      </c>
      <c r="AR19" s="5"/>
      <c r="AS19" s="27">
        <f>1/0.6676</f>
        <v>1.4979029358897544</v>
      </c>
      <c r="AT19" s="19">
        <v>79.73</v>
      </c>
      <c r="AU19" s="5"/>
      <c r="AV19" s="27">
        <f>1/0.6783</f>
        <v>1.4742739200943535</v>
      </c>
      <c r="AW19" s="19">
        <v>80.25</v>
      </c>
      <c r="AX19" s="18"/>
      <c r="AY19" s="27">
        <f>1/0.678</f>
        <v>1.4749262536873156</v>
      </c>
      <c r="AZ19" s="19">
        <v>80.23</v>
      </c>
      <c r="BA19" s="18"/>
      <c r="BB19" s="27">
        <f>1/0.6769</f>
        <v>1.4773230905599055</v>
      </c>
      <c r="BC19" s="19">
        <v>80.89</v>
      </c>
      <c r="BD19" s="18"/>
      <c r="BE19" s="27">
        <f>1/0.682</f>
        <v>1.4662756598240467</v>
      </c>
      <c r="BF19" s="19">
        <v>81.99</v>
      </c>
      <c r="BG19" s="27"/>
      <c r="BH19" s="27">
        <f>1/0.6784</f>
        <v>1.474056603773585</v>
      </c>
      <c r="BI19" s="19">
        <v>80.95</v>
      </c>
      <c r="BJ19" s="27"/>
      <c r="BK19" s="27">
        <f>1/0.6686</f>
        <v>1.4956625785222855</v>
      </c>
      <c r="BL19" s="19">
        <v>79.71</v>
      </c>
      <c r="BM19" s="19"/>
      <c r="BN19" s="27">
        <f>1/0.6826</f>
        <v>1.464986815118664</v>
      </c>
      <c r="BO19" s="19">
        <v>80.62</v>
      </c>
      <c r="BP19" s="19"/>
      <c r="BQ19" s="27">
        <f t="shared" si="0"/>
        <v>1.5134350915026469</v>
      </c>
      <c r="BR19" s="19">
        <f t="shared" si="1"/>
        <v>79.71136363636366</v>
      </c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1.3824</v>
      </c>
      <c r="D20" s="19">
        <v>88.76</v>
      </c>
      <c r="E20" s="5"/>
      <c r="F20" s="27">
        <v>1.3855</v>
      </c>
      <c r="G20" s="19">
        <v>89.1</v>
      </c>
      <c r="H20" s="5"/>
      <c r="I20" s="27">
        <v>1.3933</v>
      </c>
      <c r="J20" s="19">
        <v>88.97</v>
      </c>
      <c r="K20" s="5"/>
      <c r="L20" s="27">
        <v>1.379</v>
      </c>
      <c r="M20" s="19">
        <v>89.69</v>
      </c>
      <c r="N20" s="5"/>
      <c r="O20" s="27">
        <v>1.3696</v>
      </c>
      <c r="P20" s="19">
        <v>89.7</v>
      </c>
      <c r="Q20" s="5"/>
      <c r="R20" s="27">
        <v>1.3723</v>
      </c>
      <c r="S20" s="19">
        <v>88.47</v>
      </c>
      <c r="T20" s="5"/>
      <c r="U20" s="27">
        <v>1.3709</v>
      </c>
      <c r="V20" s="19">
        <v>88.65</v>
      </c>
      <c r="W20" s="5"/>
      <c r="X20" s="27">
        <v>1.3686</v>
      </c>
      <c r="Y20" s="19">
        <v>88.28</v>
      </c>
      <c r="Z20" s="5"/>
      <c r="AA20" s="27">
        <v>1.3705</v>
      </c>
      <c r="AB20" s="19">
        <v>87.9</v>
      </c>
      <c r="AC20" s="5"/>
      <c r="AD20" s="27">
        <v>1.3734</v>
      </c>
      <c r="AE20" s="19">
        <v>87.87</v>
      </c>
      <c r="AF20" s="5"/>
      <c r="AG20" s="27">
        <v>1.3673</v>
      </c>
      <c r="AH20" s="19">
        <v>87.79</v>
      </c>
      <c r="AI20" s="5"/>
      <c r="AJ20" s="27">
        <v>1.3684</v>
      </c>
      <c r="AK20" s="19">
        <v>87.61</v>
      </c>
      <c r="AL20" s="5"/>
      <c r="AM20" s="27">
        <v>1.3735</v>
      </c>
      <c r="AN20" s="19">
        <v>87.54</v>
      </c>
      <c r="AO20" s="5"/>
      <c r="AP20" s="27">
        <v>1.366</v>
      </c>
      <c r="AQ20" s="19">
        <v>87.42</v>
      </c>
      <c r="AR20" s="5"/>
      <c r="AS20" s="27">
        <v>1.3593</v>
      </c>
      <c r="AT20" s="19">
        <v>87.86</v>
      </c>
      <c r="AU20" s="5"/>
      <c r="AV20" s="27">
        <v>1.34</v>
      </c>
      <c r="AW20" s="19">
        <v>88.29</v>
      </c>
      <c r="AX20" s="5"/>
      <c r="AY20" s="27">
        <v>1.3491</v>
      </c>
      <c r="AZ20" s="19">
        <v>87.71</v>
      </c>
      <c r="BA20" s="5"/>
      <c r="BB20" s="27">
        <v>1.3556</v>
      </c>
      <c r="BC20" s="19">
        <v>88.15</v>
      </c>
      <c r="BD20" s="5"/>
      <c r="BE20" s="27">
        <v>1.3475</v>
      </c>
      <c r="BF20" s="19">
        <v>89.21</v>
      </c>
      <c r="BG20" s="27"/>
      <c r="BH20" s="27">
        <v>1.3531</v>
      </c>
      <c r="BI20" s="19">
        <v>88.19</v>
      </c>
      <c r="BJ20" s="27"/>
      <c r="BK20" s="27">
        <v>1.3608</v>
      </c>
      <c r="BL20" s="19">
        <v>87.61</v>
      </c>
      <c r="BM20" s="19"/>
      <c r="BN20" s="27">
        <v>1.3472</v>
      </c>
      <c r="BO20" s="19">
        <v>87.66</v>
      </c>
      <c r="BP20" s="19"/>
      <c r="BQ20" s="27">
        <f t="shared" si="0"/>
        <v>1.366059090909091</v>
      </c>
      <c r="BR20" s="19">
        <f t="shared" si="1"/>
        <v>88.29227272727273</v>
      </c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8.3561</v>
      </c>
      <c r="D21" s="19">
        <v>14.68</v>
      </c>
      <c r="E21" s="5"/>
      <c r="F21" s="27">
        <v>8.4513</v>
      </c>
      <c r="G21" s="19">
        <v>14.61</v>
      </c>
      <c r="H21" s="5"/>
      <c r="I21" s="27">
        <v>8.4718</v>
      </c>
      <c r="J21" s="19">
        <v>14.63</v>
      </c>
      <c r="K21" s="5"/>
      <c r="L21" s="27">
        <v>8.407</v>
      </c>
      <c r="M21" s="19">
        <v>14.71</v>
      </c>
      <c r="N21" s="5"/>
      <c r="O21" s="27">
        <v>8.3365</v>
      </c>
      <c r="P21" s="19">
        <v>14.74</v>
      </c>
      <c r="Q21" s="5"/>
      <c r="R21" s="27">
        <v>8.2247</v>
      </c>
      <c r="S21" s="19">
        <v>14.76</v>
      </c>
      <c r="T21" s="5"/>
      <c r="U21" s="27">
        <v>8.206</v>
      </c>
      <c r="V21" s="19">
        <v>14.81</v>
      </c>
      <c r="W21" s="5"/>
      <c r="X21" s="27">
        <v>8.1866</v>
      </c>
      <c r="Y21" s="19">
        <v>14.76</v>
      </c>
      <c r="Z21" s="5"/>
      <c r="AA21" s="27">
        <v>8.117</v>
      </c>
      <c r="AB21" s="19">
        <v>14.84</v>
      </c>
      <c r="AC21" s="5"/>
      <c r="AD21" s="27">
        <v>8.1664</v>
      </c>
      <c r="AE21" s="19">
        <v>14.78</v>
      </c>
      <c r="AF21" s="5"/>
      <c r="AG21" s="27">
        <v>8.0966</v>
      </c>
      <c r="AH21" s="19">
        <v>14.83</v>
      </c>
      <c r="AI21" s="5"/>
      <c r="AJ21" s="27">
        <v>8.129</v>
      </c>
      <c r="AK21" s="19">
        <v>14.75</v>
      </c>
      <c r="AL21" s="5"/>
      <c r="AM21" s="27">
        <v>8.1315</v>
      </c>
      <c r="AN21" s="19">
        <v>14.79</v>
      </c>
      <c r="AO21" s="5"/>
      <c r="AP21" s="27">
        <v>8.0021</v>
      </c>
      <c r="AQ21" s="19">
        <v>14.92</v>
      </c>
      <c r="AR21" s="5"/>
      <c r="AS21" s="27">
        <v>7.9885</v>
      </c>
      <c r="AT21" s="19">
        <v>14.95</v>
      </c>
      <c r="AU21" s="5"/>
      <c r="AV21" s="27">
        <v>7.9035</v>
      </c>
      <c r="AW21" s="19">
        <v>14.97</v>
      </c>
      <c r="AX21" s="5"/>
      <c r="AY21" s="27">
        <v>7.8591</v>
      </c>
      <c r="AZ21" s="19">
        <v>15.06</v>
      </c>
      <c r="BA21" s="5"/>
      <c r="BB21" s="27">
        <v>7.781</v>
      </c>
      <c r="BC21" s="19">
        <v>15.36</v>
      </c>
      <c r="BD21" s="5"/>
      <c r="BE21" s="27">
        <v>7.734</v>
      </c>
      <c r="BF21" s="19">
        <v>15.54</v>
      </c>
      <c r="BG21" s="27"/>
      <c r="BH21" s="27">
        <v>7.7756</v>
      </c>
      <c r="BI21" s="19">
        <v>15.35</v>
      </c>
      <c r="BJ21" s="27"/>
      <c r="BK21" s="27">
        <v>7.8208</v>
      </c>
      <c r="BL21" s="19">
        <v>15.24</v>
      </c>
      <c r="BM21" s="19"/>
      <c r="BN21" s="27">
        <v>7.652</v>
      </c>
      <c r="BO21" s="19">
        <v>15.43</v>
      </c>
      <c r="BP21" s="19"/>
      <c r="BQ21" s="27">
        <f t="shared" si="0"/>
        <v>8.081686363636363</v>
      </c>
      <c r="BR21" s="19">
        <f t="shared" si="1"/>
        <v>14.93227272727273</v>
      </c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7.4799</v>
      </c>
      <c r="D22" s="19">
        <v>16.4</v>
      </c>
      <c r="E22" s="5"/>
      <c r="F22" s="27">
        <v>7.6227</v>
      </c>
      <c r="G22" s="19">
        <v>16.2</v>
      </c>
      <c r="H22" s="5"/>
      <c r="I22" s="27">
        <v>7.6138</v>
      </c>
      <c r="J22" s="19">
        <v>16.28</v>
      </c>
      <c r="K22" s="5"/>
      <c r="L22" s="27">
        <v>7.5477</v>
      </c>
      <c r="M22" s="19">
        <v>16.39</v>
      </c>
      <c r="N22" s="5"/>
      <c r="O22" s="27">
        <v>7.522</v>
      </c>
      <c r="P22" s="19">
        <v>16.33</v>
      </c>
      <c r="Q22" s="5"/>
      <c r="R22" s="27">
        <v>7.4368</v>
      </c>
      <c r="S22" s="19">
        <v>16.33</v>
      </c>
      <c r="T22" s="5"/>
      <c r="U22" s="27">
        <v>7.4228</v>
      </c>
      <c r="V22" s="19">
        <v>16.37</v>
      </c>
      <c r="W22" s="5"/>
      <c r="X22" s="27">
        <v>7.3885</v>
      </c>
      <c r="Y22" s="19">
        <v>16.35</v>
      </c>
      <c r="Z22" s="5"/>
      <c r="AA22" s="27">
        <v>7.3705</v>
      </c>
      <c r="AB22" s="19">
        <v>16.34</v>
      </c>
      <c r="AC22" s="5"/>
      <c r="AD22" s="27">
        <v>7.4222</v>
      </c>
      <c r="AE22" s="19">
        <v>16.26</v>
      </c>
      <c r="AF22" s="5"/>
      <c r="AG22" s="27">
        <v>7.3445</v>
      </c>
      <c r="AH22" s="19">
        <v>16.34</v>
      </c>
      <c r="AI22" s="5"/>
      <c r="AJ22" s="27">
        <v>7.3524</v>
      </c>
      <c r="AK22" s="19">
        <v>16.31</v>
      </c>
      <c r="AL22" s="5"/>
      <c r="AM22" s="27">
        <v>7.4</v>
      </c>
      <c r="AN22" s="19">
        <v>16.25</v>
      </c>
      <c r="AO22" s="5"/>
      <c r="AP22" s="27">
        <v>7.2373</v>
      </c>
      <c r="AQ22" s="19">
        <v>16.5</v>
      </c>
      <c r="AR22" s="5"/>
      <c r="AS22" s="27">
        <v>7.224</v>
      </c>
      <c r="AT22" s="19">
        <v>16.53</v>
      </c>
      <c r="AU22" s="5"/>
      <c r="AV22" s="27">
        <v>7.1195</v>
      </c>
      <c r="AW22" s="19">
        <v>16.62</v>
      </c>
      <c r="AX22" s="5"/>
      <c r="AY22" s="27">
        <v>7.0961</v>
      </c>
      <c r="AZ22" s="19">
        <v>16.68</v>
      </c>
      <c r="BA22" s="5"/>
      <c r="BB22" s="27">
        <v>7.0375</v>
      </c>
      <c r="BC22" s="19">
        <v>16.98</v>
      </c>
      <c r="BD22" s="5"/>
      <c r="BE22" s="27">
        <v>7.001</v>
      </c>
      <c r="BF22" s="19">
        <v>17.17</v>
      </c>
      <c r="BG22" s="27"/>
      <c r="BH22" s="27">
        <v>7.0458</v>
      </c>
      <c r="BI22" s="19">
        <v>16.94</v>
      </c>
      <c r="BJ22" s="27"/>
      <c r="BK22" s="27">
        <v>7.093</v>
      </c>
      <c r="BL22" s="19">
        <v>16.81</v>
      </c>
      <c r="BM22" s="19"/>
      <c r="BN22" s="27">
        <v>7.0096</v>
      </c>
      <c r="BO22" s="19">
        <v>16.85</v>
      </c>
      <c r="BP22" s="19"/>
      <c r="BQ22" s="27">
        <f t="shared" si="0"/>
        <v>7.3085272727272725</v>
      </c>
      <c r="BR22" s="19">
        <f t="shared" si="1"/>
        <v>16.51045454545455</v>
      </c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6.7625</v>
      </c>
      <c r="D23" s="19">
        <v>18.14</v>
      </c>
      <c r="E23" s="5"/>
      <c r="F23" s="27">
        <v>6.841</v>
      </c>
      <c r="G23" s="19">
        <v>18.05</v>
      </c>
      <c r="H23" s="5"/>
      <c r="I23" s="27">
        <v>6.8663</v>
      </c>
      <c r="J23" s="19">
        <v>18.05</v>
      </c>
      <c r="K23" s="5"/>
      <c r="L23" s="27">
        <v>6.8438</v>
      </c>
      <c r="M23" s="19">
        <v>18.07</v>
      </c>
      <c r="N23" s="5"/>
      <c r="O23" s="27">
        <v>6.7896</v>
      </c>
      <c r="P23" s="19">
        <v>18.09</v>
      </c>
      <c r="Q23" s="5"/>
      <c r="R23" s="27">
        <v>6.7036</v>
      </c>
      <c r="S23" s="19">
        <v>18.11</v>
      </c>
      <c r="T23" s="5"/>
      <c r="U23" s="27">
        <v>6.6753</v>
      </c>
      <c r="V23" s="19">
        <v>18.21</v>
      </c>
      <c r="W23" s="5"/>
      <c r="X23" s="27">
        <v>6.6266</v>
      </c>
      <c r="Y23" s="19">
        <v>18.23</v>
      </c>
      <c r="Z23" s="5"/>
      <c r="AA23" s="27">
        <v>6.6152</v>
      </c>
      <c r="AB23" s="19">
        <v>18.21</v>
      </c>
      <c r="AC23" s="5"/>
      <c r="AD23" s="27">
        <v>6.6598</v>
      </c>
      <c r="AE23" s="19">
        <v>18.12</v>
      </c>
      <c r="AF23" s="5"/>
      <c r="AG23" s="27">
        <v>6.5958</v>
      </c>
      <c r="AH23" s="19">
        <v>18.2</v>
      </c>
      <c r="AI23" s="5"/>
      <c r="AJ23" s="27">
        <v>6.6013</v>
      </c>
      <c r="AK23" s="19">
        <v>18.16</v>
      </c>
      <c r="AL23" s="5"/>
      <c r="AM23" s="27">
        <v>6.6565</v>
      </c>
      <c r="AN23" s="19">
        <v>18.06</v>
      </c>
      <c r="AO23" s="5"/>
      <c r="AP23" s="27">
        <v>6.5915</v>
      </c>
      <c r="AQ23" s="19">
        <v>18.12</v>
      </c>
      <c r="AR23" s="5"/>
      <c r="AS23" s="27">
        <v>6.577</v>
      </c>
      <c r="AT23" s="19">
        <v>18.16</v>
      </c>
      <c r="AU23" s="5"/>
      <c r="AV23" s="27">
        <v>6.4821</v>
      </c>
      <c r="AW23" s="19">
        <v>18.25</v>
      </c>
      <c r="AX23" s="5"/>
      <c r="AY23" s="27">
        <v>6.4641</v>
      </c>
      <c r="AZ23" s="19">
        <v>18.31</v>
      </c>
      <c r="BA23" s="5"/>
      <c r="BB23" s="27">
        <v>6.4728</v>
      </c>
      <c r="BC23" s="19">
        <v>18.46</v>
      </c>
      <c r="BD23" s="5"/>
      <c r="BE23" s="27">
        <v>6.459</v>
      </c>
      <c r="BF23" s="19">
        <v>18.61</v>
      </c>
      <c r="BG23" s="27"/>
      <c r="BH23" s="27">
        <v>6.4766</v>
      </c>
      <c r="BI23" s="19">
        <v>18.42</v>
      </c>
      <c r="BJ23" s="27"/>
      <c r="BK23" s="27">
        <v>6.5037</v>
      </c>
      <c r="BL23" s="19">
        <v>18.33</v>
      </c>
      <c r="BM23" s="19"/>
      <c r="BN23" s="27">
        <v>6.3578</v>
      </c>
      <c r="BO23" s="19">
        <v>18.58</v>
      </c>
      <c r="BP23" s="19"/>
      <c r="BQ23" s="27">
        <f t="shared" si="0"/>
        <v>6.619177272727273</v>
      </c>
      <c r="BR23" s="19">
        <f t="shared" si="1"/>
        <v>18.224545454545453</v>
      </c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1/1.37727</f>
        <v>0.7260740450311123</v>
      </c>
      <c r="D24" s="19">
        <v>168.99</v>
      </c>
      <c r="E24" s="5"/>
      <c r="F24" s="27">
        <f>1/1.37727</f>
        <v>0.7260740450311123</v>
      </c>
      <c r="G24" s="19">
        <v>170.03</v>
      </c>
      <c r="H24" s="5"/>
      <c r="I24" s="27">
        <f>1/1.37342</f>
        <v>0.7281093911549271</v>
      </c>
      <c r="J24" s="19">
        <v>170.25</v>
      </c>
      <c r="K24" s="5"/>
      <c r="L24" s="27">
        <f>1/1.37132</f>
        <v>0.7292243969314237</v>
      </c>
      <c r="M24" s="19">
        <v>169.61</v>
      </c>
      <c r="N24" s="5"/>
      <c r="O24" s="27">
        <f>1/1.37274</f>
        <v>0.7284700671649401</v>
      </c>
      <c r="P24" s="19">
        <v>168.64</v>
      </c>
      <c r="Q24" s="5"/>
      <c r="R24" s="27">
        <f>1/1.37811</f>
        <v>0.7256314807961629</v>
      </c>
      <c r="S24" s="19">
        <v>167.31</v>
      </c>
      <c r="T24" s="5"/>
      <c r="U24" s="27">
        <f>1/1.38753</f>
        <v>0.7207051379069281</v>
      </c>
      <c r="V24" s="19">
        <v>168.63</v>
      </c>
      <c r="W24" s="5"/>
      <c r="X24" s="27">
        <f>1/1.38724</f>
        <v>0.7208558000057669</v>
      </c>
      <c r="Y24" s="19">
        <v>167.6</v>
      </c>
      <c r="Z24" s="5"/>
      <c r="AA24" s="27">
        <f>1/1.3906</f>
        <v>0.7191140514885661</v>
      </c>
      <c r="AB24" s="19">
        <v>167.52</v>
      </c>
      <c r="AC24" s="5"/>
      <c r="AD24" s="27">
        <f>1/1.39097</f>
        <v>0.7189227661272349</v>
      </c>
      <c r="AE24" s="19">
        <v>167.85</v>
      </c>
      <c r="AF24" s="5"/>
      <c r="AG24" s="27">
        <f>1/1.3883</f>
        <v>0.7203054094936252</v>
      </c>
      <c r="AH24" s="19">
        <v>166.65</v>
      </c>
      <c r="AI24" s="5"/>
      <c r="AJ24" s="27">
        <f>1/1.39359</f>
        <v>0.7175711651203007</v>
      </c>
      <c r="AK24" s="19">
        <v>167.08</v>
      </c>
      <c r="AL24" s="5"/>
      <c r="AM24" s="27">
        <f>1/1.39194</f>
        <v>0.71842177105335</v>
      </c>
      <c r="AN24" s="19">
        <v>167.35</v>
      </c>
      <c r="AO24" s="5"/>
      <c r="AP24" s="27">
        <f>1/1.39171</f>
        <v>0.7185405005353127</v>
      </c>
      <c r="AQ24" s="19">
        <v>166.2</v>
      </c>
      <c r="AR24" s="5"/>
      <c r="AS24" s="27">
        <f>1/1.39778</f>
        <v>0.7154201662636466</v>
      </c>
      <c r="AT24" s="19">
        <v>166.94</v>
      </c>
      <c r="AU24" s="5"/>
      <c r="AV24" s="27">
        <f>1/1.39778</f>
        <v>0.7154201662636466</v>
      </c>
      <c r="AW24" s="19">
        <v>165.37</v>
      </c>
      <c r="AX24" s="5"/>
      <c r="AY24" s="27">
        <f>1/1.41615</f>
        <v>0.7061398863114783</v>
      </c>
      <c r="AZ24" s="19">
        <v>167.58</v>
      </c>
      <c r="BA24" s="5"/>
      <c r="BB24" s="27">
        <f>1/1.41779</f>
        <v>0.7053230732336946</v>
      </c>
      <c r="BC24" s="19">
        <v>169.43</v>
      </c>
      <c r="BD24" s="5"/>
      <c r="BE24" s="27">
        <f>1/1.41694</f>
        <v>0.7057461854418676</v>
      </c>
      <c r="BF24" s="19">
        <v>170.34</v>
      </c>
      <c r="BG24" s="27"/>
      <c r="BH24" s="27">
        <f>1/1.41728</f>
        <v>0.7055768796568074</v>
      </c>
      <c r="BI24" s="19">
        <v>169.12</v>
      </c>
      <c r="BJ24" s="27"/>
      <c r="BK24" s="27">
        <f>1/1.41655</f>
        <v>0.705940489216759</v>
      </c>
      <c r="BL24" s="19">
        <v>168.89</v>
      </c>
      <c r="BM24" s="19"/>
      <c r="BN24" s="27">
        <f>1/1.41331</f>
        <v>0.7075588512074491</v>
      </c>
      <c r="BO24" s="19">
        <v>166.91</v>
      </c>
      <c r="BP24" s="19"/>
      <c r="BQ24" s="27">
        <f t="shared" si="0"/>
        <v>0.7175066238834596</v>
      </c>
      <c r="BR24" s="19">
        <f t="shared" si="1"/>
        <v>168.10409090909087</v>
      </c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122.7</v>
      </c>
      <c r="E25" s="21"/>
      <c r="F25" s="28">
        <v>1</v>
      </c>
      <c r="G25" s="22">
        <v>123.45</v>
      </c>
      <c r="H25" s="21"/>
      <c r="I25" s="28">
        <v>1</v>
      </c>
      <c r="J25" s="22">
        <v>123.96</v>
      </c>
      <c r="K25" s="21"/>
      <c r="L25" s="28">
        <v>1</v>
      </c>
      <c r="M25" s="22">
        <v>123.69</v>
      </c>
      <c r="N25" s="21"/>
      <c r="O25" s="28">
        <v>1</v>
      </c>
      <c r="P25" s="22">
        <v>122.85</v>
      </c>
      <c r="Q25" s="21"/>
      <c r="R25" s="28">
        <v>1</v>
      </c>
      <c r="S25" s="22">
        <v>121.41</v>
      </c>
      <c r="T25" s="21"/>
      <c r="U25" s="28">
        <v>1</v>
      </c>
      <c r="V25" s="22">
        <v>121.54</v>
      </c>
      <c r="W25" s="21"/>
      <c r="X25" s="28">
        <v>1</v>
      </c>
      <c r="Y25" s="22">
        <v>120.82</v>
      </c>
      <c r="Z25" s="21"/>
      <c r="AA25" s="28">
        <v>1</v>
      </c>
      <c r="AB25" s="22">
        <v>120.47</v>
      </c>
      <c r="AC25" s="21"/>
      <c r="AD25" s="28">
        <v>1</v>
      </c>
      <c r="AE25" s="22">
        <v>120.67</v>
      </c>
      <c r="AF25" s="21"/>
      <c r="AG25" s="28">
        <v>1</v>
      </c>
      <c r="AH25" s="22">
        <v>120.04</v>
      </c>
      <c r="AI25" s="21"/>
      <c r="AJ25" s="28">
        <v>1</v>
      </c>
      <c r="AK25" s="22">
        <v>119.89</v>
      </c>
      <c r="AL25" s="21"/>
      <c r="AM25" s="28">
        <v>1</v>
      </c>
      <c r="AN25" s="22">
        <v>120.23</v>
      </c>
      <c r="AO25" s="21"/>
      <c r="AP25" s="28">
        <v>1</v>
      </c>
      <c r="AQ25" s="22">
        <v>119.42</v>
      </c>
      <c r="AR25" s="21"/>
      <c r="AS25" s="28">
        <v>1</v>
      </c>
      <c r="AT25" s="22">
        <v>119.43</v>
      </c>
      <c r="AU25" s="21"/>
      <c r="AV25" s="28">
        <v>1</v>
      </c>
      <c r="AW25" s="22">
        <v>118.31</v>
      </c>
      <c r="AX25" s="21"/>
      <c r="AY25" s="28">
        <v>1</v>
      </c>
      <c r="AZ25" s="22">
        <v>118.34</v>
      </c>
      <c r="BA25" s="21"/>
      <c r="BB25" s="28">
        <v>1</v>
      </c>
      <c r="BC25" s="22">
        <v>119.5</v>
      </c>
      <c r="BD25" s="21"/>
      <c r="BE25" s="28">
        <v>1</v>
      </c>
      <c r="BF25" s="22">
        <v>120.22</v>
      </c>
      <c r="BG25" s="28"/>
      <c r="BH25" s="28">
        <v>1</v>
      </c>
      <c r="BI25" s="22">
        <v>119.33</v>
      </c>
      <c r="BJ25" s="28"/>
      <c r="BK25" s="28">
        <v>1</v>
      </c>
      <c r="BL25" s="22">
        <v>119.23</v>
      </c>
      <c r="BM25" s="22"/>
      <c r="BN25" s="28">
        <v>1</v>
      </c>
      <c r="BO25" s="22">
        <v>118.1</v>
      </c>
      <c r="BP25" s="22"/>
      <c r="BQ25" s="28">
        <f>(+C25+F25+I25+L25+O25+R25+U25+X25+AA25+AD25+AG25+AJ25+AM25+AP25+AS25+AV25+AY25+BB25+BE25+BH25+BK25+BN25)/22</f>
        <v>1</v>
      </c>
      <c r="BR25" s="22">
        <f>(+D25+G25+J25+M25+P25+S25+V25+Y25+AB25+AE25+AH25+AK25+AN25+AQ25+AT25+AW25+AZ25+BC25+BF25+BI25+BL25+BO25)/22</f>
        <v>120.61818181818181</v>
      </c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31"/>
      <c r="BI26" s="31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&amp;LBANKA E SHQIPERISE
Sektori i Informacionit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Najada  Samarxhi</dc:creator>
  <cp:keywords/>
  <dc:description/>
  <cp:lastModifiedBy>Najada  Samarxhiu</cp:lastModifiedBy>
  <cp:lastPrinted>2004-01-05T08:17:29Z</cp:lastPrinted>
  <dcterms:created xsi:type="dcterms:W3CDTF">2002-01-04T09:02:27Z</dcterms:created>
  <dcterms:modified xsi:type="dcterms:W3CDTF">2018-03-05T12:28:10Z</dcterms:modified>
  <cp:category/>
  <cp:version/>
  <cp:contentType/>
  <cp:contentStatus/>
</cp:coreProperties>
</file>