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tabRatio="521" activeTab="11"/>
  </bookViews>
  <sheets>
    <sheet name="Janar" sheetId="1" r:id="rId1"/>
    <sheet name="Shkurt" sheetId="2" r:id="rId2"/>
    <sheet name="Mars" sheetId="3" r:id="rId3"/>
    <sheet name="Prill" sheetId="4" r:id="rId4"/>
    <sheet name="Maj" sheetId="5" r:id="rId5"/>
    <sheet name="Qershor" sheetId="6" r:id="rId6"/>
    <sheet name="Korrik" sheetId="7" r:id="rId7"/>
    <sheet name="Gusht" sheetId="8" r:id="rId8"/>
    <sheet name="Shtator" sheetId="9" r:id="rId9"/>
    <sheet name="Tetor" sheetId="10" r:id="rId10"/>
    <sheet name="Nentor" sheetId="11" r:id="rId11"/>
    <sheet name="Dhjetor" sheetId="12" r:id="rId12"/>
  </sheets>
  <definedNames>
    <definedName name="_xlnm.Print_Area" localSheetId="0">'Janar'!$A$1:$BJ$25</definedName>
    <definedName name="_xlnm.Print_Area" localSheetId="6">'Korrik'!$A$1:$BV$27</definedName>
    <definedName name="_xlnm.Print_Area" localSheetId="4">'Maj'!$A$1:$BP$27</definedName>
    <definedName name="_xlnm.Print_Area" localSheetId="2">'Mars'!$A$1:$BF$25</definedName>
    <definedName name="_xlnm.Print_Area" localSheetId="3">'Prill'!$A$1:$BP$26</definedName>
    <definedName name="_xlnm.Print_Area" localSheetId="5">'Qershor'!$A$1:$BP$27</definedName>
    <definedName name="_xlnm.Print_Area" localSheetId="1">'Shkurt'!$A$1:$BO$25</definedName>
    <definedName name="_xlnm.Print_Titles" localSheetId="7">'Gusht'!$A:$B</definedName>
    <definedName name="_xlnm.Print_Titles" localSheetId="6">'Korrik'!$A:$B,'Korrik'!$21:$21</definedName>
    <definedName name="_xlnm.Print_Titles" localSheetId="4">'Maj'!$A:$B,'Maj'!$21:$21</definedName>
    <definedName name="_xlnm.Print_Titles" localSheetId="2">'Mars'!$B:$B</definedName>
    <definedName name="_xlnm.Print_Titles" localSheetId="3">'Prill'!$A:$B,'Prill'!$21:$21</definedName>
    <definedName name="_xlnm.Print_Titles" localSheetId="5">'Qershor'!$A:$B,'Qershor'!$21:$21</definedName>
  </definedNames>
  <calcPr fullCalcOnLoad="1"/>
</workbook>
</file>

<file path=xl/sharedStrings.xml><?xml version="1.0" encoding="utf-8"?>
<sst xmlns="http://schemas.openxmlformats.org/spreadsheetml/2006/main" count="2335" uniqueCount="288">
  <si>
    <t xml:space="preserve">         Kurset e Kembimit</t>
  </si>
  <si>
    <t/>
  </si>
  <si>
    <t xml:space="preserve">   </t>
  </si>
  <si>
    <t xml:space="preserve">         KURSI  MESATAR</t>
  </si>
  <si>
    <t>Kursi</t>
  </si>
  <si>
    <t>Kursi i</t>
  </si>
  <si>
    <t>Lloji i Monedhave</t>
  </si>
  <si>
    <t>Kundrejt</t>
  </si>
  <si>
    <t>Valutave</t>
  </si>
  <si>
    <t>Lekut</t>
  </si>
  <si>
    <t>USD</t>
  </si>
  <si>
    <t xml:space="preserve">Kundrejt </t>
  </si>
  <si>
    <t>(sipas fix.)</t>
  </si>
  <si>
    <t xml:space="preserve"> </t>
  </si>
  <si>
    <t>Jeni Japonez (per 100) (JPY)</t>
  </si>
  <si>
    <t>Sterlina Angleze (GBP)</t>
  </si>
  <si>
    <t>Franga Zvicerane (CHF)</t>
  </si>
  <si>
    <t>E U R O</t>
  </si>
  <si>
    <t>Ari (oz)</t>
  </si>
  <si>
    <t>Argjendi (oz)</t>
  </si>
  <si>
    <t>Dollare Australian (AUD)</t>
  </si>
  <si>
    <t>Dollar Kanadez (CAD)</t>
  </si>
  <si>
    <t>Korona Suedeze (SEK)</t>
  </si>
  <si>
    <t>Korona Norvegjeze (NOK)</t>
  </si>
  <si>
    <t>Korona Daneze (DKK)</t>
  </si>
  <si>
    <t>Spec Drawing RIGH</t>
  </si>
  <si>
    <t>Dollari Amerikan (USD)</t>
  </si>
  <si>
    <t xml:space="preserve">    DT. 03.01.2008</t>
  </si>
  <si>
    <t xml:space="preserve">    DT. 04.01.2008</t>
  </si>
  <si>
    <t xml:space="preserve">    DT. 07.01.2008</t>
  </si>
  <si>
    <t xml:space="preserve">    DT. 08.01.2008</t>
  </si>
  <si>
    <t xml:space="preserve">    DT. 9.01.2008</t>
  </si>
  <si>
    <t xml:space="preserve">    DT. 10.01.2008</t>
  </si>
  <si>
    <t xml:space="preserve">    DT. 11.01.2008</t>
  </si>
  <si>
    <t xml:space="preserve">    DT. 14.01.2008</t>
  </si>
  <si>
    <t xml:space="preserve">    DT. 15.01.2008</t>
  </si>
  <si>
    <t xml:space="preserve">    DT. 16.01.2008</t>
  </si>
  <si>
    <t xml:space="preserve">    DT. 17.01.2008</t>
  </si>
  <si>
    <t xml:space="preserve">    DT. 18.01.2008</t>
  </si>
  <si>
    <t xml:space="preserve">    DT. 21.01.2008</t>
  </si>
  <si>
    <t xml:space="preserve">    DT. 22.01.2008</t>
  </si>
  <si>
    <t xml:space="preserve">    DT. 23.01.2008</t>
  </si>
  <si>
    <t xml:space="preserve">    DT. 24.01.2008</t>
  </si>
  <si>
    <t xml:space="preserve">    DT. 25.01.2008</t>
  </si>
  <si>
    <t xml:space="preserve">    DT. 28.01.2008</t>
  </si>
  <si>
    <t xml:space="preserve">    DT. 29.01.2008</t>
  </si>
  <si>
    <t xml:space="preserve">    DT.30.01.2008</t>
  </si>
  <si>
    <t xml:space="preserve">    DT. 31.01.2008</t>
  </si>
  <si>
    <t>Janar' 08</t>
  </si>
  <si>
    <t>Shkurt' 08</t>
  </si>
  <si>
    <t xml:space="preserve">    DT. 04.02.2008</t>
  </si>
  <si>
    <t xml:space="preserve">    DT. 11.02.2008</t>
  </si>
  <si>
    <t xml:space="preserve">    DT. 18.02.2008</t>
  </si>
  <si>
    <t xml:space="preserve">    DT. 15.02.2008</t>
  </si>
  <si>
    <t xml:space="preserve">    DT. 14.02.2008</t>
  </si>
  <si>
    <t xml:space="preserve">    DT. 13.02.2008</t>
  </si>
  <si>
    <t xml:space="preserve">    DT. 19.02.2008</t>
  </si>
  <si>
    <t xml:space="preserve">    DT. 20.02.2008</t>
  </si>
  <si>
    <t xml:space="preserve">    DT. 21.02.2008</t>
  </si>
  <si>
    <t xml:space="preserve">    DT. 22.02.2008</t>
  </si>
  <si>
    <t xml:space="preserve">    DT. 25.02.2008</t>
  </si>
  <si>
    <t xml:space="preserve">    DT. 26.02.2008</t>
  </si>
  <si>
    <t xml:space="preserve">    DT. 27.02.2008</t>
  </si>
  <si>
    <t xml:space="preserve">    DT. 28.02.2008</t>
  </si>
  <si>
    <t xml:space="preserve">    DT. 29.02.2008</t>
  </si>
  <si>
    <t xml:space="preserve">    DT. 05.02.2008</t>
  </si>
  <si>
    <t xml:space="preserve">    DT. 06.02.2008</t>
  </si>
  <si>
    <t xml:space="preserve">    DT. 07.02.2008</t>
  </si>
  <si>
    <t xml:space="preserve">    DT. 08.02.2008</t>
  </si>
  <si>
    <t xml:space="preserve">    DT. 12.02.2008</t>
  </si>
  <si>
    <t xml:space="preserve">    DT. 01.02.2008</t>
  </si>
  <si>
    <t>Mars ' 08</t>
  </si>
  <si>
    <t xml:space="preserve">    DT. 03.03.2008</t>
  </si>
  <si>
    <t xml:space="preserve">    DT. 04.03.2008</t>
  </si>
  <si>
    <t xml:space="preserve">    DT. 05.03.2008</t>
  </si>
  <si>
    <t xml:space="preserve">    DT. 06.03.2008</t>
  </si>
  <si>
    <t xml:space="preserve">    DT. 07.03.2008</t>
  </si>
  <si>
    <t xml:space="preserve">    DT. 10.03.2008</t>
  </si>
  <si>
    <t xml:space="preserve">    DT. 11.03.2008</t>
  </si>
  <si>
    <t xml:space="preserve">    DT. 12.03.2008</t>
  </si>
  <si>
    <t xml:space="preserve">    DT. 13.03.2008</t>
  </si>
  <si>
    <t xml:space="preserve">    DT. 17.03.2008</t>
  </si>
  <si>
    <t xml:space="preserve">    DT. 18.03.2008</t>
  </si>
  <si>
    <t xml:space="preserve">    DT.19.03.2008</t>
  </si>
  <si>
    <t xml:space="preserve">    DT. 20.03.2008</t>
  </si>
  <si>
    <t xml:space="preserve">    DT. 21.03.2008</t>
  </si>
  <si>
    <t xml:space="preserve">    DT. 26.03.2008</t>
  </si>
  <si>
    <t xml:space="preserve">    DT. 27.03.2008</t>
  </si>
  <si>
    <t xml:space="preserve">    DT. 28.03.2008</t>
  </si>
  <si>
    <t xml:space="preserve">    DT. 31.03.2008</t>
  </si>
  <si>
    <t>Prill' 08</t>
  </si>
  <si>
    <t xml:space="preserve">    DT. 01.04.2008</t>
  </si>
  <si>
    <t xml:space="preserve">    DT. 04.04.2008</t>
  </si>
  <si>
    <t xml:space="preserve">    DT. 02.04.2008</t>
  </si>
  <si>
    <t xml:space="preserve">    DT. 03.04.2008</t>
  </si>
  <si>
    <t xml:space="preserve">    DT. 07.04.2008</t>
  </si>
  <si>
    <t xml:space="preserve">    DT. 08.04.2008</t>
  </si>
  <si>
    <t xml:space="preserve">    DT.09.04.2008</t>
  </si>
  <si>
    <t xml:space="preserve">    DT. 10.04.2008</t>
  </si>
  <si>
    <t xml:space="preserve">    DT. 11.04.2008</t>
  </si>
  <si>
    <t xml:space="preserve">    DT. 14.04.2008</t>
  </si>
  <si>
    <t xml:space="preserve">    DT. 15.04.2008</t>
  </si>
  <si>
    <t xml:space="preserve">    DT. 16.04.2008</t>
  </si>
  <si>
    <t xml:space="preserve">    DT. 17.04.2008</t>
  </si>
  <si>
    <t xml:space="preserve">    DT. 18.04.2008</t>
  </si>
  <si>
    <t xml:space="preserve">    DT. 21.04.2008</t>
  </si>
  <si>
    <t xml:space="preserve">    DT. 22.04.2008</t>
  </si>
  <si>
    <t xml:space="preserve">    DT. 23.04.2008</t>
  </si>
  <si>
    <t xml:space="preserve">    DT. 24.04.2008</t>
  </si>
  <si>
    <t xml:space="preserve">    DT. 25.04.2008</t>
  </si>
  <si>
    <t xml:space="preserve">    DT. 29.04.2008</t>
  </si>
  <si>
    <t xml:space="preserve">    DT. 30.04.2008</t>
  </si>
  <si>
    <t>Maj' 08</t>
  </si>
  <si>
    <t xml:space="preserve">    DT. 02.05.2008</t>
  </si>
  <si>
    <t xml:space="preserve">    DT. 05.05.2008</t>
  </si>
  <si>
    <t xml:space="preserve">    DT. 06.05.2008</t>
  </si>
  <si>
    <t xml:space="preserve">    DT. 07.05.2008</t>
  </si>
  <si>
    <t xml:space="preserve">    DT. 08.05.2008</t>
  </si>
  <si>
    <t xml:space="preserve">    DT. 09.05.2008</t>
  </si>
  <si>
    <t xml:space="preserve">    DT. 12.05.2008</t>
  </si>
  <si>
    <t xml:space="preserve">    DT. 13.05.2008</t>
  </si>
  <si>
    <t xml:space="preserve">    DT. 14.05.2008</t>
  </si>
  <si>
    <t xml:space="preserve">    DT. 15.05.2008</t>
  </si>
  <si>
    <t xml:space="preserve">    DT. 16.05.2008</t>
  </si>
  <si>
    <t xml:space="preserve">    DT. 19.05.2008</t>
  </si>
  <si>
    <t xml:space="preserve">    DT. 20.05.2008</t>
  </si>
  <si>
    <t xml:space="preserve">    DT. 21.05.2008</t>
  </si>
  <si>
    <t xml:space="preserve">    DT. 22.05.2008</t>
  </si>
  <si>
    <t xml:space="preserve">    DT. 23.05.2008</t>
  </si>
  <si>
    <t xml:space="preserve">    DT. 26.05.2008</t>
  </si>
  <si>
    <t xml:space="preserve">    DT. 27.05.2008</t>
  </si>
  <si>
    <t xml:space="preserve">    DT. 28.05.2008</t>
  </si>
  <si>
    <t xml:space="preserve">    DT. 29.05.2008</t>
  </si>
  <si>
    <t xml:space="preserve">    DT. 30.05.2008</t>
  </si>
  <si>
    <t>Qershor' 08</t>
  </si>
  <si>
    <t xml:space="preserve">    DT. 02.06.2008</t>
  </si>
  <si>
    <t xml:space="preserve">    DT. 05.06.2008</t>
  </si>
  <si>
    <t xml:space="preserve">    DT. 06.06.2008</t>
  </si>
  <si>
    <t xml:space="preserve">    DT. 09.06.2008</t>
  </si>
  <si>
    <t xml:space="preserve">    DT. 12.06.2008</t>
  </si>
  <si>
    <t xml:space="preserve">    DT. 13.06.2008</t>
  </si>
  <si>
    <t xml:space="preserve">    DT. 16.06.2008</t>
  </si>
  <si>
    <t xml:space="preserve">    DT. 20.06.2008</t>
  </si>
  <si>
    <t xml:space="preserve">    DT. 23.06.2008</t>
  </si>
  <si>
    <t xml:space="preserve">    DT. 26.06.2008</t>
  </si>
  <si>
    <t xml:space="preserve">    DT. 27.06.2008</t>
  </si>
  <si>
    <t xml:space="preserve">    DT. 30.06.2008</t>
  </si>
  <si>
    <t xml:space="preserve">    DT. 03.06.2008</t>
  </si>
  <si>
    <t xml:space="preserve">    DT. 04.06.2008</t>
  </si>
  <si>
    <t xml:space="preserve">    DT. 10.06.2008</t>
  </si>
  <si>
    <t xml:space="preserve">    DT. 11.06.2008</t>
  </si>
  <si>
    <t xml:space="preserve">    DT. 17.06.2008</t>
  </si>
  <si>
    <t xml:space="preserve">    DT. 18.06.2008</t>
  </si>
  <si>
    <t xml:space="preserve">    DT.19.06.2008</t>
  </si>
  <si>
    <t xml:space="preserve">    DT. 24.06.2008</t>
  </si>
  <si>
    <t xml:space="preserve">    DT. 25.06.2008</t>
  </si>
  <si>
    <t>Korrik' 08</t>
  </si>
  <si>
    <t xml:space="preserve">    DT. 01.07.2008</t>
  </si>
  <si>
    <t xml:space="preserve">    DT. 02.07.2008</t>
  </si>
  <si>
    <t xml:space="preserve">    DT. 03.07.2008</t>
  </si>
  <si>
    <t xml:space="preserve">    DT. 04.07.2008</t>
  </si>
  <si>
    <t xml:space="preserve">    DT. 07.07.2008</t>
  </si>
  <si>
    <t xml:space="preserve">    DT. 08.07.2008</t>
  </si>
  <si>
    <t xml:space="preserve">    DT. 09.07.2008</t>
  </si>
  <si>
    <t xml:space="preserve">    DT. 10.07.2008</t>
  </si>
  <si>
    <t xml:space="preserve">    DT. 11.07.2008</t>
  </si>
  <si>
    <t xml:space="preserve">    DT. 14.07.2008</t>
  </si>
  <si>
    <t xml:space="preserve">    DT. 15.07.2008</t>
  </si>
  <si>
    <t xml:space="preserve">    DT. 16.07.2008</t>
  </si>
  <si>
    <t xml:space="preserve">    DT. 17.07.2008</t>
  </si>
  <si>
    <t xml:space="preserve">    DT.18.07.2008</t>
  </si>
  <si>
    <t xml:space="preserve">    DT. 21.07.2008</t>
  </si>
  <si>
    <t xml:space="preserve">    DT. 22.07.2008</t>
  </si>
  <si>
    <t xml:space="preserve">    DT. 23.07.2008</t>
  </si>
  <si>
    <t xml:space="preserve">    DT. 24.07.2008</t>
  </si>
  <si>
    <t xml:space="preserve">    DT. 25.07.2008</t>
  </si>
  <si>
    <t xml:space="preserve">    DT. 28.07.2008</t>
  </si>
  <si>
    <t xml:space="preserve">    DT. 29.07.2008</t>
  </si>
  <si>
    <t xml:space="preserve">    DT. 30.07.2008</t>
  </si>
  <si>
    <t xml:space="preserve">    DT. 31.07.2008</t>
  </si>
  <si>
    <t>Gusht' 08</t>
  </si>
  <si>
    <t xml:space="preserve">    DT. 01.08.2008</t>
  </si>
  <si>
    <t xml:space="preserve">    DT. 04.08.2008</t>
  </si>
  <si>
    <t xml:space="preserve">    DT. 05.08.2008</t>
  </si>
  <si>
    <t xml:space="preserve">    DT. 06.08.2008</t>
  </si>
  <si>
    <t xml:space="preserve">    DT. 07.08.2008</t>
  </si>
  <si>
    <t xml:space="preserve">    DT. 08.08.2008</t>
  </si>
  <si>
    <t xml:space="preserve">    DT. 11.08.2008</t>
  </si>
  <si>
    <t xml:space="preserve">    DT. 15.08.2008</t>
  </si>
  <si>
    <t xml:space="preserve">    DT. 14.08.2008</t>
  </si>
  <si>
    <t xml:space="preserve">    DT. 13.08.2008</t>
  </si>
  <si>
    <t xml:space="preserve">    DT. 12.08.2008</t>
  </si>
  <si>
    <t xml:space="preserve">    DT.18.08.2008</t>
  </si>
  <si>
    <t xml:space="preserve">    DT. 19.08.2008</t>
  </si>
  <si>
    <t xml:space="preserve">    DT. 20.08.2008</t>
  </si>
  <si>
    <t xml:space="preserve">    DT. 21.08.2008</t>
  </si>
  <si>
    <t xml:space="preserve">    DT. 22.08.2008</t>
  </si>
  <si>
    <t xml:space="preserve">    DT. 25.08.2008</t>
  </si>
  <si>
    <t xml:space="preserve">    DT. 27.08.2008</t>
  </si>
  <si>
    <t xml:space="preserve">    DT. 26.08.2008</t>
  </si>
  <si>
    <t xml:space="preserve">    DT. 29.08.2008</t>
  </si>
  <si>
    <t xml:space="preserve">    DT. 28.08.2008</t>
  </si>
  <si>
    <t>Shtator' 08</t>
  </si>
  <si>
    <t xml:space="preserve">    DT. 01.09.2008</t>
  </si>
  <si>
    <t xml:space="preserve">    DT. 02.09.2008</t>
  </si>
  <si>
    <t xml:space="preserve">    DT. 03.09.2008</t>
  </si>
  <si>
    <t xml:space="preserve">    DT. 04.09.2008</t>
  </si>
  <si>
    <t xml:space="preserve">    DT. 05.09.2008</t>
  </si>
  <si>
    <t xml:space="preserve">    DT. 08.09.2008</t>
  </si>
  <si>
    <t xml:space="preserve">    DT. 09.09.2008</t>
  </si>
  <si>
    <t xml:space="preserve">    DT. 10.09.2008</t>
  </si>
  <si>
    <t xml:space="preserve">    DT. 11.09.2008</t>
  </si>
  <si>
    <t xml:space="preserve">    DT. 12.09.2008</t>
  </si>
  <si>
    <t xml:space="preserve">    DT. 15.09.2008</t>
  </si>
  <si>
    <t xml:space="preserve">    DT.16.09.2008</t>
  </si>
  <si>
    <t xml:space="preserve">    DT. 17.09.2008</t>
  </si>
  <si>
    <t xml:space="preserve">    DT. 18.09.2008</t>
  </si>
  <si>
    <t xml:space="preserve">    DT. 19.09.2008</t>
  </si>
  <si>
    <t xml:space="preserve">    DT. 22.09.2008</t>
  </si>
  <si>
    <t xml:space="preserve">    DT. 23.09.2008</t>
  </si>
  <si>
    <t xml:space="preserve">    DT. 24.09.2008</t>
  </si>
  <si>
    <t xml:space="preserve">    DT. 25.09.2008</t>
  </si>
  <si>
    <t xml:space="preserve">    DT. 26.09.2008</t>
  </si>
  <si>
    <t xml:space="preserve">    DT. 29.09.2008</t>
  </si>
  <si>
    <t>Tetor' 08</t>
  </si>
  <si>
    <t xml:space="preserve">    DT. 01.10.2008</t>
  </si>
  <si>
    <t xml:space="preserve">    DT. 02.10.2008</t>
  </si>
  <si>
    <t xml:space="preserve">    DT. 03.10.2008</t>
  </si>
  <si>
    <t xml:space="preserve">    DT. 06.10.2008</t>
  </si>
  <si>
    <t xml:space="preserve">    DT. 07.10.2008</t>
  </si>
  <si>
    <t xml:space="preserve">    DT. 08.10.2008</t>
  </si>
  <si>
    <t xml:space="preserve">    DT. 09.10.2008</t>
  </si>
  <si>
    <t xml:space="preserve">    DT. 10.10.2008</t>
  </si>
  <si>
    <t xml:space="preserve">    DT. 13.10.2008</t>
  </si>
  <si>
    <t xml:space="preserve">    DT. 14.10.2008</t>
  </si>
  <si>
    <t xml:space="preserve">    DT. 15.10.2008</t>
  </si>
  <si>
    <t xml:space="preserve">    DT.16.10.2008</t>
  </si>
  <si>
    <t xml:space="preserve">    DT. 17.10.2008</t>
  </si>
  <si>
    <t xml:space="preserve">    DT. 21.10.2008</t>
  </si>
  <si>
    <t xml:space="preserve">    DT. 22.10.2008</t>
  </si>
  <si>
    <t xml:space="preserve">    DT. 23.10.2008</t>
  </si>
  <si>
    <t xml:space="preserve">    DT. 24.10.2008</t>
  </si>
  <si>
    <t xml:space="preserve">    DT. 27.10.2008</t>
  </si>
  <si>
    <t xml:space="preserve">    DT. 28.10.2008</t>
  </si>
  <si>
    <t xml:space="preserve">    DT. 29.10.2008</t>
  </si>
  <si>
    <t xml:space="preserve">    DT. 30.10.2008</t>
  </si>
  <si>
    <t xml:space="preserve">    DT. 31.10.2008</t>
  </si>
  <si>
    <t>Nentor' 08</t>
  </si>
  <si>
    <t xml:space="preserve">    DT. 03.11.2008</t>
  </si>
  <si>
    <t xml:space="preserve">    DT. 04.11.2008</t>
  </si>
  <si>
    <t xml:space="preserve">    DT. 05.11.2008</t>
  </si>
  <si>
    <t xml:space="preserve">    DT. 06.11.2008</t>
  </si>
  <si>
    <t xml:space="preserve">    DT. 07.11.2008</t>
  </si>
  <si>
    <t xml:space="preserve">    DT. 10.11.2008</t>
  </si>
  <si>
    <t xml:space="preserve">    DT. 11.11.2008</t>
  </si>
  <si>
    <t xml:space="preserve">    DT. 12.11.2008</t>
  </si>
  <si>
    <t xml:space="preserve">    DT. 13.11.2008</t>
  </si>
  <si>
    <t xml:space="preserve">    DT. 14.11.2008</t>
  </si>
  <si>
    <t xml:space="preserve">    DT. 17.11.2008</t>
  </si>
  <si>
    <t xml:space="preserve">    DT.18.11.2008</t>
  </si>
  <si>
    <t xml:space="preserve">    DT. 19.11.2008</t>
  </si>
  <si>
    <t xml:space="preserve">    DT. 20.11.2008</t>
  </si>
  <si>
    <t xml:space="preserve">    DT. 21.11.2008</t>
  </si>
  <si>
    <t xml:space="preserve">    DT. 24.11.2008</t>
  </si>
  <si>
    <t xml:space="preserve">    DT. 25.11.2008</t>
  </si>
  <si>
    <t xml:space="preserve">    DT. 26.11.2008</t>
  </si>
  <si>
    <t xml:space="preserve">    DT. 27.11.2008</t>
  </si>
  <si>
    <t>Dhjetor' 08</t>
  </si>
  <si>
    <t xml:space="preserve">    DT. 02.12.2008</t>
  </si>
  <si>
    <t xml:space="preserve">    DT. 03.12.2008</t>
  </si>
  <si>
    <t xml:space="preserve">    DT. 04.12.2008</t>
  </si>
  <si>
    <t xml:space="preserve">    DT. 05.12.2008</t>
  </si>
  <si>
    <t xml:space="preserve">    DT. 09.12.2008</t>
  </si>
  <si>
    <t xml:space="preserve">    DT. 10.12.2008</t>
  </si>
  <si>
    <t xml:space="preserve">    DT. 11.12.2008</t>
  </si>
  <si>
    <t xml:space="preserve">    DT. 12.12.2008</t>
  </si>
  <si>
    <t xml:space="preserve">    DT. 15.12.2008</t>
  </si>
  <si>
    <t xml:space="preserve">    DT. 16.12.2008</t>
  </si>
  <si>
    <t xml:space="preserve">    DT. 17.12.2008</t>
  </si>
  <si>
    <t xml:space="preserve">    DT.18.12.2008</t>
  </si>
  <si>
    <t xml:space="preserve">    DT. 19.12.2008</t>
  </si>
  <si>
    <t xml:space="preserve">    DT. 22.12.2008</t>
  </si>
  <si>
    <t xml:space="preserve">    DT. 23.12.2008</t>
  </si>
  <si>
    <t xml:space="preserve">    DT. 24.12.2008</t>
  </si>
  <si>
    <t xml:space="preserve">    DT. 26.12.2008</t>
  </si>
  <si>
    <t xml:space="preserve">    DT. 29.12.2008</t>
  </si>
  <si>
    <t xml:space="preserve">    DT. 30.12.2008</t>
  </si>
  <si>
    <t xml:space="preserve">    DT. 31.12.2008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</si>
</sst>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General_)"/>
    <numFmt numFmtId="187" formatCode="0.000_)"/>
    <numFmt numFmtId="188" formatCode="0.00_)"/>
    <numFmt numFmtId="189" formatCode="0.00000_)"/>
    <numFmt numFmtId="190" formatCode="0.0000_)"/>
    <numFmt numFmtId="191" formatCode="0.000"/>
    <numFmt numFmtId="192" formatCode="0.0000"/>
    <numFmt numFmtId="193" formatCode="0.0_)"/>
    <numFmt numFmtId="194" formatCode="0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00000"/>
    <numFmt numFmtId="199" formatCode="0.00;[Red]0.00"/>
    <numFmt numFmtId="200" formatCode="0.00_);\(0.00\)"/>
    <numFmt numFmtId="201" formatCode="0_);\(0\)"/>
    <numFmt numFmtId="202" formatCode="0.000_);\(0.000\)"/>
    <numFmt numFmtId="203" formatCode="0.00000"/>
    <numFmt numFmtId="204" formatCode="#,##0.0000_);\(#,##0.0000\)"/>
    <numFmt numFmtId="205" formatCode="#,##0.00000_);\(#,##0.00000\)"/>
    <numFmt numFmtId="206" formatCode="_(* #,##0.0_);_(* \(#,##0.0\);_(* &quot;-&quot;??_);_(@_)"/>
    <numFmt numFmtId="207" formatCode="_-* #,##0.0000_-;\-* #,##0.0000_-;_-* &quot;-&quot;????_-;_-@_-"/>
    <numFmt numFmtId="208" formatCode="_(* #,##0.000_);_(* \(#,##0.000\);_(* &quot;-&quot;??_);_(@_)"/>
    <numFmt numFmtId="209" formatCode="_(* #,##0.0000_);_(* \(#,##0.0000\);_(* &quot;-&quot;??_);_(@_)"/>
    <numFmt numFmtId="210" formatCode="_-* #,##0.0000_-;\-* #,##0.0000_-;_-* &quot;-&quot;??_-;_-@_-"/>
    <numFmt numFmtId="211" formatCode="_(* #,##0.0000_);_(* \(#,##0.0000\);_(* &quot;-&quot;????_);_(@_)"/>
    <numFmt numFmtId="212" formatCode="_-* #,##0.0_-;\-* #,##0.0_-;_-* &quot;-&quot;??_-;_-@_-"/>
  </numFmts>
  <fonts count="51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Tms Rmn"/>
      <family val="0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ms Rmn"/>
      <family val="0"/>
    </font>
    <font>
      <sz val="12"/>
      <color indexed="12"/>
      <name val="Tms Rmn"/>
      <family val="0"/>
    </font>
    <font>
      <sz val="12"/>
      <name val="Helv"/>
      <family val="0"/>
    </font>
    <font>
      <sz val="12"/>
      <color indexed="12"/>
      <name val="Arial MT"/>
      <family val="0"/>
    </font>
    <font>
      <sz val="12"/>
      <color indexed="12"/>
      <name val="Helv"/>
      <family val="0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z val="10"/>
      <color indexed="12"/>
      <name val="Helv"/>
      <family val="0"/>
    </font>
    <font>
      <sz val="8"/>
      <name val="Helv"/>
      <family val="0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</borders>
  <cellStyleXfs count="64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40" fontId="17" fillId="33" borderId="0">
      <alignment horizontal="right"/>
      <protection/>
    </xf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4">
    <xf numFmtId="186" fontId="0" fillId="0" borderId="0" xfId="0" applyAlignment="1">
      <alignment/>
    </xf>
    <xf numFmtId="187" fontId="5" fillId="0" borderId="0" xfId="0" applyNumberFormat="1" applyFont="1" applyAlignment="1" applyProtection="1">
      <alignment/>
      <protection/>
    </xf>
    <xf numFmtId="187" fontId="7" fillId="0" borderId="0" xfId="0" applyNumberFormat="1" applyFont="1" applyAlignment="1" applyProtection="1">
      <alignment/>
      <protection/>
    </xf>
    <xf numFmtId="187" fontId="7" fillId="0" borderId="0" xfId="0" applyNumberFormat="1" applyFont="1" applyAlignment="1" applyProtection="1">
      <alignment horizontal="right"/>
      <protection/>
    </xf>
    <xf numFmtId="187" fontId="8" fillId="0" borderId="0" xfId="0" applyNumberFormat="1" applyFont="1" applyAlignment="1" applyProtection="1">
      <alignment horizontal="left"/>
      <protection/>
    </xf>
    <xf numFmtId="187" fontId="9" fillId="0" borderId="0" xfId="0" applyNumberFormat="1" applyFont="1" applyAlignment="1" applyProtection="1">
      <alignment/>
      <protection/>
    </xf>
    <xf numFmtId="187" fontId="9" fillId="0" borderId="0" xfId="0" applyNumberFormat="1" applyFont="1" applyAlignment="1" applyProtection="1">
      <alignment horizontal="left"/>
      <protection/>
    </xf>
    <xf numFmtId="186" fontId="9" fillId="0" borderId="0" xfId="0" applyFont="1" applyAlignment="1">
      <alignment/>
    </xf>
    <xf numFmtId="186" fontId="10" fillId="0" borderId="0" xfId="0" applyFont="1" applyAlignment="1">
      <alignment/>
    </xf>
    <xf numFmtId="187" fontId="9" fillId="0" borderId="0" xfId="0" applyNumberFormat="1" applyFont="1" applyBorder="1" applyAlignment="1" applyProtection="1">
      <alignment/>
      <protection/>
    </xf>
    <xf numFmtId="187" fontId="8" fillId="0" borderId="0" xfId="0" applyNumberFormat="1" applyFont="1" applyAlignment="1" applyProtection="1">
      <alignment/>
      <protection/>
    </xf>
    <xf numFmtId="187" fontId="9" fillId="0" borderId="10" xfId="0" applyNumberFormat="1" applyFont="1" applyBorder="1" applyAlignment="1" applyProtection="1">
      <alignment/>
      <protection/>
    </xf>
    <xf numFmtId="187" fontId="9" fillId="0" borderId="0" xfId="0" applyNumberFormat="1" applyFont="1" applyAlignment="1" applyProtection="1">
      <alignment horizontal="center"/>
      <protection/>
    </xf>
    <xf numFmtId="187" fontId="8" fillId="0" borderId="0" xfId="0" applyNumberFormat="1" applyFont="1" applyAlignment="1" applyProtection="1">
      <alignment horizontal="center"/>
      <protection/>
    </xf>
    <xf numFmtId="186" fontId="10" fillId="0" borderId="0" xfId="0" applyFont="1" applyBorder="1" applyAlignment="1">
      <alignment/>
    </xf>
    <xf numFmtId="188" fontId="9" fillId="0" borderId="0" xfId="0" applyNumberFormat="1" applyFont="1" applyBorder="1" applyAlignment="1" applyProtection="1">
      <alignment/>
      <protection/>
    </xf>
    <xf numFmtId="186" fontId="12" fillId="0" borderId="0" xfId="0" applyFont="1" applyBorder="1" applyAlignment="1">
      <alignment/>
    </xf>
    <xf numFmtId="187" fontId="11" fillId="0" borderId="0" xfId="0" applyNumberFormat="1" applyFont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187" fontId="7" fillId="0" borderId="0" xfId="0" applyNumberFormat="1" applyFont="1" applyBorder="1" applyAlignment="1" applyProtection="1">
      <alignment horizontal="left"/>
      <protection/>
    </xf>
    <xf numFmtId="192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187" fontId="6" fillId="0" borderId="0" xfId="0" applyNumberFormat="1" applyFont="1" applyBorder="1" applyAlignment="1" applyProtection="1">
      <alignment horizontal="left"/>
      <protection/>
    </xf>
    <xf numFmtId="202" fontId="9" fillId="0" borderId="0" xfId="0" applyNumberFormat="1" applyFont="1" applyBorder="1" applyAlignment="1" applyProtection="1">
      <alignment/>
      <protection/>
    </xf>
    <xf numFmtId="187" fontId="9" fillId="0" borderId="0" xfId="0" applyNumberFormat="1" applyFont="1" applyFill="1" applyBorder="1" applyAlignment="1" applyProtection="1">
      <alignment/>
      <protection/>
    </xf>
    <xf numFmtId="192" fontId="9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187" fontId="8" fillId="0" borderId="0" xfId="0" applyNumberFormat="1" applyFont="1" applyFill="1" applyBorder="1" applyAlignment="1" applyProtection="1">
      <alignment/>
      <protection/>
    </xf>
    <xf numFmtId="187" fontId="9" fillId="0" borderId="0" xfId="0" applyNumberFormat="1" applyFont="1" applyFill="1" applyBorder="1" applyAlignment="1" applyProtection="1">
      <alignment horizontal="center"/>
      <protection/>
    </xf>
    <xf numFmtId="187" fontId="9" fillId="0" borderId="11" xfId="0" applyNumberFormat="1" applyFont="1" applyFill="1" applyBorder="1" applyAlignment="1" applyProtection="1">
      <alignment/>
      <protection/>
    </xf>
    <xf numFmtId="187" fontId="9" fillId="0" borderId="12" xfId="0" applyNumberFormat="1" applyFont="1" applyFill="1" applyBorder="1" applyAlignment="1" applyProtection="1">
      <alignment/>
      <protection/>
    </xf>
    <xf numFmtId="187" fontId="9" fillId="0" borderId="10" xfId="0" applyNumberFormat="1" applyFont="1" applyFill="1" applyBorder="1" applyAlignment="1" applyProtection="1">
      <alignment horizontal="left"/>
      <protection/>
    </xf>
    <xf numFmtId="187" fontId="9" fillId="0" borderId="10" xfId="0" applyNumberFormat="1" applyFont="1" applyFill="1" applyBorder="1" applyAlignment="1" applyProtection="1">
      <alignment/>
      <protection/>
    </xf>
    <xf numFmtId="187" fontId="8" fillId="0" borderId="10" xfId="0" applyNumberFormat="1" applyFont="1" applyFill="1" applyBorder="1" applyAlignment="1" applyProtection="1">
      <alignment/>
      <protection/>
    </xf>
    <xf numFmtId="186" fontId="0" fillId="0" borderId="0" xfId="0" applyFill="1" applyAlignment="1">
      <alignment/>
    </xf>
    <xf numFmtId="37" fontId="7" fillId="0" borderId="0" xfId="0" applyNumberFormat="1" applyFont="1" applyFill="1" applyAlignment="1" applyProtection="1">
      <alignment/>
      <protection/>
    </xf>
    <xf numFmtId="187" fontId="7" fillId="0" borderId="0" xfId="0" applyNumberFormat="1" applyFont="1" applyFill="1" applyAlignment="1" applyProtection="1">
      <alignment horizontal="left"/>
      <protection/>
    </xf>
    <xf numFmtId="192" fontId="9" fillId="0" borderId="0" xfId="0" applyNumberFormat="1" applyFont="1" applyFill="1" applyAlignment="1" applyProtection="1">
      <alignment/>
      <protection/>
    </xf>
    <xf numFmtId="2" fontId="9" fillId="0" borderId="0" xfId="0" applyNumberFormat="1" applyFont="1" applyFill="1" applyAlignment="1" applyProtection="1">
      <alignment/>
      <protection/>
    </xf>
    <xf numFmtId="187" fontId="9" fillId="0" borderId="0" xfId="0" applyNumberFormat="1" applyFont="1" applyFill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187" fontId="7" fillId="0" borderId="0" xfId="0" applyNumberFormat="1" applyFont="1" applyFill="1" applyBorder="1" applyAlignment="1" applyProtection="1">
      <alignment horizontal="left"/>
      <protection/>
    </xf>
    <xf numFmtId="186" fontId="7" fillId="0" borderId="0" xfId="0" applyNumberFormat="1" applyFont="1" applyFill="1" applyAlignment="1" applyProtection="1">
      <alignment horizontal="left"/>
      <protection/>
    </xf>
    <xf numFmtId="37" fontId="7" fillId="0" borderId="12" xfId="0" applyNumberFormat="1" applyFont="1" applyFill="1" applyBorder="1" applyAlignment="1" applyProtection="1">
      <alignment/>
      <protection/>
    </xf>
    <xf numFmtId="187" fontId="7" fillId="0" borderId="12" xfId="0" applyNumberFormat="1" applyFont="1" applyFill="1" applyBorder="1" applyAlignment="1" applyProtection="1">
      <alignment horizontal="left"/>
      <protection/>
    </xf>
    <xf numFmtId="192" fontId="9" fillId="0" borderId="12" xfId="0" applyNumberFormat="1" applyFont="1" applyFill="1" applyBorder="1" applyAlignment="1" applyProtection="1">
      <alignment/>
      <protection/>
    </xf>
    <xf numFmtId="2" fontId="9" fillId="0" borderId="12" xfId="0" applyNumberFormat="1" applyFont="1" applyFill="1" applyBorder="1" applyAlignment="1" applyProtection="1">
      <alignment/>
      <protection/>
    </xf>
    <xf numFmtId="186" fontId="15" fillId="0" borderId="0" xfId="0" applyFont="1" applyFill="1" applyBorder="1" applyAlignment="1">
      <alignment/>
    </xf>
    <xf numFmtId="188" fontId="9" fillId="0" borderId="0" xfId="0" applyNumberFormat="1" applyFont="1" applyFill="1" applyAlignment="1" applyProtection="1">
      <alignment/>
      <protection/>
    </xf>
    <xf numFmtId="187" fontId="9" fillId="0" borderId="0" xfId="0" applyNumberFormat="1" applyFont="1" applyFill="1" applyAlignment="1" applyProtection="1">
      <alignment horizontal="center"/>
      <protection/>
    </xf>
    <xf numFmtId="209" fontId="9" fillId="0" borderId="0" xfId="42" applyNumberFormat="1" applyFont="1" applyFill="1" applyAlignment="1" applyProtection="1">
      <alignment/>
      <protection/>
    </xf>
    <xf numFmtId="209" fontId="9" fillId="0" borderId="12" xfId="42" applyNumberFormat="1" applyFont="1" applyFill="1" applyBorder="1" applyAlignment="1" applyProtection="1">
      <alignment/>
      <protection/>
    </xf>
    <xf numFmtId="2" fontId="9" fillId="0" borderId="0" xfId="0" applyNumberFormat="1" applyFont="1" applyFill="1" applyAlignment="1" applyProtection="1">
      <alignment horizontal="right"/>
      <protection/>
    </xf>
    <xf numFmtId="187" fontId="8" fillId="0" borderId="0" xfId="0" applyNumberFormat="1" applyFont="1" applyFill="1" applyAlignment="1" applyProtection="1">
      <alignment horizontal="left"/>
      <protection/>
    </xf>
    <xf numFmtId="187" fontId="7" fillId="0" borderId="0" xfId="0" applyNumberFormat="1" applyFont="1" applyFill="1" applyAlignment="1" applyProtection="1">
      <alignment/>
      <protection/>
    </xf>
    <xf numFmtId="187" fontId="9" fillId="0" borderId="0" xfId="0" applyNumberFormat="1" applyFont="1" applyFill="1" applyAlignment="1" applyProtection="1">
      <alignment horizontal="left"/>
      <protection/>
    </xf>
    <xf numFmtId="186" fontId="9" fillId="0" borderId="0" xfId="0" applyFont="1" applyFill="1" applyAlignment="1">
      <alignment/>
    </xf>
    <xf numFmtId="186" fontId="10" fillId="0" borderId="0" xfId="0" applyFont="1" applyFill="1" applyAlignment="1">
      <alignment/>
    </xf>
    <xf numFmtId="187" fontId="7" fillId="0" borderId="0" xfId="0" applyNumberFormat="1" applyFont="1" applyFill="1" applyAlignment="1" applyProtection="1">
      <alignment horizontal="right"/>
      <protection/>
    </xf>
    <xf numFmtId="187" fontId="8" fillId="0" borderId="0" xfId="0" applyNumberFormat="1" applyFont="1" applyFill="1" applyAlignment="1" applyProtection="1">
      <alignment/>
      <protection/>
    </xf>
    <xf numFmtId="187" fontId="11" fillId="0" borderId="0" xfId="0" applyNumberFormat="1" applyFont="1" applyFill="1" applyAlignment="1" applyProtection="1">
      <alignment/>
      <protection/>
    </xf>
    <xf numFmtId="187" fontId="8" fillId="0" borderId="0" xfId="0" applyNumberFormat="1" applyFont="1" applyFill="1" applyAlignment="1" applyProtection="1">
      <alignment horizontal="center"/>
      <protection/>
    </xf>
    <xf numFmtId="187" fontId="5" fillId="0" borderId="0" xfId="0" applyNumberFormat="1" applyFont="1" applyFill="1" applyAlignment="1" applyProtection="1">
      <alignment/>
      <protection/>
    </xf>
    <xf numFmtId="187" fontId="6" fillId="0" borderId="0" xfId="0" applyNumberFormat="1" applyFont="1" applyFill="1" applyBorder="1" applyAlignment="1" applyProtection="1">
      <alignment horizontal="left"/>
      <protection/>
    </xf>
    <xf numFmtId="202" fontId="9" fillId="0" borderId="0" xfId="0" applyNumberFormat="1" applyFont="1" applyFill="1" applyBorder="1" applyAlignment="1" applyProtection="1">
      <alignment/>
      <protection/>
    </xf>
    <xf numFmtId="188" fontId="9" fillId="0" borderId="0" xfId="0" applyNumberFormat="1" applyFont="1" applyFill="1" applyBorder="1" applyAlignment="1" applyProtection="1">
      <alignment/>
      <protection/>
    </xf>
    <xf numFmtId="186" fontId="12" fillId="0" borderId="0" xfId="0" applyFont="1" applyFill="1" applyBorder="1" applyAlignment="1">
      <alignment/>
    </xf>
    <xf numFmtId="186" fontId="10" fillId="0" borderId="0" xfId="0" applyFont="1" applyFill="1" applyBorder="1" applyAlignment="1">
      <alignment/>
    </xf>
    <xf numFmtId="187" fontId="7" fillId="0" borderId="13" xfId="0" applyNumberFormat="1" applyFont="1" applyFill="1" applyBorder="1" applyAlignment="1" applyProtection="1">
      <alignment/>
      <protection/>
    </xf>
    <xf numFmtId="187" fontId="7" fillId="0" borderId="13" xfId="0" applyNumberFormat="1" applyFont="1" applyFill="1" applyBorder="1" applyAlignment="1" applyProtection="1">
      <alignment horizontal="right"/>
      <protection/>
    </xf>
    <xf numFmtId="187" fontId="9" fillId="0" borderId="13" xfId="0" applyNumberFormat="1" applyFont="1" applyFill="1" applyBorder="1" applyAlignment="1" applyProtection="1">
      <alignment/>
      <protection/>
    </xf>
    <xf numFmtId="187" fontId="9" fillId="0" borderId="14" xfId="0" applyNumberFormat="1" applyFont="1" applyFill="1" applyBorder="1" applyAlignment="1" applyProtection="1">
      <alignment/>
      <protection/>
    </xf>
    <xf numFmtId="187" fontId="8" fillId="0" borderId="13" xfId="0" applyNumberFormat="1" applyFont="1" applyFill="1" applyBorder="1" applyAlignment="1" applyProtection="1">
      <alignment horizontal="center"/>
      <protection/>
    </xf>
    <xf numFmtId="187" fontId="7" fillId="0" borderId="13" xfId="0" applyNumberFormat="1" applyFont="1" applyFill="1" applyBorder="1" applyAlignment="1" applyProtection="1">
      <alignment horizontal="left"/>
      <protection/>
    </xf>
    <xf numFmtId="186" fontId="7" fillId="0" borderId="13" xfId="0" applyNumberFormat="1" applyFont="1" applyFill="1" applyBorder="1" applyAlignment="1" applyProtection="1">
      <alignment horizontal="left"/>
      <protection/>
    </xf>
    <xf numFmtId="187" fontId="7" fillId="0" borderId="15" xfId="0" applyNumberFormat="1" applyFont="1" applyFill="1" applyBorder="1" applyAlignment="1" applyProtection="1">
      <alignment horizontal="left"/>
      <protection/>
    </xf>
    <xf numFmtId="187" fontId="6" fillId="0" borderId="13" xfId="0" applyNumberFormat="1" applyFont="1" applyFill="1" applyBorder="1" applyAlignment="1" applyProtection="1">
      <alignment horizontal="left"/>
      <protection/>
    </xf>
    <xf numFmtId="186" fontId="12" fillId="0" borderId="13" xfId="0" applyFont="1" applyFill="1" applyBorder="1" applyAlignment="1">
      <alignment/>
    </xf>
    <xf numFmtId="186" fontId="10" fillId="0" borderId="13" xfId="0" applyFont="1" applyFill="1" applyBorder="1" applyAlignment="1">
      <alignment/>
    </xf>
    <xf numFmtId="186" fontId="0" fillId="0" borderId="13" xfId="0" applyFill="1" applyBorder="1" applyAlignment="1">
      <alignment/>
    </xf>
    <xf numFmtId="209" fontId="0" fillId="0" borderId="0" xfId="0" applyNumberFormat="1" applyFill="1" applyAlignment="1">
      <alignment/>
    </xf>
    <xf numFmtId="209" fontId="15" fillId="0" borderId="0" xfId="0" applyNumberFormat="1" applyFont="1" applyFill="1" applyBorder="1" applyAlignment="1">
      <alignment/>
    </xf>
    <xf numFmtId="186" fontId="9" fillId="0" borderId="0" xfId="0" applyFont="1" applyFill="1" applyBorder="1" applyAlignment="1">
      <alignment/>
    </xf>
    <xf numFmtId="186" fontId="0" fillId="0" borderId="0" xfId="0" applyFill="1" applyBorder="1" applyAlignment="1">
      <alignment/>
    </xf>
    <xf numFmtId="187" fontId="8" fillId="0" borderId="0" xfId="0" applyNumberFormat="1" applyFont="1" applyFill="1" applyBorder="1" applyAlignment="1" applyProtection="1">
      <alignment horizontal="left"/>
      <protection/>
    </xf>
    <xf numFmtId="187" fontId="11" fillId="0" borderId="0" xfId="0" applyNumberFormat="1" applyFont="1" applyFill="1" applyBorder="1" applyAlignment="1" applyProtection="1">
      <alignment/>
      <protection/>
    </xf>
    <xf numFmtId="187" fontId="5" fillId="0" borderId="0" xfId="0" applyNumberFormat="1" applyFont="1" applyFill="1" applyBorder="1" applyAlignment="1" applyProtection="1">
      <alignment/>
      <protection/>
    </xf>
    <xf numFmtId="209" fontId="9" fillId="0" borderId="0" xfId="42" applyNumberFormat="1" applyFont="1" applyFill="1" applyBorder="1" applyAlignment="1" applyProtection="1">
      <alignment/>
      <protection/>
    </xf>
    <xf numFmtId="192" fontId="9" fillId="0" borderId="0" xfId="0" applyNumberFormat="1" applyFont="1" applyFill="1" applyBorder="1" applyAlignment="1" applyProtection="1">
      <alignment horizontal="right"/>
      <protection/>
    </xf>
    <xf numFmtId="194" fontId="9" fillId="0" borderId="0" xfId="42" applyNumberFormat="1" applyFont="1" applyFill="1" applyBorder="1" applyAlignment="1" applyProtection="1">
      <alignment/>
      <protection/>
    </xf>
    <xf numFmtId="43" fontId="9" fillId="0" borderId="0" xfId="0" applyNumberFormat="1" applyFont="1" applyFill="1" applyBorder="1" applyAlignment="1" applyProtection="1">
      <alignment/>
      <protection/>
    </xf>
    <xf numFmtId="187" fontId="9" fillId="0" borderId="0" xfId="0" applyNumberFormat="1" applyFont="1" applyFill="1" applyBorder="1" applyAlignment="1" applyProtection="1">
      <alignment horizontal="left"/>
      <protection/>
    </xf>
    <xf numFmtId="186" fontId="0" fillId="0" borderId="12" xfId="0" applyFill="1" applyBorder="1" applyAlignment="1">
      <alignment/>
    </xf>
    <xf numFmtId="187" fontId="8" fillId="0" borderId="0" xfId="0" applyNumberFormat="1" applyFont="1" applyFill="1" applyBorder="1" applyAlignment="1" applyProtection="1">
      <alignment horizontal="center"/>
      <protection/>
    </xf>
    <xf numFmtId="2" fontId="9" fillId="0" borderId="0" xfId="0" applyNumberFormat="1" applyFont="1" applyFill="1" applyBorder="1" applyAlignment="1" applyProtection="1">
      <alignment horizontal="right"/>
      <protection/>
    </xf>
    <xf numFmtId="186" fontId="7" fillId="0" borderId="0" xfId="0" applyNumberFormat="1" applyFont="1" applyFill="1" applyBorder="1" applyAlignment="1" applyProtection="1">
      <alignment horizontal="left"/>
      <protection/>
    </xf>
    <xf numFmtId="187" fontId="9" fillId="0" borderId="0" xfId="0" applyNumberFormat="1" applyFont="1" applyFill="1" applyAlignment="1" applyProtection="1">
      <alignment/>
      <protection/>
    </xf>
    <xf numFmtId="192" fontId="9" fillId="0" borderId="0" xfId="0" applyNumberFormat="1" applyFont="1" applyFill="1" applyAlignment="1" applyProtection="1">
      <alignment/>
      <protection/>
    </xf>
    <xf numFmtId="2" fontId="9" fillId="0" borderId="0" xfId="0" applyNumberFormat="1" applyFont="1" applyFill="1" applyAlignment="1" applyProtection="1">
      <alignment/>
      <protection/>
    </xf>
    <xf numFmtId="187" fontId="9" fillId="0" borderId="11" xfId="0" applyNumberFormat="1" applyFont="1" applyFill="1" applyBorder="1" applyAlignment="1" applyProtection="1">
      <alignment horizontal="left"/>
      <protection/>
    </xf>
    <xf numFmtId="187" fontId="9" fillId="0" borderId="16" xfId="0" applyNumberFormat="1" applyFont="1" applyFill="1" applyBorder="1" applyAlignment="1" applyProtection="1">
      <alignment/>
      <protection/>
    </xf>
    <xf numFmtId="187" fontId="8" fillId="0" borderId="11" xfId="0" applyNumberFormat="1" applyFont="1" applyFill="1" applyBorder="1" applyAlignment="1" applyProtection="1">
      <alignment horizontal="left"/>
      <protection/>
    </xf>
    <xf numFmtId="187" fontId="8" fillId="0" borderId="11" xfId="0" applyNumberFormat="1" applyFont="1" applyFill="1" applyBorder="1" applyAlignment="1" applyProtection="1">
      <alignment/>
      <protection/>
    </xf>
    <xf numFmtId="187" fontId="11" fillId="0" borderId="11" xfId="0" applyNumberFormat="1" applyFont="1" applyFill="1" applyBorder="1" applyAlignment="1" applyProtection="1">
      <alignment/>
      <protection/>
    </xf>
    <xf numFmtId="186" fontId="0" fillId="0" borderId="11" xfId="0" applyFill="1" applyBorder="1" applyAlignment="1">
      <alignment/>
    </xf>
    <xf numFmtId="37" fontId="7" fillId="0" borderId="11" xfId="0" applyNumberFormat="1" applyFont="1" applyFill="1" applyBorder="1" applyAlignment="1" applyProtection="1">
      <alignment/>
      <protection/>
    </xf>
    <xf numFmtId="187" fontId="7" fillId="0" borderId="16" xfId="0" applyNumberFormat="1" applyFont="1" applyFill="1" applyBorder="1" applyAlignment="1" applyProtection="1">
      <alignment horizontal="left"/>
      <protection/>
    </xf>
    <xf numFmtId="192" fontId="9" fillId="0" borderId="11" xfId="0" applyNumberFormat="1" applyFont="1" applyFill="1" applyBorder="1" applyAlignment="1" applyProtection="1">
      <alignment/>
      <protection/>
    </xf>
    <xf numFmtId="2" fontId="9" fillId="0" borderId="11" xfId="0" applyNumberFormat="1" applyFont="1" applyFill="1" applyBorder="1" applyAlignment="1" applyProtection="1">
      <alignment/>
      <protection/>
    </xf>
    <xf numFmtId="192" fontId="9" fillId="0" borderId="0" xfId="42" applyNumberFormat="1" applyFont="1" applyFill="1" applyBorder="1" applyAlignment="1" applyProtection="1">
      <alignment/>
      <protection/>
    </xf>
    <xf numFmtId="43" fontId="0" fillId="0" borderId="0" xfId="42" applyFont="1" applyFill="1" applyBorder="1" applyAlignment="1">
      <alignment horizontal="center"/>
    </xf>
    <xf numFmtId="212" fontId="0" fillId="0" borderId="0" xfId="42" applyNumberFormat="1" applyFont="1" applyFill="1" applyBorder="1" applyAlignment="1">
      <alignment horizontal="center"/>
    </xf>
    <xf numFmtId="40" fontId="17" fillId="0" borderId="0" xfId="59" applyFill="1" applyBorder="1">
      <alignment horizontal="right"/>
      <protection/>
    </xf>
    <xf numFmtId="43" fontId="9" fillId="0" borderId="0" xfId="42" applyFont="1" applyFill="1" applyBorder="1" applyAlignment="1" applyProtection="1">
      <alignment/>
      <protection/>
    </xf>
    <xf numFmtId="43" fontId="9" fillId="0" borderId="0" xfId="42" applyNumberFormat="1" applyFont="1" applyFill="1" applyAlignment="1" applyProtection="1">
      <alignment/>
      <protection/>
    </xf>
    <xf numFmtId="43" fontId="9" fillId="0" borderId="12" xfId="42" applyNumberFormat="1" applyFont="1" applyFill="1" applyBorder="1" applyAlignment="1" applyProtection="1">
      <alignment/>
      <protection/>
    </xf>
    <xf numFmtId="209" fontId="9" fillId="0" borderId="0" xfId="42" applyNumberFormat="1" applyFont="1" applyFill="1" applyAlignment="1" applyProtection="1">
      <alignment/>
      <protection/>
    </xf>
    <xf numFmtId="43" fontId="9" fillId="0" borderId="0" xfId="42" applyFont="1" applyFill="1" applyAlignment="1" applyProtection="1">
      <alignment/>
      <protection/>
    </xf>
    <xf numFmtId="209" fontId="9" fillId="0" borderId="12" xfId="42" applyNumberFormat="1" applyFont="1" applyFill="1" applyBorder="1" applyAlignment="1" applyProtection="1">
      <alignment/>
      <protection/>
    </xf>
    <xf numFmtId="43" fontId="9" fillId="0" borderId="12" xfId="42" applyFont="1" applyFill="1" applyBorder="1" applyAlignment="1" applyProtection="1">
      <alignment/>
      <protection/>
    </xf>
    <xf numFmtId="43" fontId="9" fillId="0" borderId="0" xfId="42" applyNumberFormat="1" applyFont="1" applyFill="1" applyBorder="1" applyAlignment="1" applyProtection="1">
      <alignment/>
      <protection/>
    </xf>
    <xf numFmtId="43" fontId="12" fillId="0" borderId="0" xfId="42" applyFont="1" applyFill="1" applyBorder="1" applyAlignment="1">
      <alignment/>
    </xf>
    <xf numFmtId="43" fontId="10" fillId="0" borderId="0" xfId="42" applyFont="1" applyFill="1" applyAlignment="1">
      <alignment/>
    </xf>
    <xf numFmtId="206" fontId="10" fillId="0" borderId="0" xfId="42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Output Amounts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7"/>
  <sheetViews>
    <sheetView zoomScale="75" zoomScaleNormal="75" zoomScalePageLayoutView="0" workbookViewId="0" topLeftCell="A1">
      <pane xSplit="2" ySplit="11" topLeftCell="BA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T27" sqref="BT27"/>
    </sheetView>
  </sheetViews>
  <sheetFormatPr defaultColWidth="13.28125" defaultRowHeight="15.75" customHeight="1"/>
  <cols>
    <col min="1" max="1" width="5.7109375" style="34" customWidth="1"/>
    <col min="2" max="2" width="34.00390625" style="34" bestFit="1" customWidth="1"/>
    <col min="3" max="4" width="13.28125" style="34" hidden="1" customWidth="1"/>
    <col min="5" max="5" width="5.7109375" style="34" hidden="1" customWidth="1"/>
    <col min="6" max="7" width="13.28125" style="34" hidden="1" customWidth="1"/>
    <col min="8" max="8" width="6.421875" style="34" hidden="1" customWidth="1"/>
    <col min="9" max="10" width="13.28125" style="34" hidden="1" customWidth="1"/>
    <col min="11" max="11" width="5.7109375" style="34" hidden="1" customWidth="1"/>
    <col min="12" max="13" width="13.28125" style="34" hidden="1" customWidth="1"/>
    <col min="14" max="14" width="5.421875" style="34" hidden="1" customWidth="1"/>
    <col min="15" max="16" width="13.28125" style="34" hidden="1" customWidth="1"/>
    <col min="17" max="17" width="5.421875" style="34" hidden="1" customWidth="1"/>
    <col min="18" max="19" width="13.28125" style="34" hidden="1" customWidth="1"/>
    <col min="20" max="20" width="5.57421875" style="34" hidden="1" customWidth="1"/>
    <col min="21" max="22" width="13.28125" style="34" hidden="1" customWidth="1"/>
    <col min="23" max="23" width="5.7109375" style="34" hidden="1" customWidth="1"/>
    <col min="24" max="25" width="13.28125" style="34" hidden="1" customWidth="1"/>
    <col min="26" max="26" width="5.7109375" style="34" hidden="1" customWidth="1"/>
    <col min="27" max="28" width="13.28125" style="34" hidden="1" customWidth="1"/>
    <col min="29" max="29" width="5.7109375" style="34" hidden="1" customWidth="1"/>
    <col min="30" max="31" width="13.28125" style="34" hidden="1" customWidth="1"/>
    <col min="32" max="32" width="5.7109375" style="34" hidden="1" customWidth="1"/>
    <col min="33" max="34" width="13.28125" style="34" hidden="1" customWidth="1"/>
    <col min="35" max="35" width="5.7109375" style="34" hidden="1" customWidth="1"/>
    <col min="36" max="37" width="13.28125" style="34" hidden="1" customWidth="1"/>
    <col min="38" max="38" width="5.7109375" style="34" hidden="1" customWidth="1"/>
    <col min="39" max="40" width="13.28125" style="34" hidden="1" customWidth="1"/>
    <col min="41" max="41" width="5.7109375" style="34" hidden="1" customWidth="1"/>
    <col min="42" max="43" width="13.28125" style="34" hidden="1" customWidth="1"/>
    <col min="44" max="44" width="5.7109375" style="34" hidden="1" customWidth="1"/>
    <col min="45" max="46" width="13.28125" style="34" hidden="1" customWidth="1"/>
    <col min="47" max="47" width="5.7109375" style="34" hidden="1" customWidth="1"/>
    <col min="48" max="49" width="13.28125" style="34" hidden="1" customWidth="1"/>
    <col min="50" max="50" width="5.7109375" style="34" hidden="1" customWidth="1"/>
    <col min="51" max="52" width="13.28125" style="34" hidden="1" customWidth="1"/>
    <col min="53" max="53" width="5.7109375" style="34" hidden="1" customWidth="1"/>
    <col min="54" max="55" width="13.28125" style="34" hidden="1" customWidth="1"/>
    <col min="56" max="56" width="5.7109375" style="34" hidden="1" customWidth="1"/>
    <col min="57" max="57" width="13.28125" style="34" hidden="1" customWidth="1"/>
    <col min="58" max="58" width="13.421875" style="34" hidden="1" customWidth="1"/>
    <col min="59" max="59" width="4.28125" style="34" hidden="1" customWidth="1"/>
    <col min="60" max="61" width="13.421875" style="34" hidden="1" customWidth="1"/>
    <col min="62" max="62" width="8.7109375" style="34" hidden="1" customWidth="1"/>
    <col min="63" max="63" width="20.57421875" style="34" customWidth="1"/>
    <col min="64" max="64" width="15.140625" style="34" customWidth="1"/>
    <col min="65" max="65" width="9.421875" style="34" customWidth="1"/>
    <col min="66" max="66" width="21.57421875" style="34" customWidth="1"/>
    <col min="67" max="67" width="18.8515625" style="34" customWidth="1"/>
    <col min="68" max="16384" width="13.28125" style="34" customWidth="1"/>
  </cols>
  <sheetData>
    <row r="1" spans="1:65" ht="15.75" customHeight="1">
      <c r="A1" s="53" t="s">
        <v>0</v>
      </c>
      <c r="B1" s="54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55" t="s">
        <v>1</v>
      </c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56"/>
      <c r="BL1" s="57"/>
      <c r="BM1" s="57"/>
    </row>
    <row r="2" spans="1:65" ht="15.75" customHeight="1">
      <c r="A2" s="53"/>
      <c r="B2" s="5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55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56"/>
      <c r="BL2" s="57"/>
      <c r="BM2" s="57"/>
    </row>
    <row r="3" spans="1:65" ht="15.75" customHeight="1">
      <c r="A3" s="39"/>
      <c r="B3" s="58" t="s">
        <v>48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24"/>
      <c r="BL3" s="57"/>
      <c r="BM3" s="57"/>
    </row>
    <row r="4" spans="1:67" ht="15.75" customHeight="1">
      <c r="A4" s="55" t="s">
        <v>2</v>
      </c>
      <c r="B4" s="39"/>
      <c r="C4" s="53" t="s">
        <v>27</v>
      </c>
      <c r="D4" s="53"/>
      <c r="E4" s="59"/>
      <c r="F4" s="53" t="s">
        <v>28</v>
      </c>
      <c r="G4" s="53"/>
      <c r="H4" s="59"/>
      <c r="I4" s="53" t="s">
        <v>29</v>
      </c>
      <c r="J4" s="53"/>
      <c r="K4" s="59"/>
      <c r="L4" s="53" t="s">
        <v>30</v>
      </c>
      <c r="M4" s="53"/>
      <c r="N4" s="59"/>
      <c r="O4" s="53" t="s">
        <v>31</v>
      </c>
      <c r="P4" s="53"/>
      <c r="Q4" s="59"/>
      <c r="R4" s="53" t="s">
        <v>32</v>
      </c>
      <c r="S4" s="53"/>
      <c r="T4" s="59"/>
      <c r="U4" s="53" t="s">
        <v>33</v>
      </c>
      <c r="V4" s="53"/>
      <c r="W4" s="59"/>
      <c r="X4" s="53" t="s">
        <v>34</v>
      </c>
      <c r="Y4" s="53"/>
      <c r="Z4" s="59"/>
      <c r="AA4" s="53" t="s">
        <v>35</v>
      </c>
      <c r="AB4" s="53"/>
      <c r="AC4" s="59"/>
      <c r="AD4" s="53" t="s">
        <v>36</v>
      </c>
      <c r="AE4" s="53"/>
      <c r="AF4" s="59"/>
      <c r="AG4" s="53" t="s">
        <v>37</v>
      </c>
      <c r="AH4" s="53"/>
      <c r="AI4" s="59"/>
      <c r="AJ4" s="53" t="s">
        <v>38</v>
      </c>
      <c r="AK4" s="53"/>
      <c r="AL4" s="59"/>
      <c r="AM4" s="53" t="s">
        <v>39</v>
      </c>
      <c r="AN4" s="53"/>
      <c r="AO4" s="59"/>
      <c r="AP4" s="53" t="s">
        <v>40</v>
      </c>
      <c r="AQ4" s="53"/>
      <c r="AR4" s="59"/>
      <c r="AS4" s="53" t="s">
        <v>41</v>
      </c>
      <c r="AT4" s="53"/>
      <c r="AU4" s="59"/>
      <c r="AV4" s="53" t="s">
        <v>42</v>
      </c>
      <c r="AW4" s="53"/>
      <c r="AX4" s="59"/>
      <c r="AY4" s="53" t="s">
        <v>43</v>
      </c>
      <c r="AZ4" s="53"/>
      <c r="BA4" s="59"/>
      <c r="BB4" s="53" t="s">
        <v>44</v>
      </c>
      <c r="BC4" s="53"/>
      <c r="BD4" s="59"/>
      <c r="BE4" s="53" t="s">
        <v>45</v>
      </c>
      <c r="BF4" s="53"/>
      <c r="BG4" s="59"/>
      <c r="BH4" s="53" t="s">
        <v>46</v>
      </c>
      <c r="BI4" s="53"/>
      <c r="BJ4" s="27"/>
      <c r="BK4" s="53" t="s">
        <v>47</v>
      </c>
      <c r="BL4" s="53"/>
      <c r="BM4" s="27"/>
      <c r="BN4" s="53" t="s">
        <v>3</v>
      </c>
      <c r="BO4" s="53"/>
    </row>
    <row r="5" spans="1:67" ht="15.75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29"/>
      <c r="BK5" s="39"/>
      <c r="BL5" s="39"/>
      <c r="BM5" s="29"/>
      <c r="BN5" s="60"/>
      <c r="BO5" s="60"/>
    </row>
    <row r="6" spans="1:67" ht="15" customHeight="1" thickTop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24"/>
      <c r="BK6" s="32"/>
      <c r="BL6" s="32"/>
      <c r="BM6" s="24"/>
      <c r="BN6" s="32"/>
      <c r="BO6" s="32"/>
    </row>
    <row r="7" spans="1:67" ht="15.75" customHeight="1">
      <c r="A7" s="59"/>
      <c r="B7" s="39"/>
      <c r="C7" s="49" t="s">
        <v>4</v>
      </c>
      <c r="D7" s="49" t="s">
        <v>4</v>
      </c>
      <c r="E7" s="49"/>
      <c r="F7" s="49" t="s">
        <v>4</v>
      </c>
      <c r="G7" s="49" t="s">
        <v>4</v>
      </c>
      <c r="H7" s="49"/>
      <c r="I7" s="49" t="s">
        <v>4</v>
      </c>
      <c r="J7" s="49" t="s">
        <v>4</v>
      </c>
      <c r="K7" s="49"/>
      <c r="L7" s="49" t="s">
        <v>4</v>
      </c>
      <c r="M7" s="49" t="s">
        <v>4</v>
      </c>
      <c r="N7" s="49"/>
      <c r="O7" s="49" t="s">
        <v>4</v>
      </c>
      <c r="P7" s="49" t="s">
        <v>4</v>
      </c>
      <c r="Q7" s="49"/>
      <c r="R7" s="49" t="s">
        <v>4</v>
      </c>
      <c r="S7" s="49" t="s">
        <v>4</v>
      </c>
      <c r="T7" s="49"/>
      <c r="U7" s="49" t="s">
        <v>4</v>
      </c>
      <c r="V7" s="49" t="s">
        <v>4</v>
      </c>
      <c r="W7" s="49"/>
      <c r="X7" s="49" t="s">
        <v>4</v>
      </c>
      <c r="Y7" s="49" t="s">
        <v>4</v>
      </c>
      <c r="Z7" s="49"/>
      <c r="AA7" s="49" t="s">
        <v>4</v>
      </c>
      <c r="AB7" s="49" t="s">
        <v>4</v>
      </c>
      <c r="AC7" s="49"/>
      <c r="AD7" s="49" t="s">
        <v>4</v>
      </c>
      <c r="AE7" s="49" t="s">
        <v>4</v>
      </c>
      <c r="AF7" s="49"/>
      <c r="AG7" s="49" t="s">
        <v>4</v>
      </c>
      <c r="AH7" s="49" t="s">
        <v>4</v>
      </c>
      <c r="AI7" s="49"/>
      <c r="AJ7" s="49" t="s">
        <v>4</v>
      </c>
      <c r="AK7" s="49" t="s">
        <v>4</v>
      </c>
      <c r="AL7" s="49"/>
      <c r="AM7" s="49" t="s">
        <v>4</v>
      </c>
      <c r="AN7" s="49" t="s">
        <v>4</v>
      </c>
      <c r="AO7" s="49"/>
      <c r="AP7" s="49" t="s">
        <v>4</v>
      </c>
      <c r="AQ7" s="49" t="s">
        <v>4</v>
      </c>
      <c r="AR7" s="49"/>
      <c r="AS7" s="49" t="s">
        <v>4</v>
      </c>
      <c r="AT7" s="49" t="s">
        <v>4</v>
      </c>
      <c r="AU7" s="49"/>
      <c r="AV7" s="49" t="s">
        <v>4</v>
      </c>
      <c r="AW7" s="49" t="s">
        <v>4</v>
      </c>
      <c r="AX7" s="49"/>
      <c r="AY7" s="49" t="s">
        <v>4</v>
      </c>
      <c r="AZ7" s="49" t="s">
        <v>4</v>
      </c>
      <c r="BA7" s="49"/>
      <c r="BB7" s="49" t="s">
        <v>4</v>
      </c>
      <c r="BC7" s="49" t="s">
        <v>4</v>
      </c>
      <c r="BD7" s="49"/>
      <c r="BE7" s="49" t="s">
        <v>4</v>
      </c>
      <c r="BF7" s="49" t="s">
        <v>4</v>
      </c>
      <c r="BG7" s="49"/>
      <c r="BH7" s="49" t="s">
        <v>4</v>
      </c>
      <c r="BI7" s="49" t="s">
        <v>4</v>
      </c>
      <c r="BJ7" s="28"/>
      <c r="BK7" s="49" t="s">
        <v>4</v>
      </c>
      <c r="BL7" s="49" t="s">
        <v>4</v>
      </c>
      <c r="BM7" s="28"/>
      <c r="BN7" s="49" t="s">
        <v>5</v>
      </c>
      <c r="BO7" s="49" t="s">
        <v>5</v>
      </c>
    </row>
    <row r="8" spans="1:67" ht="15.75" customHeight="1">
      <c r="A8" s="39"/>
      <c r="B8" s="61" t="s">
        <v>6</v>
      </c>
      <c r="C8" s="49" t="s">
        <v>7</v>
      </c>
      <c r="D8" s="49" t="s">
        <v>7</v>
      </c>
      <c r="E8" s="49"/>
      <c r="F8" s="49" t="s">
        <v>7</v>
      </c>
      <c r="G8" s="49" t="s">
        <v>7</v>
      </c>
      <c r="H8" s="49"/>
      <c r="I8" s="49" t="s">
        <v>7</v>
      </c>
      <c r="J8" s="49" t="s">
        <v>7</v>
      </c>
      <c r="K8" s="49"/>
      <c r="L8" s="49" t="s">
        <v>7</v>
      </c>
      <c r="M8" s="49" t="s">
        <v>7</v>
      </c>
      <c r="N8" s="49"/>
      <c r="O8" s="49" t="s">
        <v>7</v>
      </c>
      <c r="P8" s="49" t="s">
        <v>7</v>
      </c>
      <c r="Q8" s="49"/>
      <c r="R8" s="49" t="s">
        <v>7</v>
      </c>
      <c r="S8" s="49" t="s">
        <v>7</v>
      </c>
      <c r="T8" s="49"/>
      <c r="U8" s="49" t="s">
        <v>7</v>
      </c>
      <c r="V8" s="49" t="s">
        <v>7</v>
      </c>
      <c r="W8" s="49"/>
      <c r="X8" s="49" t="s">
        <v>7</v>
      </c>
      <c r="Y8" s="49" t="s">
        <v>7</v>
      </c>
      <c r="Z8" s="49"/>
      <c r="AA8" s="49" t="s">
        <v>7</v>
      </c>
      <c r="AB8" s="49" t="s">
        <v>7</v>
      </c>
      <c r="AC8" s="49"/>
      <c r="AD8" s="49" t="s">
        <v>7</v>
      </c>
      <c r="AE8" s="49" t="s">
        <v>7</v>
      </c>
      <c r="AF8" s="49"/>
      <c r="AG8" s="49" t="s">
        <v>7</v>
      </c>
      <c r="AH8" s="49" t="s">
        <v>7</v>
      </c>
      <c r="AI8" s="49"/>
      <c r="AJ8" s="49" t="s">
        <v>7</v>
      </c>
      <c r="AK8" s="49" t="s">
        <v>7</v>
      </c>
      <c r="AL8" s="49"/>
      <c r="AM8" s="49" t="s">
        <v>7</v>
      </c>
      <c r="AN8" s="49" t="s">
        <v>7</v>
      </c>
      <c r="AO8" s="49"/>
      <c r="AP8" s="49" t="s">
        <v>7</v>
      </c>
      <c r="AQ8" s="49" t="s">
        <v>7</v>
      </c>
      <c r="AR8" s="49"/>
      <c r="AS8" s="49" t="s">
        <v>7</v>
      </c>
      <c r="AT8" s="49" t="s">
        <v>7</v>
      </c>
      <c r="AU8" s="49"/>
      <c r="AV8" s="49" t="s">
        <v>7</v>
      </c>
      <c r="AW8" s="49" t="s">
        <v>7</v>
      </c>
      <c r="AX8" s="49"/>
      <c r="AY8" s="49" t="s">
        <v>7</v>
      </c>
      <c r="AZ8" s="49" t="s">
        <v>7</v>
      </c>
      <c r="BA8" s="49"/>
      <c r="BB8" s="49" t="s">
        <v>7</v>
      </c>
      <c r="BC8" s="49" t="s">
        <v>7</v>
      </c>
      <c r="BD8" s="49"/>
      <c r="BE8" s="49" t="s">
        <v>7</v>
      </c>
      <c r="BF8" s="49" t="s">
        <v>7</v>
      </c>
      <c r="BG8" s="49"/>
      <c r="BH8" s="49" t="s">
        <v>7</v>
      </c>
      <c r="BI8" s="49" t="s">
        <v>7</v>
      </c>
      <c r="BJ8" s="28"/>
      <c r="BK8" s="49" t="s">
        <v>7</v>
      </c>
      <c r="BL8" s="49" t="s">
        <v>7</v>
      </c>
      <c r="BM8" s="28"/>
      <c r="BN8" s="49" t="s">
        <v>8</v>
      </c>
      <c r="BO8" s="49" t="s">
        <v>9</v>
      </c>
    </row>
    <row r="9" spans="1:67" ht="15.75" customHeight="1">
      <c r="A9" s="39"/>
      <c r="B9" s="39"/>
      <c r="C9" s="49" t="s">
        <v>10</v>
      </c>
      <c r="D9" s="49" t="s">
        <v>9</v>
      </c>
      <c r="E9" s="49"/>
      <c r="F9" s="49" t="s">
        <v>10</v>
      </c>
      <c r="G9" s="49" t="s">
        <v>9</v>
      </c>
      <c r="H9" s="49"/>
      <c r="I9" s="49" t="s">
        <v>10</v>
      </c>
      <c r="J9" s="49" t="s">
        <v>9</v>
      </c>
      <c r="K9" s="49"/>
      <c r="L9" s="49" t="s">
        <v>10</v>
      </c>
      <c r="M9" s="49" t="s">
        <v>9</v>
      </c>
      <c r="N9" s="49"/>
      <c r="O9" s="49" t="s">
        <v>10</v>
      </c>
      <c r="P9" s="49" t="s">
        <v>9</v>
      </c>
      <c r="Q9" s="49"/>
      <c r="R9" s="49" t="s">
        <v>10</v>
      </c>
      <c r="S9" s="49" t="s">
        <v>9</v>
      </c>
      <c r="T9" s="49"/>
      <c r="U9" s="49" t="s">
        <v>10</v>
      </c>
      <c r="V9" s="49" t="s">
        <v>9</v>
      </c>
      <c r="W9" s="49"/>
      <c r="X9" s="49" t="s">
        <v>10</v>
      </c>
      <c r="Y9" s="49" t="s">
        <v>9</v>
      </c>
      <c r="Z9" s="49"/>
      <c r="AA9" s="49" t="s">
        <v>10</v>
      </c>
      <c r="AB9" s="49" t="s">
        <v>9</v>
      </c>
      <c r="AC9" s="49"/>
      <c r="AD9" s="49" t="s">
        <v>10</v>
      </c>
      <c r="AE9" s="49" t="s">
        <v>9</v>
      </c>
      <c r="AF9" s="49"/>
      <c r="AG9" s="49" t="s">
        <v>10</v>
      </c>
      <c r="AH9" s="49" t="s">
        <v>9</v>
      </c>
      <c r="AI9" s="49"/>
      <c r="AJ9" s="49" t="s">
        <v>10</v>
      </c>
      <c r="AK9" s="49" t="s">
        <v>9</v>
      </c>
      <c r="AL9" s="49"/>
      <c r="AM9" s="49" t="s">
        <v>10</v>
      </c>
      <c r="AN9" s="49" t="s">
        <v>9</v>
      </c>
      <c r="AO9" s="49"/>
      <c r="AP9" s="49" t="s">
        <v>10</v>
      </c>
      <c r="AQ9" s="49" t="s">
        <v>9</v>
      </c>
      <c r="AR9" s="49"/>
      <c r="AS9" s="49" t="s">
        <v>10</v>
      </c>
      <c r="AT9" s="49" t="s">
        <v>9</v>
      </c>
      <c r="AU9" s="49"/>
      <c r="AV9" s="49" t="s">
        <v>10</v>
      </c>
      <c r="AW9" s="49" t="s">
        <v>9</v>
      </c>
      <c r="AX9" s="49"/>
      <c r="AY9" s="49" t="s">
        <v>10</v>
      </c>
      <c r="AZ9" s="49" t="s">
        <v>9</v>
      </c>
      <c r="BA9" s="49"/>
      <c r="BB9" s="49" t="s">
        <v>10</v>
      </c>
      <c r="BC9" s="49" t="s">
        <v>9</v>
      </c>
      <c r="BD9" s="49"/>
      <c r="BE9" s="49" t="s">
        <v>10</v>
      </c>
      <c r="BF9" s="49" t="s">
        <v>9</v>
      </c>
      <c r="BG9" s="49"/>
      <c r="BH9" s="49" t="s">
        <v>10</v>
      </c>
      <c r="BI9" s="49" t="s">
        <v>9</v>
      </c>
      <c r="BJ9" s="28"/>
      <c r="BK9" s="49" t="s">
        <v>10</v>
      </c>
      <c r="BL9" s="49" t="s">
        <v>9</v>
      </c>
      <c r="BM9" s="28"/>
      <c r="BN9" s="49" t="s">
        <v>7</v>
      </c>
      <c r="BO9" s="49" t="s">
        <v>11</v>
      </c>
    </row>
    <row r="10" spans="1:67" ht="15.75" customHeight="1">
      <c r="A10" s="39"/>
      <c r="B10" s="39"/>
      <c r="C10" s="39"/>
      <c r="D10" s="49" t="s">
        <v>12</v>
      </c>
      <c r="E10" s="49"/>
      <c r="F10" s="39"/>
      <c r="G10" s="49" t="s">
        <v>12</v>
      </c>
      <c r="H10" s="49"/>
      <c r="I10" s="39"/>
      <c r="J10" s="49" t="s">
        <v>12</v>
      </c>
      <c r="K10" s="49"/>
      <c r="L10" s="39"/>
      <c r="M10" s="49" t="s">
        <v>12</v>
      </c>
      <c r="N10" s="49"/>
      <c r="O10" s="39"/>
      <c r="P10" s="49" t="s">
        <v>12</v>
      </c>
      <c r="Q10" s="49"/>
      <c r="R10" s="39"/>
      <c r="S10" s="49" t="s">
        <v>12</v>
      </c>
      <c r="T10" s="49"/>
      <c r="U10" s="39"/>
      <c r="V10" s="49" t="s">
        <v>12</v>
      </c>
      <c r="W10" s="49"/>
      <c r="X10" s="55" t="s">
        <v>13</v>
      </c>
      <c r="Y10" s="49" t="s">
        <v>12</v>
      </c>
      <c r="Z10" s="49"/>
      <c r="AA10" s="55" t="s">
        <v>13</v>
      </c>
      <c r="AB10" s="49" t="s">
        <v>12</v>
      </c>
      <c r="AC10" s="49"/>
      <c r="AD10" s="39"/>
      <c r="AE10" s="49" t="s">
        <v>12</v>
      </c>
      <c r="AF10" s="49"/>
      <c r="AG10" s="39"/>
      <c r="AH10" s="49" t="s">
        <v>12</v>
      </c>
      <c r="AI10" s="49"/>
      <c r="AJ10" s="39"/>
      <c r="AK10" s="49" t="s">
        <v>12</v>
      </c>
      <c r="AL10" s="49"/>
      <c r="AM10" s="39"/>
      <c r="AN10" s="49" t="s">
        <v>12</v>
      </c>
      <c r="AO10" s="49"/>
      <c r="AP10" s="39"/>
      <c r="AQ10" s="49" t="s">
        <v>12</v>
      </c>
      <c r="AR10" s="49"/>
      <c r="AS10" s="39"/>
      <c r="AT10" s="49" t="s">
        <v>12</v>
      </c>
      <c r="AU10" s="49"/>
      <c r="AV10" s="39"/>
      <c r="AW10" s="49" t="s">
        <v>12</v>
      </c>
      <c r="AX10" s="49"/>
      <c r="AY10" s="39"/>
      <c r="AZ10" s="49" t="s">
        <v>12</v>
      </c>
      <c r="BA10" s="49"/>
      <c r="BB10" s="39"/>
      <c r="BC10" s="49" t="s">
        <v>12</v>
      </c>
      <c r="BD10" s="49"/>
      <c r="BE10" s="39"/>
      <c r="BF10" s="49" t="s">
        <v>12</v>
      </c>
      <c r="BG10" s="49"/>
      <c r="BH10" s="39"/>
      <c r="BI10" s="49" t="s">
        <v>12</v>
      </c>
      <c r="BJ10" s="28"/>
      <c r="BK10" s="39"/>
      <c r="BL10" s="49" t="s">
        <v>12</v>
      </c>
      <c r="BM10" s="28"/>
      <c r="BN10" s="49" t="s">
        <v>10</v>
      </c>
      <c r="BO10" s="49" t="s">
        <v>12</v>
      </c>
    </row>
    <row r="11" spans="1:67" ht="15.75" customHeight="1" thickBo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0"/>
      <c r="BK11" s="39"/>
      <c r="BL11" s="39"/>
      <c r="BM11" s="30"/>
      <c r="BN11" s="30"/>
      <c r="BO11" s="30"/>
    </row>
    <row r="12" spans="1:67" ht="15.75" customHeight="1" thickTop="1">
      <c r="A12" s="31" t="s">
        <v>2</v>
      </c>
      <c r="B12" s="32"/>
      <c r="C12" s="33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24"/>
      <c r="BK12" s="32"/>
      <c r="BL12" s="32"/>
      <c r="BM12" s="24"/>
      <c r="BN12" s="24"/>
      <c r="BO12" s="24"/>
    </row>
    <row r="13" spans="1:67" ht="15.75" customHeight="1">
      <c r="A13" s="35">
        <v>1</v>
      </c>
      <c r="B13" s="36" t="s">
        <v>14</v>
      </c>
      <c r="C13" s="37">
        <v>108.6</v>
      </c>
      <c r="D13" s="38">
        <v>76.29</v>
      </c>
      <c r="E13" s="39"/>
      <c r="F13" s="37">
        <v>109.5</v>
      </c>
      <c r="G13" s="38">
        <v>75.88</v>
      </c>
      <c r="H13" s="39"/>
      <c r="I13" s="37">
        <v>109.57</v>
      </c>
      <c r="J13" s="38">
        <v>76.44</v>
      </c>
      <c r="K13" s="39"/>
      <c r="L13" s="37">
        <v>109.61</v>
      </c>
      <c r="M13" s="38">
        <v>77</v>
      </c>
      <c r="N13" s="39"/>
      <c r="O13" s="37">
        <v>109.41</v>
      </c>
      <c r="P13" s="38">
        <v>76.76</v>
      </c>
      <c r="Q13" s="39"/>
      <c r="R13" s="37">
        <v>109.73</v>
      </c>
      <c r="S13" s="38">
        <v>76.38</v>
      </c>
      <c r="T13" s="39"/>
      <c r="U13" s="37">
        <v>108.92</v>
      </c>
      <c r="V13" s="38">
        <v>76.31</v>
      </c>
      <c r="W13" s="39"/>
      <c r="X13" s="37">
        <v>107.83</v>
      </c>
      <c r="Y13" s="38">
        <v>76.73</v>
      </c>
      <c r="Z13" s="39"/>
      <c r="AA13" s="37">
        <v>107.54</v>
      </c>
      <c r="AB13" s="38">
        <v>76.9</v>
      </c>
      <c r="AC13" s="39"/>
      <c r="AD13" s="37">
        <v>106.09</v>
      </c>
      <c r="AE13" s="38">
        <v>78.14</v>
      </c>
      <c r="AF13" s="39"/>
      <c r="AG13" s="37">
        <v>107.58</v>
      </c>
      <c r="AH13" s="38">
        <v>77.86</v>
      </c>
      <c r="AI13" s="39"/>
      <c r="AJ13" s="37">
        <v>107.42</v>
      </c>
      <c r="AK13" s="38">
        <v>77.92</v>
      </c>
      <c r="AL13" s="39"/>
      <c r="AM13" s="37">
        <v>106.05</v>
      </c>
      <c r="AN13" s="38">
        <v>79.43</v>
      </c>
      <c r="AO13" s="39"/>
      <c r="AP13" s="37">
        <v>106.39</v>
      </c>
      <c r="AQ13" s="38">
        <v>79.38</v>
      </c>
      <c r="AR13" s="39"/>
      <c r="AS13" s="37">
        <v>105.93</v>
      </c>
      <c r="AT13" s="38">
        <v>79.05</v>
      </c>
      <c r="AU13" s="39"/>
      <c r="AV13" s="37">
        <v>106.13</v>
      </c>
      <c r="AW13" s="38">
        <v>78.73</v>
      </c>
      <c r="AX13" s="39"/>
      <c r="AY13" s="37">
        <v>107.7</v>
      </c>
      <c r="AZ13" s="38">
        <v>77.06</v>
      </c>
      <c r="BA13" s="39"/>
      <c r="BB13" s="37">
        <v>106.36</v>
      </c>
      <c r="BC13" s="38">
        <v>78.18</v>
      </c>
      <c r="BD13" s="39"/>
      <c r="BE13" s="37">
        <v>106.67</v>
      </c>
      <c r="BF13" s="38">
        <v>77.66</v>
      </c>
      <c r="BG13" s="39"/>
      <c r="BH13" s="37">
        <v>106.91</v>
      </c>
      <c r="BI13" s="38">
        <v>77.41</v>
      </c>
      <c r="BJ13" s="24"/>
      <c r="BK13" s="37">
        <v>106.45</v>
      </c>
      <c r="BL13" s="38">
        <v>77.6</v>
      </c>
      <c r="BM13" s="24"/>
      <c r="BN13" s="87">
        <f>(C13+F13+I13+L13+O13+R13+U13+X13+AA13+AD13+AG13+AJ13+AM13+AP13+AS13+AV13+AY13+BB13+BE13+BH13+BK13)/21</f>
        <v>107.63761904761904</v>
      </c>
      <c r="BO13" s="120">
        <f>(D13+G13+J13+M13+P13+S13+V13+Y13+AB13+AE13+AH13+AK13+AN13+AQ13+AT13+AW13+AZ13+BC13+BF13+BI13+BL13)/21</f>
        <v>77.48142857142858</v>
      </c>
    </row>
    <row r="14" spans="1:67" ht="15.75" customHeight="1">
      <c r="A14" s="35">
        <v>2</v>
      </c>
      <c r="B14" s="36" t="s">
        <v>15</v>
      </c>
      <c r="C14" s="37">
        <f>1/1.9734</f>
        <v>0.5067396371744197</v>
      </c>
      <c r="D14" s="38">
        <v>163.5</v>
      </c>
      <c r="E14" s="39"/>
      <c r="F14" s="37">
        <f>1/1.9792</f>
        <v>0.5052546483427648</v>
      </c>
      <c r="G14" s="38">
        <v>164.45</v>
      </c>
      <c r="H14" s="39"/>
      <c r="I14" s="37">
        <f>1/1.9711</f>
        <v>0.507330931966922</v>
      </c>
      <c r="J14" s="38">
        <v>165.1</v>
      </c>
      <c r="K14" s="39"/>
      <c r="L14" s="37">
        <f>1/1.9777</f>
        <v>0.5056378621631188</v>
      </c>
      <c r="M14" s="38">
        <v>166.91</v>
      </c>
      <c r="N14" s="39"/>
      <c r="O14" s="37">
        <f>1/1.9637</f>
        <v>0.5092427560217956</v>
      </c>
      <c r="P14" s="38">
        <v>164.92</v>
      </c>
      <c r="Q14" s="39"/>
      <c r="R14" s="37">
        <f>1/1.9645</f>
        <v>0.5090353779587682</v>
      </c>
      <c r="S14" s="38">
        <v>164.64</v>
      </c>
      <c r="T14" s="39"/>
      <c r="U14" s="37">
        <f>1/1.9545</f>
        <v>0.5116398055768739</v>
      </c>
      <c r="V14" s="38">
        <v>162.46</v>
      </c>
      <c r="W14" s="39"/>
      <c r="X14" s="37">
        <f>1/1.9631</f>
        <v>0.5093984004890224</v>
      </c>
      <c r="Y14" s="38">
        <v>162.42</v>
      </c>
      <c r="Z14" s="39"/>
      <c r="AA14" s="37">
        <f>1/1.964</f>
        <v>0.5091649694501018</v>
      </c>
      <c r="AB14" s="38">
        <v>162.43</v>
      </c>
      <c r="AC14" s="39"/>
      <c r="AD14" s="37">
        <f>1/1.9564</f>
        <v>0.5111429155591903</v>
      </c>
      <c r="AE14" s="38">
        <v>162.19</v>
      </c>
      <c r="AF14" s="39"/>
      <c r="AG14" s="37">
        <f>1/1.966</f>
        <v>0.508646998982706</v>
      </c>
      <c r="AH14" s="38">
        <v>164.69</v>
      </c>
      <c r="AI14" s="39"/>
      <c r="AJ14" s="37">
        <f>1/1.9578</f>
        <v>0.5107774032076821</v>
      </c>
      <c r="AK14" s="38">
        <v>163.87</v>
      </c>
      <c r="AL14" s="39"/>
      <c r="AM14" s="37">
        <f>1/1.9502</f>
        <v>0.5127679212388473</v>
      </c>
      <c r="AN14" s="38">
        <v>164.27</v>
      </c>
      <c r="AO14" s="39"/>
      <c r="AP14" s="37">
        <f>1/1.949</f>
        <v>0.513083632632119</v>
      </c>
      <c r="AQ14" s="38">
        <v>164.59</v>
      </c>
      <c r="AR14" s="39"/>
      <c r="AS14" s="37">
        <f>1/1.9572</f>
        <v>0.5109339873288371</v>
      </c>
      <c r="AT14" s="38">
        <v>163.89</v>
      </c>
      <c r="AU14" s="39"/>
      <c r="AV14" s="37">
        <f>1/1.9577</f>
        <v>0.5108034938958983</v>
      </c>
      <c r="AW14" s="38">
        <v>163.58</v>
      </c>
      <c r="AX14" s="39"/>
      <c r="AY14" s="37">
        <f>1/1.9807</f>
        <v>0.5048720149442116</v>
      </c>
      <c r="AZ14" s="38">
        <v>164.39</v>
      </c>
      <c r="BA14" s="39"/>
      <c r="BB14" s="37">
        <f>1/1.9805</f>
        <v>0.5049229992426155</v>
      </c>
      <c r="BC14" s="38">
        <v>164.69</v>
      </c>
      <c r="BD14" s="39"/>
      <c r="BE14" s="37">
        <f>1/1.9884</f>
        <v>0.5029169181251257</v>
      </c>
      <c r="BF14" s="38">
        <v>164.72</v>
      </c>
      <c r="BG14" s="39"/>
      <c r="BH14" s="37">
        <f>1/1.9914</f>
        <v>0.5021592849251783</v>
      </c>
      <c r="BI14" s="38">
        <v>164.8</v>
      </c>
      <c r="BJ14" s="24"/>
      <c r="BK14" s="37">
        <f>1/1.9898</f>
        <v>0.502563071665494</v>
      </c>
      <c r="BL14" s="38">
        <v>164.37</v>
      </c>
      <c r="BM14" s="24"/>
      <c r="BN14" s="87">
        <f aca="true" t="shared" si="0" ref="BN14:BO25">(C14+F14+I14+L14+O14+R14+U14+X14+AA14+AD14+AG14+AJ14+AM14+AP14+AS14+AV14+AY14+BB14+BE14+BH14+BK14)/21</f>
        <v>0.5080492871853186</v>
      </c>
      <c r="BO14" s="120">
        <f t="shared" si="0"/>
        <v>164.13714285714283</v>
      </c>
    </row>
    <row r="15" spans="1:67" ht="15.75" customHeight="1">
      <c r="A15" s="35">
        <v>3</v>
      </c>
      <c r="B15" s="36" t="s">
        <v>16</v>
      </c>
      <c r="C15" s="37">
        <v>1.1132</v>
      </c>
      <c r="D15" s="38">
        <v>74.43</v>
      </c>
      <c r="E15" s="39"/>
      <c r="F15" s="37">
        <v>1.1149</v>
      </c>
      <c r="G15" s="38">
        <v>74.53</v>
      </c>
      <c r="H15" s="39"/>
      <c r="I15" s="37">
        <v>1.1184</v>
      </c>
      <c r="J15" s="38">
        <v>74.89</v>
      </c>
      <c r="K15" s="39"/>
      <c r="L15" s="37">
        <v>1.1163</v>
      </c>
      <c r="M15" s="38">
        <v>75.6</v>
      </c>
      <c r="N15" s="39"/>
      <c r="O15" s="37">
        <v>1.1119</v>
      </c>
      <c r="P15" s="38">
        <v>75.53</v>
      </c>
      <c r="Q15" s="39"/>
      <c r="R15" s="37">
        <v>1.1115</v>
      </c>
      <c r="S15" s="38">
        <v>75.4</v>
      </c>
      <c r="T15" s="39"/>
      <c r="U15" s="37">
        <v>1.1115</v>
      </c>
      <c r="V15" s="38">
        <v>75.34</v>
      </c>
      <c r="W15" s="39"/>
      <c r="X15" s="37">
        <v>1.0912</v>
      </c>
      <c r="Y15" s="38">
        <v>75.82</v>
      </c>
      <c r="Z15" s="39"/>
      <c r="AA15" s="37">
        <v>1.0915</v>
      </c>
      <c r="AB15" s="38">
        <v>75.77</v>
      </c>
      <c r="AC15" s="39"/>
      <c r="AD15" s="37">
        <v>1.0893</v>
      </c>
      <c r="AE15" s="38">
        <v>76.11</v>
      </c>
      <c r="AF15" s="39"/>
      <c r="AG15" s="37">
        <v>1.1059</v>
      </c>
      <c r="AH15" s="38">
        <v>75.75</v>
      </c>
      <c r="AI15" s="39"/>
      <c r="AJ15" s="37">
        <v>1.1044</v>
      </c>
      <c r="AK15" s="38">
        <v>75.79</v>
      </c>
      <c r="AL15" s="39"/>
      <c r="AM15" s="37">
        <v>1.1036</v>
      </c>
      <c r="AN15" s="38">
        <v>76.33</v>
      </c>
      <c r="AO15" s="39"/>
      <c r="AP15" s="37">
        <v>1.105</v>
      </c>
      <c r="AQ15" s="38">
        <v>76.42</v>
      </c>
      <c r="AR15" s="39"/>
      <c r="AS15" s="37">
        <v>1.0952</v>
      </c>
      <c r="AT15" s="38">
        <v>76.46</v>
      </c>
      <c r="AU15" s="39"/>
      <c r="AV15" s="37">
        <v>1.0896</v>
      </c>
      <c r="AW15" s="38">
        <v>76.68</v>
      </c>
      <c r="AX15" s="39"/>
      <c r="AY15" s="37">
        <v>1.0932</v>
      </c>
      <c r="AZ15" s="38">
        <v>75.92</v>
      </c>
      <c r="BA15" s="39"/>
      <c r="BB15" s="37">
        <v>1.0921</v>
      </c>
      <c r="BC15" s="38">
        <v>76.14</v>
      </c>
      <c r="BD15" s="39"/>
      <c r="BE15" s="37">
        <v>1.0929</v>
      </c>
      <c r="BF15" s="38">
        <v>75.8</v>
      </c>
      <c r="BG15" s="39"/>
      <c r="BH15" s="37">
        <v>1.0884</v>
      </c>
      <c r="BI15" s="38">
        <v>76.03</v>
      </c>
      <c r="BJ15" s="24"/>
      <c r="BK15" s="37">
        <v>1.082</v>
      </c>
      <c r="BL15" s="38">
        <v>76.35</v>
      </c>
      <c r="BM15" s="24"/>
      <c r="BN15" s="87">
        <f t="shared" si="0"/>
        <v>1.101047619047619</v>
      </c>
      <c r="BO15" s="120">
        <f t="shared" si="0"/>
        <v>75.76619047619049</v>
      </c>
    </row>
    <row r="16" spans="1:67" ht="15.75" customHeight="1">
      <c r="A16" s="35">
        <v>4</v>
      </c>
      <c r="B16" s="36" t="s">
        <v>17</v>
      </c>
      <c r="C16" s="37">
        <f>1/1.4736</f>
        <v>0.6786102062975027</v>
      </c>
      <c r="D16" s="38">
        <v>122.01</v>
      </c>
      <c r="E16" s="39"/>
      <c r="F16" s="37">
        <f>1/1.4701</f>
        <v>0.6802258349772125</v>
      </c>
      <c r="G16" s="38">
        <v>122.21</v>
      </c>
      <c r="H16" s="39"/>
      <c r="I16" s="37">
        <f>1/1.4671</f>
        <v>0.6816167950378297</v>
      </c>
      <c r="J16" s="38">
        <v>122.91</v>
      </c>
      <c r="K16" s="39"/>
      <c r="L16" s="37">
        <f>1/1.4707</f>
        <v>0.6799483239273816</v>
      </c>
      <c r="M16" s="38">
        <v>124.13</v>
      </c>
      <c r="N16" s="39"/>
      <c r="O16" s="37">
        <f>1/1.4711</f>
        <v>0.6797634423220719</v>
      </c>
      <c r="P16" s="38">
        <v>123.56</v>
      </c>
      <c r="Q16" s="39"/>
      <c r="R16" s="37">
        <f>1/1.4683</f>
        <v>0.6810597289382279</v>
      </c>
      <c r="S16" s="38">
        <v>123.06</v>
      </c>
      <c r="T16" s="39"/>
      <c r="U16" s="37">
        <f>1/1.4781</f>
        <v>0.676544212164265</v>
      </c>
      <c r="V16" s="38">
        <v>122.84</v>
      </c>
      <c r="W16" s="39"/>
      <c r="X16" s="37">
        <f>1/1.489</f>
        <v>0.6715916722632639</v>
      </c>
      <c r="Y16" s="38">
        <v>123.06</v>
      </c>
      <c r="Z16" s="39"/>
      <c r="AA16" s="37">
        <f>1/1.486</f>
        <v>0.6729475100942126</v>
      </c>
      <c r="AB16" s="38">
        <v>122.8</v>
      </c>
      <c r="AC16" s="39"/>
      <c r="AD16" s="37">
        <f>1/1.4796</f>
        <v>0.6758583400919167</v>
      </c>
      <c r="AE16" s="38">
        <v>122.72</v>
      </c>
      <c r="AF16" s="39"/>
      <c r="AG16" s="37">
        <f>1/1.4607</f>
        <v>0.684603272403642</v>
      </c>
      <c r="AH16" s="38">
        <v>122.5</v>
      </c>
      <c r="AI16" s="39"/>
      <c r="AJ16" s="37">
        <f>1/1.4623</f>
        <v>0.6838542022840731</v>
      </c>
      <c r="AK16" s="38">
        <v>122.41</v>
      </c>
      <c r="AL16" s="39"/>
      <c r="AM16" s="37">
        <f>1/1.4487</f>
        <v>0.6902740387934009</v>
      </c>
      <c r="AN16" s="38">
        <v>122.15</v>
      </c>
      <c r="AO16" s="39"/>
      <c r="AP16" s="37">
        <f>1/1.4492</f>
        <v>0.690035881865857</v>
      </c>
      <c r="AQ16" s="38">
        <v>122.22</v>
      </c>
      <c r="AR16" s="39"/>
      <c r="AS16" s="37">
        <f>1/1.4581</f>
        <v>0.6858240175570949</v>
      </c>
      <c r="AT16" s="38">
        <v>122.17</v>
      </c>
      <c r="AU16" s="39"/>
      <c r="AV16" s="37">
        <f>1/1.4635</f>
        <v>0.683293474547318</v>
      </c>
      <c r="AW16" s="38">
        <v>122.17</v>
      </c>
      <c r="AX16" s="39"/>
      <c r="AY16" s="37">
        <f>1/1.4735</f>
        <v>0.6786562606040041</v>
      </c>
      <c r="AZ16" s="38">
        <v>122.23</v>
      </c>
      <c r="BA16" s="39"/>
      <c r="BB16" s="37">
        <f>1/1.4707</f>
        <v>0.6799483239273816</v>
      </c>
      <c r="BC16" s="38">
        <v>122.27</v>
      </c>
      <c r="BD16" s="39"/>
      <c r="BE16" s="37">
        <f>1/1.4771</f>
        <v>0.6770022341073725</v>
      </c>
      <c r="BF16" s="38">
        <v>122.34</v>
      </c>
      <c r="BG16" s="39"/>
      <c r="BH16" s="37">
        <f>1/1.4809</f>
        <v>0.6752650415288</v>
      </c>
      <c r="BI16" s="38">
        <v>122.44</v>
      </c>
      <c r="BJ16" s="24"/>
      <c r="BK16" s="37">
        <f>1/1.4853</f>
        <v>0.6732646603379788</v>
      </c>
      <c r="BL16" s="38">
        <v>122.61</v>
      </c>
      <c r="BM16" s="24"/>
      <c r="BN16" s="87">
        <f t="shared" si="0"/>
        <v>0.680008927336705</v>
      </c>
      <c r="BO16" s="120">
        <f t="shared" si="0"/>
        <v>122.61000000000001</v>
      </c>
    </row>
    <row r="17" spans="1:67" ht="15.75" customHeight="1">
      <c r="A17" s="35">
        <v>5</v>
      </c>
      <c r="B17" s="36" t="s">
        <v>18</v>
      </c>
      <c r="C17" s="37">
        <v>865.2</v>
      </c>
      <c r="D17" s="38">
        <v>71683.98</v>
      </c>
      <c r="E17" s="39"/>
      <c r="F17" s="37">
        <v>858.4</v>
      </c>
      <c r="G17" s="38">
        <v>71323.92</v>
      </c>
      <c r="H17" s="39"/>
      <c r="I17" s="37">
        <v>857.4</v>
      </c>
      <c r="J17" s="38">
        <v>71815.29</v>
      </c>
      <c r="K17" s="39"/>
      <c r="L17" s="37">
        <v>872.9</v>
      </c>
      <c r="M17" s="38">
        <v>73667.85</v>
      </c>
      <c r="N17" s="39"/>
      <c r="O17" s="37">
        <v>887.7</v>
      </c>
      <c r="P17" s="38">
        <v>74554.59</v>
      </c>
      <c r="Q17" s="39"/>
      <c r="R17" s="37">
        <v>874</v>
      </c>
      <c r="S17" s="38">
        <v>73248.85</v>
      </c>
      <c r="T17" s="39"/>
      <c r="U17" s="37">
        <v>894</v>
      </c>
      <c r="V17" s="38">
        <v>74309.28</v>
      </c>
      <c r="W17" s="39"/>
      <c r="X17" s="37">
        <v>911.4</v>
      </c>
      <c r="Y17" s="38">
        <v>75406.96</v>
      </c>
      <c r="Z17" s="39"/>
      <c r="AA17" s="37">
        <v>905.7</v>
      </c>
      <c r="AB17" s="38">
        <v>74903.09</v>
      </c>
      <c r="AC17" s="39"/>
      <c r="AD17" s="37">
        <v>880.1</v>
      </c>
      <c r="AE17" s="38">
        <v>72962.49</v>
      </c>
      <c r="AF17" s="39"/>
      <c r="AG17" s="37">
        <v>881.1</v>
      </c>
      <c r="AH17" s="38">
        <v>73806.99</v>
      </c>
      <c r="AI17" s="39"/>
      <c r="AJ17" s="37">
        <v>872.7</v>
      </c>
      <c r="AK17" s="38">
        <v>73043.9</v>
      </c>
      <c r="AL17" s="39"/>
      <c r="AM17" s="37">
        <v>874.25</v>
      </c>
      <c r="AN17" s="38">
        <v>73641.9</v>
      </c>
      <c r="AO17" s="39"/>
      <c r="AP17" s="37">
        <v>861.25</v>
      </c>
      <c r="AQ17" s="38">
        <v>72730.95</v>
      </c>
      <c r="AR17" s="39"/>
      <c r="AS17" s="37">
        <v>887.7</v>
      </c>
      <c r="AT17" s="38">
        <v>74333.78</v>
      </c>
      <c r="AU17" s="39"/>
      <c r="AV17" s="37">
        <v>893.75</v>
      </c>
      <c r="AW17" s="38">
        <v>74677.28</v>
      </c>
      <c r="AX17" s="39"/>
      <c r="AY17" s="37">
        <v>923.3</v>
      </c>
      <c r="AZ17" s="38">
        <v>76629.86</v>
      </c>
      <c r="BA17" s="39"/>
      <c r="BB17" s="37">
        <v>916.1</v>
      </c>
      <c r="BC17" s="38">
        <v>76178.87</v>
      </c>
      <c r="BD17" s="39"/>
      <c r="BE17" s="37">
        <v>927</v>
      </c>
      <c r="BF17" s="38">
        <v>76795</v>
      </c>
      <c r="BG17" s="39"/>
      <c r="BH17" s="37">
        <v>922.9</v>
      </c>
      <c r="BI17" s="38">
        <v>76375.74</v>
      </c>
      <c r="BJ17" s="24"/>
      <c r="BK17" s="37">
        <v>922.3</v>
      </c>
      <c r="BL17" s="38">
        <v>76188.9</v>
      </c>
      <c r="BM17" s="24"/>
      <c r="BN17" s="87">
        <f t="shared" si="0"/>
        <v>889.9595238095238</v>
      </c>
      <c r="BO17" s="120">
        <f t="shared" si="0"/>
        <v>74203.78428571428</v>
      </c>
    </row>
    <row r="18" spans="1:67" ht="15.75" customHeight="1">
      <c r="A18" s="35">
        <v>6</v>
      </c>
      <c r="B18" s="42" t="s">
        <v>19</v>
      </c>
      <c r="C18" s="37">
        <v>15.33</v>
      </c>
      <c r="D18" s="38">
        <v>1270.13</v>
      </c>
      <c r="E18" s="39"/>
      <c r="F18" s="37">
        <v>15.21</v>
      </c>
      <c r="G18" s="38">
        <v>1263.79</v>
      </c>
      <c r="H18" s="39"/>
      <c r="I18" s="37">
        <v>15.2</v>
      </c>
      <c r="J18" s="38">
        <v>1273.14</v>
      </c>
      <c r="K18" s="39"/>
      <c r="L18" s="37">
        <v>15.45</v>
      </c>
      <c r="M18" s="38">
        <v>1303.89</v>
      </c>
      <c r="N18" s="39"/>
      <c r="O18" s="37">
        <v>16.13</v>
      </c>
      <c r="P18" s="38">
        <v>1354.7</v>
      </c>
      <c r="Q18" s="39"/>
      <c r="R18" s="37">
        <v>15.53</v>
      </c>
      <c r="S18" s="38">
        <v>1301.55</v>
      </c>
      <c r="T18" s="39"/>
      <c r="U18" s="37">
        <v>16.18</v>
      </c>
      <c r="V18" s="38">
        <v>1344.88</v>
      </c>
      <c r="W18" s="39"/>
      <c r="X18" s="37">
        <v>16.48</v>
      </c>
      <c r="Y18" s="38">
        <v>1363.51</v>
      </c>
      <c r="Z18" s="39"/>
      <c r="AA18" s="37">
        <v>16.37</v>
      </c>
      <c r="AB18" s="38">
        <v>1353.83</v>
      </c>
      <c r="AC18" s="39"/>
      <c r="AD18" s="37">
        <v>15.67</v>
      </c>
      <c r="AE18" s="38">
        <v>1299.08</v>
      </c>
      <c r="AF18" s="39"/>
      <c r="AG18" s="37">
        <v>15.8</v>
      </c>
      <c r="AH18" s="38">
        <v>1323.52</v>
      </c>
      <c r="AI18" s="39"/>
      <c r="AJ18" s="37">
        <v>15.68</v>
      </c>
      <c r="AK18" s="38">
        <v>1312.4</v>
      </c>
      <c r="AL18" s="39"/>
      <c r="AM18" s="37">
        <v>15.93</v>
      </c>
      <c r="AN18" s="38">
        <v>1341.85</v>
      </c>
      <c r="AO18" s="39"/>
      <c r="AP18" s="37">
        <v>15.51</v>
      </c>
      <c r="AQ18" s="38">
        <v>1309.79</v>
      </c>
      <c r="AR18" s="39"/>
      <c r="AS18" s="37">
        <v>15.98</v>
      </c>
      <c r="AT18" s="38">
        <v>1338.13</v>
      </c>
      <c r="AU18" s="39"/>
      <c r="AV18" s="37">
        <v>16.25</v>
      </c>
      <c r="AW18" s="38">
        <v>1357.77</v>
      </c>
      <c r="AX18" s="39"/>
      <c r="AY18" s="37">
        <v>16.57</v>
      </c>
      <c r="AZ18" s="38">
        <v>1375.24</v>
      </c>
      <c r="BA18" s="39"/>
      <c r="BB18" s="37">
        <v>16.36</v>
      </c>
      <c r="BC18" s="38">
        <v>1360.43</v>
      </c>
      <c r="BD18" s="39"/>
      <c r="BE18" s="37">
        <v>16.65</v>
      </c>
      <c r="BF18" s="38">
        <v>1379.33</v>
      </c>
      <c r="BG18" s="39"/>
      <c r="BH18" s="37">
        <v>16.71</v>
      </c>
      <c r="BI18" s="38">
        <v>1382.86</v>
      </c>
      <c r="BJ18" s="24"/>
      <c r="BK18" s="37">
        <v>16.72</v>
      </c>
      <c r="BL18" s="38">
        <v>1381.2</v>
      </c>
      <c r="BM18" s="24"/>
      <c r="BN18" s="87">
        <f t="shared" si="0"/>
        <v>15.986190476190473</v>
      </c>
      <c r="BO18" s="120">
        <f t="shared" si="0"/>
        <v>1332.9057142857146</v>
      </c>
    </row>
    <row r="19" spans="1:67" ht="15.75" customHeight="1">
      <c r="A19" s="35">
        <v>7</v>
      </c>
      <c r="B19" s="36" t="s">
        <v>20</v>
      </c>
      <c r="C19" s="37">
        <f>1/0.8797</f>
        <v>1.1367511651699442</v>
      </c>
      <c r="D19" s="38">
        <v>72.89</v>
      </c>
      <c r="E19" s="39"/>
      <c r="F19" s="37">
        <f>1/0.8813</f>
        <v>1.1346873936230568</v>
      </c>
      <c r="G19" s="38">
        <v>73.23</v>
      </c>
      <c r="H19" s="39"/>
      <c r="I19" s="37">
        <f>1/0.8731</f>
        <v>1.1453441759248655</v>
      </c>
      <c r="J19" s="38">
        <v>73.13</v>
      </c>
      <c r="K19" s="39"/>
      <c r="L19" s="37">
        <f>1/0.879</f>
        <v>1.1376564277588168</v>
      </c>
      <c r="M19" s="38">
        <v>74.18</v>
      </c>
      <c r="N19" s="39"/>
      <c r="O19" s="37">
        <f>1/0.8842</f>
        <v>1.130965844831486</v>
      </c>
      <c r="P19" s="38">
        <v>74.26</v>
      </c>
      <c r="Q19" s="39"/>
      <c r="R19" s="37">
        <f>1/0.8844</f>
        <v>1.1307100859339665</v>
      </c>
      <c r="S19" s="38">
        <v>74.12</v>
      </c>
      <c r="T19" s="39"/>
      <c r="U19" s="37">
        <f>1/0.8948</f>
        <v>1.117568171658471</v>
      </c>
      <c r="V19" s="38">
        <v>74.38</v>
      </c>
      <c r="W19" s="39"/>
      <c r="X19" s="37">
        <f>1/0.8986</f>
        <v>1.1128421989761852</v>
      </c>
      <c r="Y19" s="38">
        <v>74.35</v>
      </c>
      <c r="Z19" s="39"/>
      <c r="AA19" s="37">
        <f>1/0.8996</f>
        <v>1.1116051578479325</v>
      </c>
      <c r="AB19" s="38">
        <v>74.4</v>
      </c>
      <c r="AC19" s="39"/>
      <c r="AD19" s="37">
        <f>1/0.8779</f>
        <v>1.1390818999886092</v>
      </c>
      <c r="AE19" s="38">
        <v>72.78</v>
      </c>
      <c r="AF19" s="39"/>
      <c r="AG19" s="37">
        <f>1/0.8816</f>
        <v>1.134301270417423</v>
      </c>
      <c r="AH19" s="38">
        <v>73.85</v>
      </c>
      <c r="AI19" s="39"/>
      <c r="AJ19" s="37">
        <f>1/0.8771</f>
        <v>1.1401208528103979</v>
      </c>
      <c r="AK19" s="38">
        <v>73.41</v>
      </c>
      <c r="AL19" s="39"/>
      <c r="AM19" s="37">
        <f>1/0.8701</f>
        <v>1.1492931846914147</v>
      </c>
      <c r="AN19" s="38">
        <v>73.29</v>
      </c>
      <c r="AO19" s="39"/>
      <c r="AP19" s="37">
        <f>1/0.8568</f>
        <v>1.1671335200746966</v>
      </c>
      <c r="AQ19" s="38">
        <v>72.36</v>
      </c>
      <c r="AR19" s="39"/>
      <c r="AS19" s="37">
        <f>1/0.8671</f>
        <v>1.1532695190866105</v>
      </c>
      <c r="AT19" s="38">
        <v>72.61</v>
      </c>
      <c r="AU19" s="39"/>
      <c r="AV19" s="37">
        <f>1/0.8719</f>
        <v>1.1469205184080744</v>
      </c>
      <c r="AW19" s="38">
        <v>72.85</v>
      </c>
      <c r="AX19" s="39"/>
      <c r="AY19" s="37">
        <f>1/0.884</f>
        <v>1.1312217194570136</v>
      </c>
      <c r="AZ19" s="38">
        <v>73.37</v>
      </c>
      <c r="BA19" s="39"/>
      <c r="BB19" s="37">
        <f>1/0.8784</f>
        <v>1.138433515482696</v>
      </c>
      <c r="BC19" s="38">
        <v>73.04</v>
      </c>
      <c r="BD19" s="39"/>
      <c r="BE19" s="37">
        <f>1/0.8892</f>
        <v>1.1246063877642825</v>
      </c>
      <c r="BF19" s="38">
        <v>73.66</v>
      </c>
      <c r="BG19" s="39"/>
      <c r="BH19" s="37">
        <f>1/0.8875</f>
        <v>1.1267605633802817</v>
      </c>
      <c r="BI19" s="38">
        <v>73.45</v>
      </c>
      <c r="BJ19" s="24"/>
      <c r="BK19" s="37">
        <f>1/0.8913</f>
        <v>1.1219566924716706</v>
      </c>
      <c r="BL19" s="38">
        <v>73.63</v>
      </c>
      <c r="BM19" s="24"/>
      <c r="BN19" s="87">
        <f t="shared" si="0"/>
        <v>1.1348204888456137</v>
      </c>
      <c r="BO19" s="120">
        <f t="shared" si="0"/>
        <v>73.48761904761903</v>
      </c>
    </row>
    <row r="20" spans="1:67" ht="15.75" customHeight="1">
      <c r="A20" s="35">
        <v>8</v>
      </c>
      <c r="B20" s="36" t="s">
        <v>21</v>
      </c>
      <c r="C20" s="37">
        <v>0.9933</v>
      </c>
      <c r="D20" s="38">
        <v>83.41</v>
      </c>
      <c r="E20" s="39"/>
      <c r="F20" s="37">
        <v>0.9892</v>
      </c>
      <c r="G20" s="38">
        <v>84</v>
      </c>
      <c r="H20" s="39"/>
      <c r="I20" s="37">
        <v>1.0045</v>
      </c>
      <c r="J20" s="38">
        <v>83.38</v>
      </c>
      <c r="K20" s="39"/>
      <c r="L20" s="37">
        <v>1.0012</v>
      </c>
      <c r="M20" s="38">
        <v>84.29</v>
      </c>
      <c r="N20" s="39"/>
      <c r="O20" s="37">
        <v>1.0024</v>
      </c>
      <c r="P20" s="38">
        <v>83.79</v>
      </c>
      <c r="Q20" s="39"/>
      <c r="R20" s="37">
        <v>1.0075</v>
      </c>
      <c r="S20" s="38">
        <v>83.18</v>
      </c>
      <c r="T20" s="39"/>
      <c r="U20" s="37">
        <v>1.0099</v>
      </c>
      <c r="V20" s="38">
        <v>82.31</v>
      </c>
      <c r="W20" s="39"/>
      <c r="X20" s="37">
        <v>1.016</v>
      </c>
      <c r="Y20" s="38">
        <v>81.43</v>
      </c>
      <c r="Z20" s="39"/>
      <c r="AA20" s="37">
        <v>1.0171</v>
      </c>
      <c r="AB20" s="38">
        <v>81.31</v>
      </c>
      <c r="AC20" s="39"/>
      <c r="AD20" s="37">
        <v>1.0249</v>
      </c>
      <c r="AE20" s="38">
        <v>80.89</v>
      </c>
      <c r="AF20" s="39"/>
      <c r="AG20" s="37">
        <v>1.0206</v>
      </c>
      <c r="AH20" s="38">
        <v>82.08</v>
      </c>
      <c r="AI20" s="39"/>
      <c r="AJ20" s="37">
        <v>1.0268</v>
      </c>
      <c r="AK20" s="38">
        <v>81.51</v>
      </c>
      <c r="AL20" s="39"/>
      <c r="AM20" s="37">
        <v>1.0296</v>
      </c>
      <c r="AN20" s="38">
        <v>81.81</v>
      </c>
      <c r="AO20" s="39"/>
      <c r="AP20" s="37">
        <v>1.0362</v>
      </c>
      <c r="AQ20" s="38">
        <v>81.5</v>
      </c>
      <c r="AR20" s="39"/>
      <c r="AS20" s="37">
        <v>1.0277</v>
      </c>
      <c r="AT20" s="38">
        <v>81.48</v>
      </c>
      <c r="AU20" s="39"/>
      <c r="AV20" s="37">
        <v>1.0164</v>
      </c>
      <c r="AW20" s="38">
        <v>82.21</v>
      </c>
      <c r="AX20" s="39"/>
      <c r="AY20" s="37">
        <v>1.0085</v>
      </c>
      <c r="AZ20" s="38">
        <v>82.3</v>
      </c>
      <c r="BA20" s="39"/>
      <c r="BB20" s="37">
        <v>1.0086</v>
      </c>
      <c r="BC20" s="38">
        <v>82.45</v>
      </c>
      <c r="BD20" s="39"/>
      <c r="BE20" s="37">
        <v>1.0014</v>
      </c>
      <c r="BF20" s="38">
        <v>82.73</v>
      </c>
      <c r="BG20" s="39"/>
      <c r="BH20" s="37">
        <v>0.9965</v>
      </c>
      <c r="BI20" s="38">
        <v>83.05</v>
      </c>
      <c r="BJ20" s="24"/>
      <c r="BK20" s="37">
        <v>0.9943</v>
      </c>
      <c r="BL20" s="38">
        <v>83.08</v>
      </c>
      <c r="BM20" s="24"/>
      <c r="BN20" s="87">
        <f t="shared" si="0"/>
        <v>1.0110761904761907</v>
      </c>
      <c r="BO20" s="120">
        <f t="shared" si="0"/>
        <v>82.48523809523809</v>
      </c>
    </row>
    <row r="21" spans="1:67" ht="15.75" customHeight="1">
      <c r="A21" s="35">
        <v>9</v>
      </c>
      <c r="B21" s="36" t="s">
        <v>22</v>
      </c>
      <c r="C21" s="37">
        <v>6.388</v>
      </c>
      <c r="D21" s="38">
        <v>12.97</v>
      </c>
      <c r="E21" s="39"/>
      <c r="F21" s="37">
        <v>6.369</v>
      </c>
      <c r="G21" s="38">
        <v>13.05</v>
      </c>
      <c r="H21" s="39"/>
      <c r="I21" s="37">
        <v>6.3913</v>
      </c>
      <c r="J21" s="38">
        <v>13.11</v>
      </c>
      <c r="K21" s="39"/>
      <c r="L21" s="37">
        <v>6.3739</v>
      </c>
      <c r="M21" s="38">
        <v>13.24</v>
      </c>
      <c r="N21" s="39"/>
      <c r="O21" s="37">
        <v>6.3897</v>
      </c>
      <c r="P21" s="38">
        <v>13.14</v>
      </c>
      <c r="Q21" s="39"/>
      <c r="R21" s="37">
        <v>6.4039</v>
      </c>
      <c r="S21" s="38">
        <v>13.09</v>
      </c>
      <c r="T21" s="39"/>
      <c r="U21" s="37">
        <v>6.3515</v>
      </c>
      <c r="V21" s="38">
        <v>13.09</v>
      </c>
      <c r="W21" s="39"/>
      <c r="X21" s="37">
        <v>6.3253</v>
      </c>
      <c r="Y21" s="38">
        <v>13.08</v>
      </c>
      <c r="Z21" s="39"/>
      <c r="AA21" s="37">
        <v>6.3085</v>
      </c>
      <c r="AB21" s="38">
        <v>13.11</v>
      </c>
      <c r="AC21" s="39"/>
      <c r="AD21" s="37">
        <v>6.3725</v>
      </c>
      <c r="AE21" s="38">
        <v>13.01</v>
      </c>
      <c r="AF21" s="39"/>
      <c r="AG21" s="37">
        <v>6.4459</v>
      </c>
      <c r="AH21" s="38">
        <v>13</v>
      </c>
      <c r="AI21" s="39"/>
      <c r="AJ21" s="37">
        <v>6.4382</v>
      </c>
      <c r="AK21" s="38">
        <v>13</v>
      </c>
      <c r="AL21" s="39"/>
      <c r="AM21" s="37">
        <v>6.5327</v>
      </c>
      <c r="AN21" s="38">
        <v>12.89</v>
      </c>
      <c r="AO21" s="39"/>
      <c r="AP21" s="37">
        <v>6.5459</v>
      </c>
      <c r="AQ21" s="38">
        <v>12.9</v>
      </c>
      <c r="AR21" s="39"/>
      <c r="AS21" s="37">
        <v>6.5098</v>
      </c>
      <c r="AT21" s="38">
        <v>12.86</v>
      </c>
      <c r="AU21" s="39"/>
      <c r="AV21" s="37">
        <v>6.4845</v>
      </c>
      <c r="AW21" s="38">
        <v>12.89</v>
      </c>
      <c r="AX21" s="39"/>
      <c r="AY21" s="37">
        <v>6.4173</v>
      </c>
      <c r="AZ21" s="38">
        <v>12.93</v>
      </c>
      <c r="BA21" s="39"/>
      <c r="BB21" s="37">
        <v>6.4455</v>
      </c>
      <c r="BC21" s="38">
        <v>12.9</v>
      </c>
      <c r="BD21" s="39"/>
      <c r="BE21" s="37">
        <v>6.4005</v>
      </c>
      <c r="BF21" s="38">
        <v>12.94</v>
      </c>
      <c r="BG21" s="39"/>
      <c r="BH21" s="37">
        <v>6.3749</v>
      </c>
      <c r="BI21" s="38">
        <v>12.98</v>
      </c>
      <c r="BJ21" s="24"/>
      <c r="BK21" s="37">
        <v>6.3517</v>
      </c>
      <c r="BL21" s="38">
        <v>13.01</v>
      </c>
      <c r="BM21" s="24"/>
      <c r="BN21" s="87">
        <f t="shared" si="0"/>
        <v>6.4105</v>
      </c>
      <c r="BO21" s="120">
        <f t="shared" si="0"/>
        <v>13.00904761904762</v>
      </c>
    </row>
    <row r="22" spans="1:67" ht="15.75" customHeight="1">
      <c r="A22" s="35">
        <v>10</v>
      </c>
      <c r="B22" s="36" t="s">
        <v>23</v>
      </c>
      <c r="C22" s="37">
        <v>5.3874</v>
      </c>
      <c r="D22" s="38">
        <v>15.38</v>
      </c>
      <c r="E22" s="39"/>
      <c r="F22" s="37">
        <v>5.358</v>
      </c>
      <c r="G22" s="38">
        <v>15.51</v>
      </c>
      <c r="H22" s="39"/>
      <c r="I22" s="37">
        <v>5.3601</v>
      </c>
      <c r="J22" s="38">
        <v>15.63</v>
      </c>
      <c r="K22" s="39"/>
      <c r="L22" s="37">
        <v>5.3612</v>
      </c>
      <c r="M22" s="38">
        <v>15.74</v>
      </c>
      <c r="N22" s="39"/>
      <c r="O22" s="37">
        <v>5.3555</v>
      </c>
      <c r="P22" s="38">
        <v>15.68</v>
      </c>
      <c r="Q22" s="39"/>
      <c r="R22" s="37">
        <v>5.3353</v>
      </c>
      <c r="S22" s="38">
        <v>15.71</v>
      </c>
      <c r="T22" s="39"/>
      <c r="U22" s="37">
        <v>5.2891</v>
      </c>
      <c r="V22" s="38">
        <v>15.72</v>
      </c>
      <c r="W22" s="39"/>
      <c r="X22" s="37">
        <v>5.2559</v>
      </c>
      <c r="Y22" s="38">
        <v>15.74</v>
      </c>
      <c r="Z22" s="39"/>
      <c r="AA22" s="37">
        <v>5.2732</v>
      </c>
      <c r="AB22" s="38">
        <v>15.68</v>
      </c>
      <c r="AC22" s="39"/>
      <c r="AD22" s="37">
        <v>5.3751</v>
      </c>
      <c r="AE22" s="38">
        <v>15.42</v>
      </c>
      <c r="AF22" s="39"/>
      <c r="AG22" s="37">
        <v>5.4397</v>
      </c>
      <c r="AH22" s="38">
        <v>15.4</v>
      </c>
      <c r="AI22" s="39"/>
      <c r="AJ22" s="37">
        <v>5.4745</v>
      </c>
      <c r="AK22" s="38">
        <v>15.29</v>
      </c>
      <c r="AL22" s="39"/>
      <c r="AM22" s="37">
        <v>5.531</v>
      </c>
      <c r="AN22" s="38">
        <v>15.23</v>
      </c>
      <c r="AO22" s="39"/>
      <c r="AP22" s="37">
        <v>5.5474</v>
      </c>
      <c r="AQ22" s="38">
        <v>15.22</v>
      </c>
      <c r="AR22" s="39"/>
      <c r="AS22" s="37">
        <v>5.5266</v>
      </c>
      <c r="AT22" s="38">
        <v>15.15</v>
      </c>
      <c r="AU22" s="39"/>
      <c r="AV22" s="37">
        <v>5.5049</v>
      </c>
      <c r="AW22" s="38">
        <v>15.18</v>
      </c>
      <c r="AX22" s="39"/>
      <c r="AY22" s="37">
        <v>5.4423</v>
      </c>
      <c r="AZ22" s="38">
        <v>15.25</v>
      </c>
      <c r="BA22" s="39"/>
      <c r="BB22" s="37">
        <v>5.4868</v>
      </c>
      <c r="BC22" s="38">
        <v>15.16</v>
      </c>
      <c r="BD22" s="39"/>
      <c r="BE22" s="37">
        <v>5.4441</v>
      </c>
      <c r="BF22" s="38">
        <v>15.22</v>
      </c>
      <c r="BG22" s="39"/>
      <c r="BH22" s="37">
        <v>5.4374</v>
      </c>
      <c r="BI22" s="38">
        <v>15.22</v>
      </c>
      <c r="BJ22" s="24"/>
      <c r="BK22" s="37">
        <v>5.4205</v>
      </c>
      <c r="BL22" s="38">
        <v>15.24</v>
      </c>
      <c r="BM22" s="24"/>
      <c r="BN22" s="87">
        <f t="shared" si="0"/>
        <v>5.409809523809525</v>
      </c>
      <c r="BO22" s="120">
        <f t="shared" si="0"/>
        <v>15.41761904761905</v>
      </c>
    </row>
    <row r="23" spans="1:67" ht="15.75" customHeight="1">
      <c r="A23" s="35">
        <v>11</v>
      </c>
      <c r="B23" s="36" t="s">
        <v>24</v>
      </c>
      <c r="C23" s="37">
        <v>5.057</v>
      </c>
      <c r="D23" s="38">
        <v>16.38</v>
      </c>
      <c r="E23" s="39"/>
      <c r="F23" s="37">
        <v>5.0678</v>
      </c>
      <c r="G23" s="38">
        <v>16.4</v>
      </c>
      <c r="H23" s="39"/>
      <c r="I23" s="37">
        <v>5.0774</v>
      </c>
      <c r="J23" s="38">
        <v>16.5</v>
      </c>
      <c r="K23" s="39"/>
      <c r="L23" s="37">
        <v>5.0637</v>
      </c>
      <c r="M23" s="38">
        <v>16.67</v>
      </c>
      <c r="N23" s="39"/>
      <c r="O23" s="37">
        <v>5.0602</v>
      </c>
      <c r="P23" s="38">
        <v>16.6</v>
      </c>
      <c r="Q23" s="39"/>
      <c r="R23" s="37">
        <v>5.0715</v>
      </c>
      <c r="S23" s="38">
        <v>16.53</v>
      </c>
      <c r="T23" s="39"/>
      <c r="U23" s="37">
        <v>5.0372</v>
      </c>
      <c r="V23" s="38">
        <v>16.5</v>
      </c>
      <c r="W23" s="39"/>
      <c r="X23" s="37">
        <v>4.9994</v>
      </c>
      <c r="Y23" s="38">
        <v>16.55</v>
      </c>
      <c r="Z23" s="39"/>
      <c r="AA23" s="37">
        <v>5.0098</v>
      </c>
      <c r="AB23" s="38">
        <v>16.51</v>
      </c>
      <c r="AC23" s="39"/>
      <c r="AD23" s="37">
        <v>5.0313</v>
      </c>
      <c r="AE23" s="38">
        <v>16.48</v>
      </c>
      <c r="AF23" s="39"/>
      <c r="AG23" s="37">
        <v>5.0998</v>
      </c>
      <c r="AH23" s="38">
        <v>16.43</v>
      </c>
      <c r="AI23" s="39"/>
      <c r="AJ23" s="37">
        <v>5.096</v>
      </c>
      <c r="AK23" s="38">
        <v>16.42</v>
      </c>
      <c r="AL23" s="39"/>
      <c r="AM23" s="37">
        <v>5.1418</v>
      </c>
      <c r="AN23" s="38">
        <v>16.38</v>
      </c>
      <c r="AO23" s="39"/>
      <c r="AP23" s="37">
        <v>5.1433</v>
      </c>
      <c r="AQ23" s="38">
        <v>16.42</v>
      </c>
      <c r="AR23" s="39"/>
      <c r="AS23" s="37">
        <v>5.1091</v>
      </c>
      <c r="AT23" s="38">
        <v>16.39</v>
      </c>
      <c r="AU23" s="39"/>
      <c r="AV23" s="37">
        <v>5.0912</v>
      </c>
      <c r="AW23" s="38">
        <v>16.41</v>
      </c>
      <c r="AX23" s="39"/>
      <c r="AY23" s="37">
        <v>5.0573</v>
      </c>
      <c r="AZ23" s="38">
        <v>16.41</v>
      </c>
      <c r="BA23" s="39"/>
      <c r="BB23" s="37">
        <v>5.0655</v>
      </c>
      <c r="BC23" s="38">
        <v>16.42</v>
      </c>
      <c r="BD23" s="39"/>
      <c r="BE23" s="37">
        <v>5.0433</v>
      </c>
      <c r="BF23" s="38">
        <v>16.43</v>
      </c>
      <c r="BG23" s="39"/>
      <c r="BH23" s="37">
        <v>5.0318</v>
      </c>
      <c r="BI23" s="38">
        <v>16.45</v>
      </c>
      <c r="BJ23" s="38"/>
      <c r="BK23" s="37">
        <v>5.0149</v>
      </c>
      <c r="BL23" s="38">
        <v>16.47</v>
      </c>
      <c r="BM23" s="38"/>
      <c r="BN23" s="87">
        <f t="shared" si="0"/>
        <v>5.065204761904762</v>
      </c>
      <c r="BO23" s="120">
        <f t="shared" si="0"/>
        <v>16.46428571428572</v>
      </c>
    </row>
    <row r="24" spans="1:67" ht="15.75" customHeight="1">
      <c r="A24" s="35">
        <v>12</v>
      </c>
      <c r="B24" s="36" t="s">
        <v>25</v>
      </c>
      <c r="C24" s="37">
        <f>1/1.57847</f>
        <v>0.6335248690187333</v>
      </c>
      <c r="D24" s="38">
        <v>130.78</v>
      </c>
      <c r="E24" s="39"/>
      <c r="F24" s="37">
        <f>1/1.58567</f>
        <v>0.6306482433293182</v>
      </c>
      <c r="G24" s="38">
        <v>131.75</v>
      </c>
      <c r="H24" s="39"/>
      <c r="I24" s="37">
        <f>1/1.58207</f>
        <v>0.6320832832934067</v>
      </c>
      <c r="J24" s="38">
        <v>132.51</v>
      </c>
      <c r="K24" s="39"/>
      <c r="L24" s="37">
        <f>1/1.58089</f>
        <v>0.6325550797335678</v>
      </c>
      <c r="M24" s="38">
        <v>133.42</v>
      </c>
      <c r="N24" s="39"/>
      <c r="O24" s="37">
        <f>1/1.58166</f>
        <v>0.6322471327592529</v>
      </c>
      <c r="P24" s="38">
        <v>132.84</v>
      </c>
      <c r="Q24" s="39"/>
      <c r="R24" s="37">
        <f>1/1.58048</f>
        <v>0.6327191739218465</v>
      </c>
      <c r="S24" s="38">
        <v>132.46</v>
      </c>
      <c r="T24" s="39"/>
      <c r="U24" s="37">
        <f>1/1.57863</f>
        <v>0.6334606589257774</v>
      </c>
      <c r="V24" s="38">
        <v>131.22</v>
      </c>
      <c r="W24" s="39"/>
      <c r="X24" s="37">
        <f>1/1.58359</f>
        <v>0.631476581690968</v>
      </c>
      <c r="Y24" s="38">
        <v>131.02</v>
      </c>
      <c r="Z24" s="39"/>
      <c r="AA24" s="37">
        <f>1/1.59131</f>
        <v>0.628413068478172</v>
      </c>
      <c r="AB24" s="38">
        <v>131.6</v>
      </c>
      <c r="AC24" s="39"/>
      <c r="AD24" s="37">
        <f>1/1.58954</f>
        <v>0.6291128250940524</v>
      </c>
      <c r="AE24" s="38">
        <v>131.78</v>
      </c>
      <c r="AF24" s="39"/>
      <c r="AG24" s="37">
        <f>1/1.58777</f>
        <v>0.6298141418467411</v>
      </c>
      <c r="AH24" s="38">
        <v>133</v>
      </c>
      <c r="AI24" s="39"/>
      <c r="AJ24" s="37">
        <f>1/1.58165</f>
        <v>0.6322511301488951</v>
      </c>
      <c r="AK24" s="38">
        <v>132.38</v>
      </c>
      <c r="AL24" s="39"/>
      <c r="AM24" s="37">
        <f>1/1.58087</f>
        <v>0.6325630823533877</v>
      </c>
      <c r="AN24" s="38">
        <v>133.16</v>
      </c>
      <c r="AO24" s="39"/>
      <c r="AP24" s="37">
        <f>1/1.58087</f>
        <v>0.6325630823533877</v>
      </c>
      <c r="AQ24" s="38">
        <v>133.5</v>
      </c>
      <c r="AR24" s="39"/>
      <c r="AS24" s="37">
        <f>1/1.57615</f>
        <v>0.6344573803254766</v>
      </c>
      <c r="AT24" s="38">
        <v>131.98</v>
      </c>
      <c r="AU24" s="39"/>
      <c r="AV24" s="37">
        <f>1/1.57986</f>
        <v>0.6329674781309736</v>
      </c>
      <c r="AW24" s="38">
        <v>132.01</v>
      </c>
      <c r="AX24" s="39"/>
      <c r="AY24" s="37">
        <f>1/1.58328</f>
        <v>0.6316002223232783</v>
      </c>
      <c r="AZ24" s="38">
        <v>131.41</v>
      </c>
      <c r="BA24" s="39"/>
      <c r="BB24" s="37">
        <f>1/1.58453</f>
        <v>0.6311019671448316</v>
      </c>
      <c r="BC24" s="38">
        <v>131.76</v>
      </c>
      <c r="BD24" s="39"/>
      <c r="BE24" s="37">
        <f>1/1.5876</f>
        <v>0.6298815822625347</v>
      </c>
      <c r="BF24" s="38">
        <v>131.52</v>
      </c>
      <c r="BG24" s="39"/>
      <c r="BH24" s="37">
        <f>1/1.5905</f>
        <v>0.6287331027978623</v>
      </c>
      <c r="BI24" s="38">
        <v>131.62</v>
      </c>
      <c r="BJ24" s="38"/>
      <c r="BK24" s="37">
        <f>1/1.59164</f>
        <v>0.6282827775125028</v>
      </c>
      <c r="BL24" s="38">
        <v>131.48</v>
      </c>
      <c r="BM24" s="38"/>
      <c r="BN24" s="87">
        <f t="shared" si="0"/>
        <v>0.6314503268307128</v>
      </c>
      <c r="BO24" s="120">
        <f t="shared" si="0"/>
        <v>132.05714285714285</v>
      </c>
    </row>
    <row r="25" spans="1:67" ht="15.75" customHeight="1" thickBot="1">
      <c r="A25" s="43">
        <v>13</v>
      </c>
      <c r="B25" s="44" t="s">
        <v>26</v>
      </c>
      <c r="C25" s="45">
        <v>1</v>
      </c>
      <c r="D25" s="46">
        <v>82.85</v>
      </c>
      <c r="E25" s="30"/>
      <c r="F25" s="45">
        <v>1</v>
      </c>
      <c r="G25" s="46">
        <v>83.09</v>
      </c>
      <c r="H25" s="30"/>
      <c r="I25" s="45">
        <v>1</v>
      </c>
      <c r="J25" s="46">
        <v>83.76</v>
      </c>
      <c r="K25" s="30"/>
      <c r="L25" s="45">
        <v>1</v>
      </c>
      <c r="M25" s="46">
        <v>84.39</v>
      </c>
      <c r="N25" s="30"/>
      <c r="O25" s="45">
        <v>1</v>
      </c>
      <c r="P25" s="46">
        <v>83.99</v>
      </c>
      <c r="Q25" s="30"/>
      <c r="R25" s="45">
        <v>1</v>
      </c>
      <c r="S25" s="46">
        <v>83.81</v>
      </c>
      <c r="T25" s="30"/>
      <c r="U25" s="45">
        <v>1</v>
      </c>
      <c r="V25" s="46">
        <v>83.12</v>
      </c>
      <c r="W25" s="30"/>
      <c r="X25" s="45">
        <v>1</v>
      </c>
      <c r="Y25" s="46">
        <v>82.74</v>
      </c>
      <c r="Z25" s="30"/>
      <c r="AA25" s="45">
        <v>1</v>
      </c>
      <c r="AB25" s="46">
        <v>82.7</v>
      </c>
      <c r="AC25" s="30"/>
      <c r="AD25" s="45">
        <v>1</v>
      </c>
      <c r="AE25" s="46">
        <v>82.9</v>
      </c>
      <c r="AF25" s="30"/>
      <c r="AG25" s="45">
        <v>1</v>
      </c>
      <c r="AH25" s="46">
        <v>83.77</v>
      </c>
      <c r="AI25" s="30"/>
      <c r="AJ25" s="45">
        <v>1</v>
      </c>
      <c r="AK25" s="46">
        <v>83.7</v>
      </c>
      <c r="AL25" s="30"/>
      <c r="AM25" s="45">
        <v>1</v>
      </c>
      <c r="AN25" s="46">
        <v>84.23</v>
      </c>
      <c r="AO25" s="30"/>
      <c r="AP25" s="45">
        <v>1</v>
      </c>
      <c r="AQ25" s="46">
        <v>84.45</v>
      </c>
      <c r="AR25" s="30"/>
      <c r="AS25" s="45">
        <v>1</v>
      </c>
      <c r="AT25" s="46">
        <v>83.74</v>
      </c>
      <c r="AU25" s="30"/>
      <c r="AV25" s="45">
        <v>1</v>
      </c>
      <c r="AW25" s="46">
        <v>83.56</v>
      </c>
      <c r="AX25" s="30"/>
      <c r="AY25" s="45">
        <v>1</v>
      </c>
      <c r="AZ25" s="46">
        <v>83</v>
      </c>
      <c r="BA25" s="30"/>
      <c r="BB25" s="45">
        <v>1</v>
      </c>
      <c r="BC25" s="46">
        <v>83.16</v>
      </c>
      <c r="BD25" s="30"/>
      <c r="BE25" s="45">
        <v>1</v>
      </c>
      <c r="BF25" s="46">
        <v>82.84</v>
      </c>
      <c r="BG25" s="30"/>
      <c r="BH25" s="45">
        <v>1</v>
      </c>
      <c r="BI25" s="46">
        <v>82.76</v>
      </c>
      <c r="BJ25" s="46"/>
      <c r="BK25" s="45">
        <v>1</v>
      </c>
      <c r="BL25" s="46">
        <v>82.61</v>
      </c>
      <c r="BM25" s="46"/>
      <c r="BN25" s="51">
        <f t="shared" si="0"/>
        <v>1</v>
      </c>
      <c r="BO25" s="115">
        <f t="shared" si="0"/>
        <v>83.38904761904762</v>
      </c>
    </row>
    <row r="26" spans="1:67" ht="15.75" customHeight="1">
      <c r="A26" s="40"/>
      <c r="B26" s="41"/>
      <c r="C26" s="25"/>
      <c r="D26" s="26"/>
      <c r="E26" s="24"/>
      <c r="F26" s="25"/>
      <c r="G26" s="26"/>
      <c r="H26" s="24"/>
      <c r="I26" s="25"/>
      <c r="J26" s="26"/>
      <c r="K26" s="24"/>
      <c r="L26" s="25"/>
      <c r="M26" s="26"/>
      <c r="N26" s="24"/>
      <c r="O26" s="25"/>
      <c r="P26" s="26"/>
      <c r="Q26" s="24"/>
      <c r="R26" s="25"/>
      <c r="S26" s="26"/>
      <c r="T26" s="24"/>
      <c r="U26" s="25"/>
      <c r="V26" s="26"/>
      <c r="W26" s="24"/>
      <c r="X26" s="25"/>
      <c r="Y26" s="26"/>
      <c r="Z26" s="24"/>
      <c r="AA26" s="25"/>
      <c r="AB26" s="26"/>
      <c r="AC26" s="24"/>
      <c r="AD26" s="25"/>
      <c r="AE26" s="26"/>
      <c r="AF26" s="24"/>
      <c r="AG26" s="25"/>
      <c r="AH26" s="26"/>
      <c r="AI26" s="24"/>
      <c r="AJ26" s="25"/>
      <c r="AK26" s="26"/>
      <c r="AL26" s="24"/>
      <c r="AM26" s="25"/>
      <c r="AN26" s="26"/>
      <c r="AO26" s="24"/>
      <c r="AP26" s="25"/>
      <c r="AQ26" s="26"/>
      <c r="AR26" s="24"/>
      <c r="AS26" s="25"/>
      <c r="AT26" s="26"/>
      <c r="AU26" s="24"/>
      <c r="AV26" s="25"/>
      <c r="AW26" s="26"/>
      <c r="AX26" s="24"/>
      <c r="AY26" s="25"/>
      <c r="AZ26" s="26"/>
      <c r="BA26" s="24"/>
      <c r="BB26" s="25"/>
      <c r="BC26" s="26"/>
      <c r="BD26" s="24"/>
      <c r="BE26" s="25"/>
      <c r="BF26" s="26"/>
      <c r="BG26" s="26"/>
      <c r="BH26" s="26"/>
      <c r="BI26" s="26"/>
      <c r="BJ26" s="24"/>
      <c r="BK26" s="25"/>
      <c r="BL26" s="26"/>
      <c r="BM26" s="24"/>
      <c r="BN26" s="25"/>
      <c r="BO26" s="26"/>
    </row>
    <row r="27" spans="1:65" ht="15.75" customHeight="1">
      <c r="A27" s="40"/>
      <c r="B27" s="41"/>
      <c r="C27" s="25"/>
      <c r="D27" s="26"/>
      <c r="E27" s="24"/>
      <c r="F27" s="25"/>
      <c r="G27" s="26"/>
      <c r="H27" s="24"/>
      <c r="I27" s="25"/>
      <c r="J27" s="26"/>
      <c r="K27" s="24"/>
      <c r="L27" s="25"/>
      <c r="M27" s="26"/>
      <c r="N27" s="24"/>
      <c r="O27" s="25"/>
      <c r="P27" s="26"/>
      <c r="Q27" s="24"/>
      <c r="R27" s="25"/>
      <c r="S27" s="26"/>
      <c r="T27" s="24"/>
      <c r="U27" s="25"/>
      <c r="V27" s="26"/>
      <c r="W27" s="24"/>
      <c r="X27" s="25"/>
      <c r="Y27" s="26"/>
      <c r="Z27" s="24"/>
      <c r="AA27" s="25"/>
      <c r="AB27" s="26"/>
      <c r="AC27" s="24"/>
      <c r="AD27" s="25"/>
      <c r="AE27" s="26"/>
      <c r="AF27" s="24"/>
      <c r="AG27" s="25"/>
      <c r="AH27" s="26"/>
      <c r="AI27" s="24"/>
      <c r="AJ27" s="25"/>
      <c r="AK27" s="26"/>
      <c r="AL27" s="24"/>
      <c r="AM27" s="25"/>
      <c r="AN27" s="26"/>
      <c r="AO27" s="24"/>
      <c r="AP27" s="25"/>
      <c r="AQ27" s="26"/>
      <c r="AR27" s="24"/>
      <c r="AS27" s="25"/>
      <c r="AT27" s="26"/>
      <c r="AU27" s="24"/>
      <c r="AV27" s="25"/>
      <c r="AW27" s="26"/>
      <c r="AX27" s="24"/>
      <c r="AY27" s="25"/>
      <c r="AZ27" s="26"/>
      <c r="BA27" s="24"/>
      <c r="BB27" s="25"/>
      <c r="BC27" s="26"/>
      <c r="BD27" s="24"/>
      <c r="BE27" s="25"/>
      <c r="BF27" s="26"/>
      <c r="BG27" s="26"/>
      <c r="BH27" s="26"/>
      <c r="BI27" s="26"/>
      <c r="BJ27" s="24"/>
      <c r="BK27" s="25"/>
      <c r="BL27" s="26"/>
      <c r="BM27" s="24"/>
    </row>
    <row r="28" spans="1:65" ht="15.75" customHeight="1">
      <c r="A28" s="40"/>
      <c r="B28" s="41"/>
      <c r="C28" s="25"/>
      <c r="D28" s="26"/>
      <c r="E28" s="24"/>
      <c r="F28" s="25"/>
      <c r="G28" s="26"/>
      <c r="H28" s="24"/>
      <c r="I28" s="25"/>
      <c r="J28" s="26"/>
      <c r="K28" s="24"/>
      <c r="L28" s="25"/>
      <c r="M28" s="26"/>
      <c r="N28" s="24"/>
      <c r="O28" s="25"/>
      <c r="P28" s="26"/>
      <c r="Q28" s="24"/>
      <c r="R28" s="25"/>
      <c r="S28" s="26"/>
      <c r="T28" s="24"/>
      <c r="U28" s="25"/>
      <c r="V28" s="26"/>
      <c r="W28" s="24"/>
      <c r="X28" s="25"/>
      <c r="Y28" s="26"/>
      <c r="Z28" s="24"/>
      <c r="AA28" s="25"/>
      <c r="AB28" s="26"/>
      <c r="AC28" s="24"/>
      <c r="AD28" s="25"/>
      <c r="AE28" s="26"/>
      <c r="AF28" s="24"/>
      <c r="AG28" s="25"/>
      <c r="AH28" s="26"/>
      <c r="AI28" s="24"/>
      <c r="AJ28" s="25"/>
      <c r="AK28" s="26"/>
      <c r="AL28" s="24"/>
      <c r="AM28" s="25"/>
      <c r="AN28" s="26"/>
      <c r="AO28" s="24"/>
      <c r="AP28" s="25"/>
      <c r="AQ28" s="26"/>
      <c r="AR28" s="24"/>
      <c r="AS28" s="25"/>
      <c r="AT28" s="26"/>
      <c r="AU28" s="24"/>
      <c r="AV28" s="25"/>
      <c r="AW28" s="26"/>
      <c r="AX28" s="24"/>
      <c r="AY28" s="25"/>
      <c r="AZ28" s="26"/>
      <c r="BA28" s="24"/>
      <c r="BB28" s="25"/>
      <c r="BC28" s="26"/>
      <c r="BD28" s="24"/>
      <c r="BE28" s="25"/>
      <c r="BF28" s="26"/>
      <c r="BG28" s="26"/>
      <c r="BH28" s="26"/>
      <c r="BI28" s="26"/>
      <c r="BJ28" s="24"/>
      <c r="BK28" s="25"/>
      <c r="BL28" s="26"/>
      <c r="BM28" s="24"/>
    </row>
    <row r="29" spans="1:65" ht="15.75" customHeight="1">
      <c r="A29" s="40"/>
      <c r="B29" s="41"/>
      <c r="C29" s="25"/>
      <c r="D29" s="26"/>
      <c r="E29" s="24"/>
      <c r="F29" s="25"/>
      <c r="G29" s="26"/>
      <c r="H29" s="24"/>
      <c r="I29" s="25"/>
      <c r="J29" s="26"/>
      <c r="K29" s="24"/>
      <c r="L29" s="25"/>
      <c r="M29" s="26"/>
      <c r="N29" s="24"/>
      <c r="O29" s="25"/>
      <c r="P29" s="26"/>
      <c r="Q29" s="24"/>
      <c r="R29" s="25"/>
      <c r="S29" s="26"/>
      <c r="T29" s="24"/>
      <c r="U29" s="25"/>
      <c r="V29" s="26"/>
      <c r="W29" s="24"/>
      <c r="X29" s="25"/>
      <c r="Y29" s="26"/>
      <c r="Z29" s="24"/>
      <c r="AA29" s="25"/>
      <c r="AB29" s="26"/>
      <c r="AC29" s="24"/>
      <c r="AD29" s="25"/>
      <c r="AE29" s="26"/>
      <c r="AF29" s="24"/>
      <c r="AG29" s="25"/>
      <c r="AH29" s="26"/>
      <c r="AI29" s="24"/>
      <c r="AJ29" s="25"/>
      <c r="AK29" s="26"/>
      <c r="AL29" s="24"/>
      <c r="AM29" s="25"/>
      <c r="AN29" s="26"/>
      <c r="AO29" s="24"/>
      <c r="AP29" s="25"/>
      <c r="AQ29" s="26"/>
      <c r="AR29" s="24"/>
      <c r="AS29" s="25"/>
      <c r="AT29" s="26"/>
      <c r="AU29" s="24"/>
      <c r="AV29" s="25"/>
      <c r="AW29" s="26"/>
      <c r="AX29" s="24"/>
      <c r="AY29" s="25"/>
      <c r="AZ29" s="26"/>
      <c r="BA29" s="24"/>
      <c r="BB29" s="113"/>
      <c r="BC29" s="113"/>
      <c r="BD29" s="24"/>
      <c r="BE29" s="25"/>
      <c r="BF29" s="26"/>
      <c r="BG29" s="26"/>
      <c r="BH29" s="26"/>
      <c r="BI29" s="26"/>
      <c r="BJ29" s="24"/>
      <c r="BK29" s="25"/>
      <c r="BL29" s="26"/>
      <c r="BM29" s="24"/>
    </row>
    <row r="30" spans="1:65" ht="15.75" customHeight="1">
      <c r="A30" s="40"/>
      <c r="B30" s="41"/>
      <c r="C30" s="25"/>
      <c r="D30" s="26"/>
      <c r="E30" s="24"/>
      <c r="F30" s="25"/>
      <c r="G30" s="26"/>
      <c r="H30" s="24"/>
      <c r="I30" s="25"/>
      <c r="J30" s="26"/>
      <c r="K30" s="24"/>
      <c r="L30" s="25"/>
      <c r="M30" s="26"/>
      <c r="N30" s="24"/>
      <c r="O30" s="25"/>
      <c r="P30" s="26"/>
      <c r="Q30" s="24"/>
      <c r="R30" s="25"/>
      <c r="S30" s="26"/>
      <c r="T30" s="24"/>
      <c r="U30" s="25"/>
      <c r="V30" s="26"/>
      <c r="W30" s="24"/>
      <c r="X30" s="25"/>
      <c r="Y30" s="26"/>
      <c r="Z30" s="24"/>
      <c r="AA30" s="25"/>
      <c r="AB30" s="26"/>
      <c r="AC30" s="24"/>
      <c r="AD30" s="25"/>
      <c r="AE30" s="26"/>
      <c r="AF30" s="24"/>
      <c r="AG30" s="25"/>
      <c r="AH30" s="26"/>
      <c r="AI30" s="24"/>
      <c r="AJ30" s="25"/>
      <c r="AK30" s="26"/>
      <c r="AL30" s="24"/>
      <c r="AM30" s="25"/>
      <c r="AN30" s="26"/>
      <c r="AO30" s="24"/>
      <c r="AP30" s="25"/>
      <c r="AQ30" s="26"/>
      <c r="AR30" s="24"/>
      <c r="AS30" s="25"/>
      <c r="AT30" s="26"/>
      <c r="AU30" s="24"/>
      <c r="AV30" s="53"/>
      <c r="AW30" s="53"/>
      <c r="AX30" s="24"/>
      <c r="AY30" s="25"/>
      <c r="AZ30" s="26"/>
      <c r="BA30" s="24"/>
      <c r="BB30" s="113"/>
      <c r="BC30" s="113"/>
      <c r="BD30" s="24"/>
      <c r="BE30" s="25"/>
      <c r="BF30" s="26"/>
      <c r="BG30" s="26"/>
      <c r="BH30" s="26"/>
      <c r="BI30" s="26"/>
      <c r="BJ30" s="24"/>
      <c r="BK30" s="25"/>
      <c r="BL30" s="26"/>
      <c r="BM30" s="24"/>
    </row>
    <row r="31" spans="1:65" ht="15.75" customHeight="1">
      <c r="A31" s="40"/>
      <c r="B31" s="41"/>
      <c r="C31" s="25"/>
      <c r="D31" s="26"/>
      <c r="E31" s="24"/>
      <c r="F31" s="25"/>
      <c r="G31" s="26"/>
      <c r="H31" s="24"/>
      <c r="I31" s="25"/>
      <c r="J31" s="26"/>
      <c r="K31" s="24"/>
      <c r="L31" s="25"/>
      <c r="M31" s="26"/>
      <c r="N31" s="24"/>
      <c r="O31" s="25"/>
      <c r="P31" s="26"/>
      <c r="Q31" s="24"/>
      <c r="R31" s="25"/>
      <c r="S31" s="26"/>
      <c r="T31" s="24"/>
      <c r="U31" s="25"/>
      <c r="V31" s="26"/>
      <c r="W31" s="24"/>
      <c r="X31" s="25"/>
      <c r="Y31" s="26"/>
      <c r="Z31" s="24"/>
      <c r="AA31" s="25"/>
      <c r="AB31" s="26"/>
      <c r="AC31" s="24"/>
      <c r="AD31" s="25"/>
      <c r="AE31" s="26"/>
      <c r="AF31" s="24"/>
      <c r="AG31" s="25"/>
      <c r="AH31" s="26"/>
      <c r="AI31" s="24"/>
      <c r="AJ31" s="25"/>
      <c r="AK31" s="26"/>
      <c r="AL31" s="24"/>
      <c r="AM31" s="25"/>
      <c r="AN31" s="26"/>
      <c r="AO31" s="24"/>
      <c r="AP31" s="25"/>
      <c r="AQ31" s="26"/>
      <c r="AR31" s="24"/>
      <c r="AS31" s="25"/>
      <c r="AT31" s="26"/>
      <c r="AU31" s="24"/>
      <c r="AV31" s="85"/>
      <c r="AW31" s="85"/>
      <c r="AX31" s="24"/>
      <c r="AY31" s="25"/>
      <c r="AZ31" s="26"/>
      <c r="BA31" s="24"/>
      <c r="BB31" s="113"/>
      <c r="BC31" s="113"/>
      <c r="BD31" s="24"/>
      <c r="BE31" s="25"/>
      <c r="BF31" s="26"/>
      <c r="BG31" s="26"/>
      <c r="BH31" s="26"/>
      <c r="BI31" s="26"/>
      <c r="BJ31" s="24"/>
      <c r="BK31" s="25"/>
      <c r="BL31" s="26"/>
      <c r="BM31" s="24"/>
    </row>
    <row r="32" spans="1:65" ht="15.75" customHeight="1">
      <c r="A32" s="40"/>
      <c r="B32" s="41"/>
      <c r="C32" s="25"/>
      <c r="D32" s="26"/>
      <c r="E32" s="24"/>
      <c r="F32" s="25"/>
      <c r="G32" s="26"/>
      <c r="H32" s="24"/>
      <c r="I32" s="25"/>
      <c r="J32" s="26"/>
      <c r="K32" s="24"/>
      <c r="L32" s="25"/>
      <c r="M32" s="26"/>
      <c r="N32" s="24"/>
      <c r="O32" s="25"/>
      <c r="P32" s="26"/>
      <c r="Q32" s="24"/>
      <c r="R32" s="25"/>
      <c r="S32" s="26"/>
      <c r="T32" s="24"/>
      <c r="U32" s="25"/>
      <c r="V32" s="26"/>
      <c r="W32" s="24"/>
      <c r="X32" s="25"/>
      <c r="Y32" s="26"/>
      <c r="Z32" s="24"/>
      <c r="AA32" s="25"/>
      <c r="AB32" s="26"/>
      <c r="AC32" s="24"/>
      <c r="AD32" s="25"/>
      <c r="AE32" s="26"/>
      <c r="AF32" s="24"/>
      <c r="AG32" s="25"/>
      <c r="AH32" s="26"/>
      <c r="AI32" s="24"/>
      <c r="AJ32" s="25"/>
      <c r="AK32" s="26"/>
      <c r="AL32" s="24"/>
      <c r="AM32" s="25"/>
      <c r="AN32" s="26"/>
      <c r="AO32" s="24"/>
      <c r="AP32" s="25"/>
      <c r="AQ32" s="26"/>
      <c r="AR32" s="24"/>
      <c r="AS32" s="25"/>
      <c r="AT32" s="26"/>
      <c r="AU32" s="24"/>
      <c r="AV32" s="24"/>
      <c r="AW32" s="24"/>
      <c r="AX32" s="24"/>
      <c r="AY32" s="25"/>
      <c r="AZ32" s="26"/>
      <c r="BA32" s="24"/>
      <c r="BB32" s="113"/>
      <c r="BC32" s="113"/>
      <c r="BD32" s="24"/>
      <c r="BE32" s="25"/>
      <c r="BF32" s="26"/>
      <c r="BG32" s="26"/>
      <c r="BH32" s="26"/>
      <c r="BI32" s="26"/>
      <c r="BJ32" s="24"/>
      <c r="BK32" s="25"/>
      <c r="BL32" s="26"/>
      <c r="BM32" s="24"/>
    </row>
    <row r="33" spans="1:65" ht="15.75" customHeight="1">
      <c r="A33" s="40"/>
      <c r="B33" s="63"/>
      <c r="C33" s="25"/>
      <c r="D33" s="26"/>
      <c r="E33" s="24"/>
      <c r="F33" s="25"/>
      <c r="G33" s="26"/>
      <c r="H33" s="24"/>
      <c r="I33" s="25"/>
      <c r="J33" s="26"/>
      <c r="K33" s="24"/>
      <c r="L33" s="25"/>
      <c r="M33" s="26"/>
      <c r="N33" s="24"/>
      <c r="O33" s="25"/>
      <c r="P33" s="26"/>
      <c r="Q33" s="24"/>
      <c r="R33" s="25"/>
      <c r="S33" s="26"/>
      <c r="T33" s="24"/>
      <c r="U33" s="25"/>
      <c r="V33" s="26"/>
      <c r="W33" s="24"/>
      <c r="X33" s="25"/>
      <c r="Y33" s="26"/>
      <c r="Z33" s="24"/>
      <c r="AA33" s="25"/>
      <c r="AB33" s="26"/>
      <c r="AC33" s="24"/>
      <c r="AD33" s="25"/>
      <c r="AE33" s="26"/>
      <c r="AF33" s="24"/>
      <c r="AG33" s="25"/>
      <c r="AH33" s="26"/>
      <c r="AI33" s="24"/>
      <c r="AJ33" s="25"/>
      <c r="AK33" s="26"/>
      <c r="AL33" s="24"/>
      <c r="AM33" s="25"/>
      <c r="AN33" s="26"/>
      <c r="AO33" s="24"/>
      <c r="AP33" s="25"/>
      <c r="AQ33" s="26"/>
      <c r="AR33" s="24"/>
      <c r="AS33" s="25"/>
      <c r="AT33" s="26"/>
      <c r="AU33" s="24"/>
      <c r="AV33" s="49"/>
      <c r="AW33" s="49"/>
      <c r="AX33" s="24"/>
      <c r="AY33" s="25"/>
      <c r="AZ33" s="26"/>
      <c r="BA33" s="24"/>
      <c r="BB33" s="113"/>
      <c r="BC33" s="113"/>
      <c r="BD33" s="24"/>
      <c r="BE33" s="25"/>
      <c r="BF33" s="26"/>
      <c r="BG33" s="26"/>
      <c r="BH33" s="26"/>
      <c r="BI33" s="26"/>
      <c r="BJ33" s="24"/>
      <c r="BK33" s="25"/>
      <c r="BL33" s="26"/>
      <c r="BM33" s="24"/>
    </row>
    <row r="34" spans="1:65" ht="15.75" customHeight="1">
      <c r="A34" s="40"/>
      <c r="B34" s="63"/>
      <c r="C34" s="25"/>
      <c r="D34" s="26"/>
      <c r="E34" s="24"/>
      <c r="F34" s="25"/>
      <c r="G34" s="26"/>
      <c r="H34" s="24"/>
      <c r="I34" s="25"/>
      <c r="J34" s="26"/>
      <c r="K34" s="24"/>
      <c r="L34" s="25"/>
      <c r="M34" s="26"/>
      <c r="N34" s="24"/>
      <c r="O34" s="25"/>
      <c r="P34" s="26"/>
      <c r="Q34" s="24"/>
      <c r="R34" s="25"/>
      <c r="S34" s="26"/>
      <c r="T34" s="64"/>
      <c r="U34" s="25"/>
      <c r="V34" s="26"/>
      <c r="W34" s="24"/>
      <c r="X34" s="25"/>
      <c r="Y34" s="26"/>
      <c r="Z34" s="24"/>
      <c r="AA34" s="25"/>
      <c r="AB34" s="26"/>
      <c r="AC34" s="24"/>
      <c r="AD34" s="25"/>
      <c r="AE34" s="26"/>
      <c r="AF34" s="24"/>
      <c r="AG34" s="25"/>
      <c r="AH34" s="26"/>
      <c r="AI34" s="24"/>
      <c r="AJ34" s="25"/>
      <c r="AK34" s="26"/>
      <c r="AL34" s="24"/>
      <c r="AM34" s="25"/>
      <c r="AN34" s="26"/>
      <c r="AO34" s="24"/>
      <c r="AP34" s="25"/>
      <c r="AQ34" s="26"/>
      <c r="AR34" s="24"/>
      <c r="AS34" s="25"/>
      <c r="AT34" s="26"/>
      <c r="AU34" s="24"/>
      <c r="AV34" s="49"/>
      <c r="AW34" s="49"/>
      <c r="AX34" s="24"/>
      <c r="AY34" s="25"/>
      <c r="AZ34" s="26"/>
      <c r="BA34" s="24"/>
      <c r="BB34" s="113"/>
      <c r="BC34" s="113"/>
      <c r="BD34" s="24"/>
      <c r="BE34" s="25"/>
      <c r="BF34" s="26"/>
      <c r="BG34" s="26"/>
      <c r="BH34" s="26"/>
      <c r="BI34" s="26"/>
      <c r="BJ34" s="24"/>
      <c r="BK34" s="25"/>
      <c r="BL34" s="26"/>
      <c r="BM34" s="65"/>
    </row>
    <row r="35" spans="1:65" ht="15.75" customHeight="1">
      <c r="A35" s="40"/>
      <c r="B35" s="63"/>
      <c r="C35" s="25"/>
      <c r="D35" s="26"/>
      <c r="E35" s="24"/>
      <c r="F35" s="25"/>
      <c r="G35" s="26"/>
      <c r="H35" s="24"/>
      <c r="I35" s="25"/>
      <c r="J35" s="26"/>
      <c r="K35" s="24"/>
      <c r="L35" s="25"/>
      <c r="M35" s="26"/>
      <c r="N35" s="24"/>
      <c r="O35" s="25"/>
      <c r="P35" s="26"/>
      <c r="Q35" s="24"/>
      <c r="R35" s="25"/>
      <c r="S35" s="26"/>
      <c r="T35" s="24"/>
      <c r="U35" s="25"/>
      <c r="V35" s="26"/>
      <c r="W35" s="24"/>
      <c r="X35" s="25"/>
      <c r="Y35" s="26"/>
      <c r="Z35" s="24"/>
      <c r="AA35" s="25"/>
      <c r="AB35" s="26"/>
      <c r="AC35" s="24"/>
      <c r="AD35" s="25"/>
      <c r="AE35" s="26"/>
      <c r="AF35" s="24"/>
      <c r="AG35" s="25"/>
      <c r="AH35" s="26"/>
      <c r="AI35" s="24"/>
      <c r="AJ35" s="25"/>
      <c r="AK35" s="26"/>
      <c r="AL35" s="24"/>
      <c r="AM35" s="25"/>
      <c r="AN35" s="26"/>
      <c r="AO35" s="24"/>
      <c r="AP35" s="25"/>
      <c r="AQ35" s="26"/>
      <c r="AR35" s="24"/>
      <c r="AS35" s="25"/>
      <c r="AT35" s="26"/>
      <c r="AU35" s="24"/>
      <c r="AV35" s="49"/>
      <c r="AW35" s="49"/>
      <c r="AX35" s="24"/>
      <c r="AY35" s="25"/>
      <c r="AZ35" s="26"/>
      <c r="BA35" s="24"/>
      <c r="BB35" s="113"/>
      <c r="BC35" s="113"/>
      <c r="BD35" s="24"/>
      <c r="BE35" s="25"/>
      <c r="BF35" s="26"/>
      <c r="BG35" s="26"/>
      <c r="BH35" s="26"/>
      <c r="BI35" s="26"/>
      <c r="BJ35" s="24"/>
      <c r="BK35" s="25"/>
      <c r="BL35" s="26"/>
      <c r="BM35" s="65"/>
    </row>
    <row r="36" spans="1:65" ht="15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49"/>
      <c r="AW36" s="49"/>
      <c r="AX36" s="66"/>
      <c r="AY36" s="66"/>
      <c r="AZ36" s="66"/>
      <c r="BA36" s="66"/>
      <c r="BB36" s="121"/>
      <c r="BC36" s="121"/>
      <c r="BD36" s="66"/>
      <c r="BE36" s="66"/>
      <c r="BF36" s="66"/>
      <c r="BG36" s="66"/>
      <c r="BH36" s="66"/>
      <c r="BI36" s="66"/>
      <c r="BJ36" s="67"/>
      <c r="BK36" s="66"/>
      <c r="BL36" s="66"/>
      <c r="BM36" s="67"/>
    </row>
    <row r="37" spans="1:65" ht="15.7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39"/>
      <c r="AW37" s="39"/>
      <c r="AX37" s="57"/>
      <c r="AY37" s="57"/>
      <c r="AZ37" s="57"/>
      <c r="BA37" s="57"/>
      <c r="BB37" s="122"/>
      <c r="BC37" s="122"/>
      <c r="BD37" s="57"/>
      <c r="BE37" s="57"/>
      <c r="BF37" s="57"/>
      <c r="BG37" s="57"/>
      <c r="BH37" s="57"/>
      <c r="BI37" s="57"/>
      <c r="BJ37" s="57"/>
      <c r="BK37" s="57"/>
      <c r="BL37" s="57"/>
      <c r="BM37" s="57"/>
    </row>
    <row r="38" spans="1:65" ht="15.7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122"/>
      <c r="BC38" s="122"/>
      <c r="BD38" s="57"/>
      <c r="BE38" s="57"/>
      <c r="BF38" s="57"/>
      <c r="BG38" s="57"/>
      <c r="BH38" s="57"/>
      <c r="BI38" s="57"/>
      <c r="BJ38" s="57"/>
      <c r="BK38" s="57"/>
      <c r="BL38" s="57"/>
      <c r="BM38" s="57"/>
    </row>
    <row r="39" spans="1:65" ht="15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122"/>
      <c r="BC39" s="122"/>
      <c r="BD39" s="57"/>
      <c r="BE39" s="57"/>
      <c r="BF39" s="57"/>
      <c r="BG39" s="57"/>
      <c r="BH39" s="57"/>
      <c r="BI39" s="57"/>
      <c r="BJ39" s="57"/>
      <c r="BK39" s="57"/>
      <c r="BL39" s="57"/>
      <c r="BM39" s="57"/>
    </row>
    <row r="40" spans="1:65" ht="15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122"/>
      <c r="BC40" s="122"/>
      <c r="BD40" s="57"/>
      <c r="BE40" s="57"/>
      <c r="BF40" s="57"/>
      <c r="BG40" s="57"/>
      <c r="BH40" s="57"/>
      <c r="BI40" s="57"/>
      <c r="BJ40" s="57"/>
      <c r="BK40" s="57"/>
      <c r="BL40" s="57"/>
      <c r="BM40" s="57"/>
    </row>
    <row r="41" spans="1:65" ht="15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122"/>
      <c r="BC41" s="122"/>
      <c r="BD41" s="57"/>
      <c r="BE41" s="57"/>
      <c r="BF41" s="57"/>
      <c r="BG41" s="57"/>
      <c r="BH41" s="57"/>
      <c r="BI41" s="57"/>
      <c r="BJ41" s="57"/>
      <c r="BK41" s="57"/>
      <c r="BL41" s="57"/>
      <c r="BM41" s="57"/>
    </row>
    <row r="42" spans="1:65" ht="15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</row>
    <row r="43" spans="1:65" ht="15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122"/>
      <c r="BC43" s="57"/>
      <c r="BD43" s="57"/>
      <c r="BE43" s="123"/>
      <c r="BF43" s="57"/>
      <c r="BG43" s="57"/>
      <c r="BH43" s="57"/>
      <c r="BI43" s="57"/>
      <c r="BJ43" s="57"/>
      <c r="BK43" s="57"/>
      <c r="BL43" s="57"/>
      <c r="BM43" s="57"/>
    </row>
    <row r="44" spans="1:65" ht="15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122"/>
      <c r="BC44" s="57"/>
      <c r="BD44" s="57"/>
      <c r="BE44" s="123"/>
      <c r="BF44" s="57"/>
      <c r="BG44" s="57"/>
      <c r="BH44" s="57"/>
      <c r="BI44" s="57"/>
      <c r="BJ44" s="57"/>
      <c r="BK44" s="57"/>
      <c r="BL44" s="57"/>
      <c r="BM44" s="57"/>
    </row>
    <row r="45" spans="1:65" ht="15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122"/>
      <c r="BC45" s="57"/>
      <c r="BD45" s="57"/>
      <c r="BE45" s="123"/>
      <c r="BF45" s="57"/>
      <c r="BG45" s="57"/>
      <c r="BH45" s="57"/>
      <c r="BI45" s="57"/>
      <c r="BJ45" s="57"/>
      <c r="BK45" s="57"/>
      <c r="BL45" s="57"/>
      <c r="BM45" s="57"/>
    </row>
    <row r="46" spans="1:65" ht="15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122"/>
      <c r="BC46" s="57"/>
      <c r="BD46" s="57"/>
      <c r="BE46" s="123"/>
      <c r="BF46" s="57"/>
      <c r="BG46" s="57"/>
      <c r="BH46" s="57"/>
      <c r="BI46" s="57"/>
      <c r="BJ46" s="57"/>
      <c r="BK46" s="57"/>
      <c r="BL46" s="57"/>
      <c r="BM46" s="57"/>
    </row>
    <row r="47" spans="1:65" ht="15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122"/>
      <c r="BC47" s="57"/>
      <c r="BD47" s="57"/>
      <c r="BE47" s="123"/>
      <c r="BF47" s="57"/>
      <c r="BG47" s="57"/>
      <c r="BH47" s="57"/>
      <c r="BI47" s="57"/>
      <c r="BJ47" s="57"/>
      <c r="BK47" s="57"/>
      <c r="BL47" s="57"/>
      <c r="BM47" s="57"/>
    </row>
    <row r="48" spans="1:65" ht="15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122"/>
      <c r="BC48" s="57"/>
      <c r="BD48" s="57"/>
      <c r="BE48" s="123"/>
      <c r="BF48" s="57"/>
      <c r="BG48" s="57"/>
      <c r="BH48" s="57"/>
      <c r="BI48" s="57"/>
      <c r="BJ48" s="57"/>
      <c r="BK48" s="57"/>
      <c r="BL48" s="57"/>
      <c r="BM48" s="57"/>
    </row>
    <row r="49" spans="1:65" ht="15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122"/>
      <c r="BC49" s="57"/>
      <c r="BD49" s="57"/>
      <c r="BE49" s="123"/>
      <c r="BF49" s="57"/>
      <c r="BG49" s="57"/>
      <c r="BH49" s="57"/>
      <c r="BI49" s="57"/>
      <c r="BJ49" s="57"/>
      <c r="BK49" s="57"/>
      <c r="BL49" s="57"/>
      <c r="BM49" s="57"/>
    </row>
    <row r="50" spans="1:65" ht="15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122"/>
      <c r="BC50" s="57"/>
      <c r="BD50" s="57"/>
      <c r="BE50" s="123"/>
      <c r="BF50" s="57"/>
      <c r="BG50" s="57"/>
      <c r="BH50" s="57"/>
      <c r="BI50" s="57"/>
      <c r="BJ50" s="57"/>
      <c r="BK50" s="57"/>
      <c r="BL50" s="57"/>
      <c r="BM50" s="57"/>
    </row>
    <row r="51" spans="1:65" ht="15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122"/>
      <c r="BC51" s="57"/>
      <c r="BD51" s="57"/>
      <c r="BE51" s="123"/>
      <c r="BF51" s="57"/>
      <c r="BG51" s="57"/>
      <c r="BH51" s="57"/>
      <c r="BI51" s="57"/>
      <c r="BJ51" s="57"/>
      <c r="BK51" s="57"/>
      <c r="BL51" s="57"/>
      <c r="BM51" s="57"/>
    </row>
    <row r="52" spans="1:65" ht="15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122"/>
      <c r="BC52" s="57"/>
      <c r="BD52" s="57"/>
      <c r="BE52" s="123"/>
      <c r="BF52" s="57"/>
      <c r="BG52" s="57"/>
      <c r="BH52" s="57"/>
      <c r="BI52" s="57"/>
      <c r="BJ52" s="57"/>
      <c r="BK52" s="57"/>
      <c r="BL52" s="57"/>
      <c r="BM52" s="57"/>
    </row>
    <row r="53" spans="54:57" ht="15.75" customHeight="1">
      <c r="BB53" s="122"/>
      <c r="BC53" s="57"/>
      <c r="BE53" s="123"/>
    </row>
    <row r="54" spans="54:57" ht="15.75" customHeight="1">
      <c r="BB54" s="122"/>
      <c r="BC54" s="57"/>
      <c r="BE54" s="123"/>
    </row>
    <row r="55" spans="54:57" ht="15.75" customHeight="1">
      <c r="BB55" s="122"/>
      <c r="BC55" s="57"/>
      <c r="BE55" s="123"/>
    </row>
    <row r="56" spans="54:57" ht="15.75" customHeight="1">
      <c r="BB56" s="122"/>
      <c r="BE56" s="123"/>
    </row>
    <row r="57" ht="15.75" customHeight="1">
      <c r="BB57" s="122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&amp;L&amp;"Helv,Bold"&amp;12Departamenti i Teknologjise &amp; Informacionit
Sektori i Informacionit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52"/>
  <sheetViews>
    <sheetView zoomScale="85" zoomScaleNormal="85" zoomScalePageLayoutView="0" workbookViewId="0" topLeftCell="A1">
      <pane xSplit="2" ySplit="11" topLeftCell="BN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:IV16384"/>
    </sheetView>
  </sheetViews>
  <sheetFormatPr defaultColWidth="13.28125" defaultRowHeight="15.75" customHeight="1"/>
  <cols>
    <col min="1" max="1" width="6.28125" style="34" customWidth="1"/>
    <col min="2" max="2" width="30.8515625" style="79" customWidth="1"/>
    <col min="3" max="3" width="25.421875" style="34" customWidth="1"/>
    <col min="4" max="4" width="12.421875" style="34" customWidth="1"/>
    <col min="5" max="5" width="7.57421875" style="34" customWidth="1"/>
    <col min="6" max="6" width="21.57421875" style="34" customWidth="1"/>
    <col min="7" max="7" width="18.421875" style="34" customWidth="1"/>
    <col min="8" max="8" width="6.421875" style="34" customWidth="1"/>
    <col min="9" max="9" width="24.00390625" style="34" customWidth="1"/>
    <col min="10" max="10" width="14.00390625" style="34" customWidth="1"/>
    <col min="11" max="11" width="7.8515625" style="34" customWidth="1"/>
    <col min="12" max="12" width="26.00390625" style="34" customWidth="1"/>
    <col min="13" max="13" width="13.8515625" style="34" customWidth="1"/>
    <col min="14" max="14" width="8.00390625" style="34" customWidth="1"/>
    <col min="15" max="15" width="24.140625" style="34" customWidth="1"/>
    <col min="16" max="16" width="14.00390625" style="34" customWidth="1"/>
    <col min="17" max="17" width="7.00390625" style="34" customWidth="1"/>
    <col min="18" max="18" width="21.7109375" style="34" customWidth="1"/>
    <col min="19" max="19" width="15.00390625" style="34" customWidth="1"/>
    <col min="20" max="20" width="5.57421875" style="34" customWidth="1"/>
    <col min="21" max="21" width="25.7109375" style="34" customWidth="1"/>
    <col min="22" max="22" width="15.8515625" style="34" customWidth="1"/>
    <col min="23" max="23" width="6.7109375" style="34" customWidth="1"/>
    <col min="24" max="24" width="23.00390625" style="34" customWidth="1"/>
    <col min="25" max="25" width="13.8515625" style="34" customWidth="1"/>
    <col min="26" max="26" width="7.140625" style="34" customWidth="1"/>
    <col min="27" max="27" width="24.00390625" style="34" customWidth="1"/>
    <col min="28" max="28" width="15.7109375" style="34" customWidth="1"/>
    <col min="29" max="29" width="7.421875" style="34" customWidth="1"/>
    <col min="30" max="30" width="25.140625" style="34" customWidth="1"/>
    <col min="31" max="31" width="14.00390625" style="34" customWidth="1"/>
    <col min="32" max="32" width="6.7109375" style="34" customWidth="1"/>
    <col min="33" max="33" width="22.7109375" style="34" customWidth="1"/>
    <col min="34" max="34" width="13.421875" style="34" customWidth="1"/>
    <col min="35" max="35" width="8.140625" style="34" customWidth="1"/>
    <col min="36" max="36" width="24.00390625" style="34" customWidth="1"/>
    <col min="37" max="37" width="13.7109375" style="34" customWidth="1"/>
    <col min="38" max="38" width="7.57421875" style="34" customWidth="1"/>
    <col min="39" max="39" width="27.140625" style="34" customWidth="1"/>
    <col min="40" max="40" width="12.421875" style="34" customWidth="1"/>
    <col min="41" max="41" width="9.57421875" style="34" customWidth="1"/>
    <col min="42" max="42" width="21.8515625" style="34" customWidth="1"/>
    <col min="43" max="43" width="14.28125" style="34" customWidth="1"/>
    <col min="44" max="44" width="8.57421875" style="34" customWidth="1"/>
    <col min="45" max="45" width="25.28125" style="34" customWidth="1"/>
    <col min="46" max="46" width="13.421875" style="34" customWidth="1"/>
    <col min="47" max="47" width="7.8515625" style="34" customWidth="1"/>
    <col min="48" max="48" width="22.7109375" style="34" customWidth="1"/>
    <col min="49" max="49" width="14.421875" style="34" customWidth="1"/>
    <col min="50" max="50" width="8.57421875" style="34" customWidth="1"/>
    <col min="51" max="51" width="26.421875" style="34" customWidth="1"/>
    <col min="52" max="52" width="13.140625" style="34" customWidth="1"/>
    <col min="53" max="53" width="9.7109375" style="34" customWidth="1"/>
    <col min="54" max="54" width="25.28125" style="34" customWidth="1"/>
    <col min="55" max="55" width="15.421875" style="34" customWidth="1"/>
    <col min="56" max="56" width="8.57421875" style="34" customWidth="1"/>
    <col min="57" max="57" width="25.28125" style="34" customWidth="1"/>
    <col min="58" max="58" width="12.8515625" style="34" customWidth="1"/>
    <col min="59" max="59" width="8.140625" style="34" customWidth="1"/>
    <col min="60" max="60" width="24.421875" style="34" customWidth="1"/>
    <col min="61" max="61" width="17.00390625" style="34" customWidth="1"/>
    <col min="62" max="62" width="9.421875" style="34" customWidth="1"/>
    <col min="63" max="63" width="23.8515625" style="34" customWidth="1"/>
    <col min="64" max="64" width="17.00390625" style="34" customWidth="1"/>
    <col min="65" max="65" width="7.8515625" style="34" customWidth="1"/>
    <col min="66" max="66" width="27.7109375" style="34" customWidth="1"/>
    <col min="67" max="67" width="14.8515625" style="34" customWidth="1"/>
    <col min="68" max="68" width="8.57421875" style="34" customWidth="1"/>
    <col min="69" max="69" width="24.421875" style="34" customWidth="1"/>
    <col min="70" max="70" width="14.28125" style="34" customWidth="1"/>
    <col min="71" max="71" width="10.7109375" style="83" customWidth="1"/>
    <col min="72" max="72" width="22.57421875" style="34" customWidth="1"/>
    <col min="73" max="73" width="14.140625" style="34" customWidth="1"/>
    <col min="74" max="74" width="9.140625" style="83" customWidth="1"/>
    <col min="75" max="75" width="21.7109375" style="83" customWidth="1"/>
    <col min="76" max="76" width="13.140625" style="83" customWidth="1"/>
    <col min="77" max="105" width="13.28125" style="83" customWidth="1"/>
    <col min="106" max="16384" width="13.28125" style="34" customWidth="1"/>
  </cols>
  <sheetData>
    <row r="1" spans="1:77" ht="15.75" customHeight="1">
      <c r="A1" s="84" t="s">
        <v>0</v>
      </c>
      <c r="B1" s="68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 t="s">
        <v>1</v>
      </c>
      <c r="AC1" s="24"/>
      <c r="AD1" s="24"/>
      <c r="AE1" s="24"/>
      <c r="AF1" s="24"/>
      <c r="AG1" s="24"/>
      <c r="AH1" s="91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56"/>
      <c r="BV1" s="82"/>
      <c r="BW1" s="82"/>
      <c r="BX1" s="67"/>
      <c r="BY1" s="67"/>
    </row>
    <row r="2" spans="1:77" ht="15.75" customHeight="1">
      <c r="A2" s="84"/>
      <c r="B2" s="68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91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67"/>
      <c r="BY2" s="67"/>
    </row>
    <row r="3" spans="1:77" ht="15.75" customHeight="1">
      <c r="A3" s="24"/>
      <c r="B3" s="69" t="s">
        <v>224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67"/>
      <c r="BY3" s="67"/>
    </row>
    <row r="4" spans="1:105" s="104" customFormat="1" ht="15.75" customHeight="1" thickBot="1">
      <c r="A4" s="99" t="s">
        <v>2</v>
      </c>
      <c r="B4" s="100"/>
      <c r="C4" s="101" t="s">
        <v>225</v>
      </c>
      <c r="D4" s="101"/>
      <c r="E4" s="102"/>
      <c r="F4" s="101" t="s">
        <v>226</v>
      </c>
      <c r="G4" s="101"/>
      <c r="H4" s="102"/>
      <c r="I4" s="101" t="s">
        <v>227</v>
      </c>
      <c r="J4" s="101"/>
      <c r="K4" s="101"/>
      <c r="L4" s="101" t="s">
        <v>228</v>
      </c>
      <c r="M4" s="101"/>
      <c r="N4" s="102"/>
      <c r="O4" s="101" t="s">
        <v>229</v>
      </c>
      <c r="P4" s="101"/>
      <c r="Q4" s="102"/>
      <c r="R4" s="101" t="s">
        <v>230</v>
      </c>
      <c r="S4" s="101"/>
      <c r="T4" s="101"/>
      <c r="U4" s="101" t="s">
        <v>231</v>
      </c>
      <c r="V4" s="101"/>
      <c r="W4" s="101"/>
      <c r="X4" s="101" t="s">
        <v>232</v>
      </c>
      <c r="Y4" s="101"/>
      <c r="Z4" s="102"/>
      <c r="AA4" s="101" t="s">
        <v>233</v>
      </c>
      <c r="AB4" s="101"/>
      <c r="AC4" s="102"/>
      <c r="AD4" s="101" t="s">
        <v>234</v>
      </c>
      <c r="AE4" s="101"/>
      <c r="AF4" s="102"/>
      <c r="AG4" s="101" t="s">
        <v>235</v>
      </c>
      <c r="AH4" s="101"/>
      <c r="AI4" s="102"/>
      <c r="AJ4" s="101" t="s">
        <v>236</v>
      </c>
      <c r="AK4" s="101"/>
      <c r="AL4" s="102"/>
      <c r="AM4" s="101" t="s">
        <v>237</v>
      </c>
      <c r="AN4" s="101"/>
      <c r="AO4" s="102"/>
      <c r="AP4" s="101" t="s">
        <v>238</v>
      </c>
      <c r="AQ4" s="101"/>
      <c r="AR4" s="102"/>
      <c r="AS4" s="101" t="s">
        <v>239</v>
      </c>
      <c r="AT4" s="101"/>
      <c r="AU4" s="102"/>
      <c r="AV4" s="101" t="s">
        <v>240</v>
      </c>
      <c r="AW4" s="101"/>
      <c r="AX4" s="102"/>
      <c r="AY4" s="101" t="s">
        <v>241</v>
      </c>
      <c r="AZ4" s="101"/>
      <c r="BA4" s="102"/>
      <c r="BB4" s="101" t="s">
        <v>242</v>
      </c>
      <c r="BC4" s="101"/>
      <c r="BD4" s="102"/>
      <c r="BE4" s="101" t="s">
        <v>243</v>
      </c>
      <c r="BF4" s="103"/>
      <c r="BG4" s="103"/>
      <c r="BH4" s="101" t="s">
        <v>244</v>
      </c>
      <c r="BI4" s="101"/>
      <c r="BJ4" s="101"/>
      <c r="BK4" s="101" t="s">
        <v>245</v>
      </c>
      <c r="BL4" s="101"/>
      <c r="BM4" s="101"/>
      <c r="BN4" s="101" t="s">
        <v>246</v>
      </c>
      <c r="BO4" s="101"/>
      <c r="BP4" s="101"/>
      <c r="BQ4" s="101" t="s">
        <v>3</v>
      </c>
      <c r="BR4" s="101"/>
      <c r="BS4" s="84"/>
      <c r="BT4" s="84"/>
      <c r="BU4" s="84"/>
      <c r="BV4" s="84"/>
      <c r="BW4" s="84"/>
      <c r="BX4" s="84"/>
      <c r="BY4" s="85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</row>
    <row r="5" spans="1:77" ht="15.75" customHeight="1" thickTop="1">
      <c r="A5" s="24"/>
      <c r="B5" s="70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</row>
    <row r="6" spans="1:77" ht="15" customHeight="1">
      <c r="A6" s="24"/>
      <c r="B6" s="70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</row>
    <row r="7" spans="1:77" ht="15.75" customHeight="1">
      <c r="A7" s="27"/>
      <c r="B7" s="70"/>
      <c r="C7" s="28" t="s">
        <v>4</v>
      </c>
      <c r="D7" s="28" t="s">
        <v>4</v>
      </c>
      <c r="E7" s="28"/>
      <c r="F7" s="28" t="s">
        <v>4</v>
      </c>
      <c r="G7" s="28" t="s">
        <v>4</v>
      </c>
      <c r="H7" s="28"/>
      <c r="I7" s="28" t="s">
        <v>4</v>
      </c>
      <c r="J7" s="28" t="s">
        <v>4</v>
      </c>
      <c r="K7" s="28"/>
      <c r="L7" s="28" t="s">
        <v>4</v>
      </c>
      <c r="M7" s="28" t="s">
        <v>4</v>
      </c>
      <c r="N7" s="28"/>
      <c r="O7" s="28" t="s">
        <v>4</v>
      </c>
      <c r="P7" s="28" t="s">
        <v>4</v>
      </c>
      <c r="Q7" s="28"/>
      <c r="R7" s="28" t="s">
        <v>4</v>
      </c>
      <c r="S7" s="28" t="s">
        <v>4</v>
      </c>
      <c r="T7" s="28"/>
      <c r="U7" s="28" t="s">
        <v>4</v>
      </c>
      <c r="V7" s="28" t="s">
        <v>4</v>
      </c>
      <c r="W7" s="28"/>
      <c r="X7" s="28" t="s">
        <v>4</v>
      </c>
      <c r="Y7" s="28" t="s">
        <v>4</v>
      </c>
      <c r="Z7" s="28"/>
      <c r="AA7" s="28" t="s">
        <v>4</v>
      </c>
      <c r="AB7" s="28" t="s">
        <v>4</v>
      </c>
      <c r="AC7" s="28"/>
      <c r="AD7" s="28" t="s">
        <v>4</v>
      </c>
      <c r="AE7" s="28" t="s">
        <v>4</v>
      </c>
      <c r="AF7" s="28"/>
      <c r="AG7" s="28" t="s">
        <v>4</v>
      </c>
      <c r="AH7" s="28" t="s">
        <v>4</v>
      </c>
      <c r="AI7" s="28"/>
      <c r="AJ7" s="28" t="s">
        <v>4</v>
      </c>
      <c r="AK7" s="28" t="s">
        <v>4</v>
      </c>
      <c r="AL7" s="28"/>
      <c r="AM7" s="28" t="s">
        <v>4</v>
      </c>
      <c r="AN7" s="28" t="s">
        <v>4</v>
      </c>
      <c r="AO7" s="28"/>
      <c r="AP7" s="28" t="s">
        <v>4</v>
      </c>
      <c r="AQ7" s="28" t="s">
        <v>4</v>
      </c>
      <c r="AR7" s="28"/>
      <c r="AS7" s="28" t="s">
        <v>4</v>
      </c>
      <c r="AT7" s="28" t="s">
        <v>4</v>
      </c>
      <c r="AU7" s="28"/>
      <c r="AV7" s="28" t="s">
        <v>4</v>
      </c>
      <c r="AW7" s="28" t="s">
        <v>4</v>
      </c>
      <c r="AX7" s="28"/>
      <c r="AY7" s="28" t="s">
        <v>4</v>
      </c>
      <c r="AZ7" s="28" t="s">
        <v>4</v>
      </c>
      <c r="BA7" s="28"/>
      <c r="BB7" s="28" t="s">
        <v>4</v>
      </c>
      <c r="BC7" s="28" t="s">
        <v>4</v>
      </c>
      <c r="BD7" s="28"/>
      <c r="BE7" s="28" t="s">
        <v>4</v>
      </c>
      <c r="BF7" s="28" t="s">
        <v>4</v>
      </c>
      <c r="BG7" s="28"/>
      <c r="BH7" s="28" t="s">
        <v>4</v>
      </c>
      <c r="BI7" s="28" t="s">
        <v>4</v>
      </c>
      <c r="BJ7" s="28"/>
      <c r="BK7" s="28" t="s">
        <v>4</v>
      </c>
      <c r="BL7" s="28" t="s">
        <v>4</v>
      </c>
      <c r="BM7" s="28"/>
      <c r="BN7" s="28" t="s">
        <v>4</v>
      </c>
      <c r="BO7" s="28" t="s">
        <v>4</v>
      </c>
      <c r="BP7" s="28"/>
      <c r="BQ7" s="28" t="s">
        <v>5</v>
      </c>
      <c r="BR7" s="28" t="s">
        <v>5</v>
      </c>
      <c r="BS7" s="28"/>
      <c r="BT7" s="28"/>
      <c r="BU7" s="28"/>
      <c r="BV7" s="28"/>
      <c r="BW7" s="28"/>
      <c r="BX7" s="28"/>
      <c r="BY7" s="28"/>
    </row>
    <row r="8" spans="1:77" ht="15.75" customHeight="1">
      <c r="A8" s="24"/>
      <c r="B8" s="72" t="s">
        <v>6</v>
      </c>
      <c r="C8" s="28" t="s">
        <v>7</v>
      </c>
      <c r="D8" s="28" t="s">
        <v>7</v>
      </c>
      <c r="E8" s="28"/>
      <c r="F8" s="28" t="s">
        <v>7</v>
      </c>
      <c r="G8" s="28" t="s">
        <v>7</v>
      </c>
      <c r="H8" s="28"/>
      <c r="I8" s="28" t="s">
        <v>7</v>
      </c>
      <c r="J8" s="28" t="s">
        <v>7</v>
      </c>
      <c r="K8" s="28"/>
      <c r="L8" s="28" t="s">
        <v>7</v>
      </c>
      <c r="M8" s="28" t="s">
        <v>7</v>
      </c>
      <c r="N8" s="28"/>
      <c r="O8" s="28" t="s">
        <v>7</v>
      </c>
      <c r="P8" s="28" t="s">
        <v>7</v>
      </c>
      <c r="Q8" s="28"/>
      <c r="R8" s="28" t="s">
        <v>7</v>
      </c>
      <c r="S8" s="28" t="s">
        <v>7</v>
      </c>
      <c r="T8" s="28"/>
      <c r="U8" s="28" t="s">
        <v>7</v>
      </c>
      <c r="V8" s="28" t="s">
        <v>7</v>
      </c>
      <c r="W8" s="28"/>
      <c r="X8" s="28" t="s">
        <v>7</v>
      </c>
      <c r="Y8" s="28" t="s">
        <v>7</v>
      </c>
      <c r="Z8" s="28"/>
      <c r="AA8" s="28" t="s">
        <v>7</v>
      </c>
      <c r="AB8" s="28" t="s">
        <v>7</v>
      </c>
      <c r="AC8" s="28"/>
      <c r="AD8" s="28" t="s">
        <v>7</v>
      </c>
      <c r="AE8" s="28" t="s">
        <v>7</v>
      </c>
      <c r="AF8" s="28"/>
      <c r="AG8" s="28" t="s">
        <v>7</v>
      </c>
      <c r="AH8" s="28" t="s">
        <v>7</v>
      </c>
      <c r="AI8" s="28"/>
      <c r="AJ8" s="28" t="s">
        <v>7</v>
      </c>
      <c r="AK8" s="28" t="s">
        <v>7</v>
      </c>
      <c r="AL8" s="28"/>
      <c r="AM8" s="28" t="s">
        <v>7</v>
      </c>
      <c r="AN8" s="28" t="s">
        <v>7</v>
      </c>
      <c r="AO8" s="28"/>
      <c r="AP8" s="28" t="s">
        <v>7</v>
      </c>
      <c r="AQ8" s="28" t="s">
        <v>7</v>
      </c>
      <c r="AR8" s="28"/>
      <c r="AS8" s="28" t="s">
        <v>7</v>
      </c>
      <c r="AT8" s="28" t="s">
        <v>7</v>
      </c>
      <c r="AU8" s="28"/>
      <c r="AV8" s="28" t="s">
        <v>7</v>
      </c>
      <c r="AW8" s="28" t="s">
        <v>7</v>
      </c>
      <c r="AX8" s="28"/>
      <c r="AY8" s="28" t="s">
        <v>7</v>
      </c>
      <c r="AZ8" s="28" t="s">
        <v>7</v>
      </c>
      <c r="BA8" s="28"/>
      <c r="BB8" s="28" t="s">
        <v>7</v>
      </c>
      <c r="BC8" s="28" t="s">
        <v>7</v>
      </c>
      <c r="BD8" s="28"/>
      <c r="BE8" s="28" t="s">
        <v>7</v>
      </c>
      <c r="BF8" s="28" t="s">
        <v>7</v>
      </c>
      <c r="BG8" s="28"/>
      <c r="BH8" s="28" t="s">
        <v>7</v>
      </c>
      <c r="BI8" s="28" t="s">
        <v>7</v>
      </c>
      <c r="BJ8" s="28"/>
      <c r="BK8" s="28" t="s">
        <v>7</v>
      </c>
      <c r="BL8" s="28" t="s">
        <v>7</v>
      </c>
      <c r="BM8" s="28"/>
      <c r="BN8" s="28" t="s">
        <v>7</v>
      </c>
      <c r="BO8" s="28" t="s">
        <v>7</v>
      </c>
      <c r="BP8" s="28"/>
      <c r="BQ8" s="28" t="s">
        <v>8</v>
      </c>
      <c r="BR8" s="28" t="s">
        <v>9</v>
      </c>
      <c r="BS8" s="28"/>
      <c r="BT8" s="28"/>
      <c r="BU8" s="28"/>
      <c r="BV8" s="28"/>
      <c r="BW8" s="28"/>
      <c r="BX8" s="28"/>
      <c r="BY8" s="28"/>
    </row>
    <row r="9" spans="1:77" ht="15.75" customHeight="1">
      <c r="A9" s="24"/>
      <c r="B9" s="70"/>
      <c r="C9" s="28" t="s">
        <v>10</v>
      </c>
      <c r="D9" s="28" t="s">
        <v>9</v>
      </c>
      <c r="E9" s="28"/>
      <c r="F9" s="28" t="s">
        <v>10</v>
      </c>
      <c r="G9" s="28" t="s">
        <v>9</v>
      </c>
      <c r="H9" s="28"/>
      <c r="I9" s="28" t="s">
        <v>10</v>
      </c>
      <c r="J9" s="28" t="s">
        <v>9</v>
      </c>
      <c r="K9" s="28"/>
      <c r="L9" s="28" t="s">
        <v>10</v>
      </c>
      <c r="M9" s="28" t="s">
        <v>9</v>
      </c>
      <c r="N9" s="28"/>
      <c r="O9" s="28" t="s">
        <v>10</v>
      </c>
      <c r="P9" s="28" t="s">
        <v>9</v>
      </c>
      <c r="Q9" s="28"/>
      <c r="R9" s="28" t="s">
        <v>10</v>
      </c>
      <c r="S9" s="28" t="s">
        <v>9</v>
      </c>
      <c r="T9" s="28"/>
      <c r="U9" s="28" t="s">
        <v>10</v>
      </c>
      <c r="V9" s="28" t="s">
        <v>9</v>
      </c>
      <c r="W9" s="28"/>
      <c r="X9" s="28" t="s">
        <v>10</v>
      </c>
      <c r="Y9" s="28" t="s">
        <v>9</v>
      </c>
      <c r="Z9" s="28"/>
      <c r="AA9" s="28" t="s">
        <v>10</v>
      </c>
      <c r="AB9" s="28" t="s">
        <v>9</v>
      </c>
      <c r="AC9" s="28"/>
      <c r="AD9" s="28" t="s">
        <v>10</v>
      </c>
      <c r="AE9" s="28" t="s">
        <v>9</v>
      </c>
      <c r="AF9" s="28"/>
      <c r="AG9" s="28" t="s">
        <v>10</v>
      </c>
      <c r="AH9" s="28" t="s">
        <v>9</v>
      </c>
      <c r="AI9" s="28"/>
      <c r="AJ9" s="28" t="s">
        <v>10</v>
      </c>
      <c r="AK9" s="28" t="s">
        <v>9</v>
      </c>
      <c r="AL9" s="28"/>
      <c r="AM9" s="28" t="s">
        <v>10</v>
      </c>
      <c r="AN9" s="28" t="s">
        <v>9</v>
      </c>
      <c r="AO9" s="28"/>
      <c r="AP9" s="28" t="s">
        <v>10</v>
      </c>
      <c r="AQ9" s="28" t="s">
        <v>9</v>
      </c>
      <c r="AR9" s="28"/>
      <c r="AS9" s="28" t="s">
        <v>10</v>
      </c>
      <c r="AT9" s="28" t="s">
        <v>9</v>
      </c>
      <c r="AU9" s="28"/>
      <c r="AV9" s="28" t="s">
        <v>10</v>
      </c>
      <c r="AW9" s="28" t="s">
        <v>9</v>
      </c>
      <c r="AX9" s="28"/>
      <c r="AY9" s="28" t="s">
        <v>10</v>
      </c>
      <c r="AZ9" s="28" t="s">
        <v>9</v>
      </c>
      <c r="BA9" s="28"/>
      <c r="BB9" s="28" t="s">
        <v>10</v>
      </c>
      <c r="BC9" s="28" t="s">
        <v>9</v>
      </c>
      <c r="BD9" s="28"/>
      <c r="BE9" s="28" t="s">
        <v>10</v>
      </c>
      <c r="BF9" s="28" t="s">
        <v>9</v>
      </c>
      <c r="BG9" s="28"/>
      <c r="BH9" s="28" t="s">
        <v>10</v>
      </c>
      <c r="BI9" s="28" t="s">
        <v>9</v>
      </c>
      <c r="BJ9" s="28"/>
      <c r="BK9" s="28" t="s">
        <v>10</v>
      </c>
      <c r="BL9" s="28" t="s">
        <v>9</v>
      </c>
      <c r="BM9" s="28"/>
      <c r="BN9" s="28" t="s">
        <v>10</v>
      </c>
      <c r="BO9" s="28" t="s">
        <v>9</v>
      </c>
      <c r="BP9" s="28"/>
      <c r="BQ9" s="28" t="s">
        <v>7</v>
      </c>
      <c r="BR9" s="28" t="s">
        <v>11</v>
      </c>
      <c r="BS9" s="28"/>
      <c r="BT9" s="28"/>
      <c r="BU9" s="28"/>
      <c r="BV9" s="28"/>
      <c r="BW9" s="28"/>
      <c r="BX9" s="28"/>
      <c r="BY9" s="28"/>
    </row>
    <row r="10" spans="1:78" s="83" customFormat="1" ht="15.75" customHeight="1">
      <c r="A10" s="24"/>
      <c r="B10" s="70"/>
      <c r="C10" s="24"/>
      <c r="D10" s="28" t="s">
        <v>12</v>
      </c>
      <c r="E10" s="28"/>
      <c r="F10" s="24"/>
      <c r="G10" s="28" t="s">
        <v>12</v>
      </c>
      <c r="H10" s="28"/>
      <c r="I10" s="24"/>
      <c r="J10" s="28" t="s">
        <v>12</v>
      </c>
      <c r="K10" s="24"/>
      <c r="L10" s="24"/>
      <c r="M10" s="28" t="s">
        <v>12</v>
      </c>
      <c r="N10" s="28"/>
      <c r="O10" s="24"/>
      <c r="P10" s="28" t="s">
        <v>12</v>
      </c>
      <c r="Q10" s="28"/>
      <c r="R10" s="24"/>
      <c r="S10" s="28" t="s">
        <v>12</v>
      </c>
      <c r="T10" s="28"/>
      <c r="U10" s="24"/>
      <c r="V10" s="28" t="s">
        <v>12</v>
      </c>
      <c r="W10" s="28"/>
      <c r="X10" s="24"/>
      <c r="Y10" s="28" t="s">
        <v>12</v>
      </c>
      <c r="Z10" s="28"/>
      <c r="AA10" s="24"/>
      <c r="AB10" s="28" t="s">
        <v>12</v>
      </c>
      <c r="AC10" s="28"/>
      <c r="AD10" s="24"/>
      <c r="AE10" s="28" t="s">
        <v>12</v>
      </c>
      <c r="AF10" s="28"/>
      <c r="AG10" s="24"/>
      <c r="AH10" s="28" t="s">
        <v>12</v>
      </c>
      <c r="AI10" s="28"/>
      <c r="AJ10" s="24"/>
      <c r="AK10" s="28" t="s">
        <v>12</v>
      </c>
      <c r="AL10" s="28"/>
      <c r="AM10" s="24"/>
      <c r="AN10" s="28" t="s">
        <v>12</v>
      </c>
      <c r="AO10" s="28"/>
      <c r="AP10" s="24"/>
      <c r="AQ10" s="28" t="s">
        <v>12</v>
      </c>
      <c r="AR10" s="28"/>
      <c r="AS10" s="24"/>
      <c r="AT10" s="28" t="s">
        <v>12</v>
      </c>
      <c r="AU10" s="28"/>
      <c r="AV10" s="24"/>
      <c r="AW10" s="28" t="s">
        <v>12</v>
      </c>
      <c r="AX10" s="28"/>
      <c r="AY10" s="24"/>
      <c r="AZ10" s="28" t="s">
        <v>12</v>
      </c>
      <c r="BA10" s="28"/>
      <c r="BB10" s="24"/>
      <c r="BC10" s="28" t="s">
        <v>12</v>
      </c>
      <c r="BD10" s="28"/>
      <c r="BE10" s="24"/>
      <c r="BF10" s="28" t="s">
        <v>12</v>
      </c>
      <c r="BG10" s="28"/>
      <c r="BH10" s="24"/>
      <c r="BI10" s="28" t="s">
        <v>12</v>
      </c>
      <c r="BJ10" s="28"/>
      <c r="BK10" s="24"/>
      <c r="BL10" s="28" t="s">
        <v>12</v>
      </c>
      <c r="BM10" s="28"/>
      <c r="BN10" s="24"/>
      <c r="BO10" s="28" t="s">
        <v>12</v>
      </c>
      <c r="BP10" s="28"/>
      <c r="BQ10" s="28" t="s">
        <v>10</v>
      </c>
      <c r="BR10" s="28" t="s">
        <v>12</v>
      </c>
      <c r="BS10" s="24"/>
      <c r="BT10" s="24"/>
      <c r="BU10" s="28"/>
      <c r="BV10" s="28"/>
      <c r="BW10" s="28"/>
      <c r="BX10" s="28"/>
      <c r="BY10" s="28"/>
      <c r="BZ10" s="86"/>
    </row>
    <row r="11" spans="1:105" s="104" customFormat="1" ht="15.75" customHeight="1" thickBot="1">
      <c r="A11" s="29"/>
      <c r="B11" s="100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4"/>
      <c r="BT11" s="24"/>
      <c r="BU11" s="24"/>
      <c r="BV11" s="24"/>
      <c r="BW11" s="24"/>
      <c r="BX11" s="24"/>
      <c r="BY11" s="24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</row>
    <row r="12" spans="1:77" ht="16.5" customHeight="1" thickTop="1">
      <c r="A12" s="91" t="s">
        <v>2</v>
      </c>
      <c r="B12" s="70"/>
      <c r="C12" s="27"/>
      <c r="D12" s="24"/>
      <c r="E12" s="24"/>
      <c r="F12" s="27"/>
      <c r="G12" s="24"/>
      <c r="H12" s="24"/>
      <c r="I12" s="27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</row>
    <row r="13" spans="1:77" ht="15.75" customHeight="1">
      <c r="A13" s="40">
        <v>1</v>
      </c>
      <c r="B13" s="73" t="s">
        <v>14</v>
      </c>
      <c r="C13" s="25">
        <v>106.1</v>
      </c>
      <c r="D13" s="26">
        <v>82.24</v>
      </c>
      <c r="E13" s="24"/>
      <c r="F13" s="25">
        <v>105.36</v>
      </c>
      <c r="G13" s="26">
        <v>83.85</v>
      </c>
      <c r="H13" s="24"/>
      <c r="I13" s="25">
        <v>105.11</v>
      </c>
      <c r="J13" s="26">
        <v>84.2</v>
      </c>
      <c r="K13" s="24"/>
      <c r="L13" s="25">
        <v>103.62</v>
      </c>
      <c r="M13" s="26">
        <v>87.12</v>
      </c>
      <c r="N13" s="24"/>
      <c r="O13" s="25">
        <v>101.5</v>
      </c>
      <c r="P13" s="26">
        <v>89.11</v>
      </c>
      <c r="Q13" s="24"/>
      <c r="R13" s="25">
        <v>99</v>
      </c>
      <c r="S13" s="26">
        <v>91.13</v>
      </c>
      <c r="T13" s="24"/>
      <c r="U13" s="25">
        <v>100.92</v>
      </c>
      <c r="V13" s="26">
        <v>89.24</v>
      </c>
      <c r="W13" s="24"/>
      <c r="X13" s="25">
        <v>99.04</v>
      </c>
      <c r="Y13" s="26">
        <v>91.92</v>
      </c>
      <c r="Z13" s="24"/>
      <c r="AA13" s="25">
        <v>100.35</v>
      </c>
      <c r="AB13" s="26">
        <v>90.5</v>
      </c>
      <c r="AC13" s="24"/>
      <c r="AD13" s="25">
        <v>102.25</v>
      </c>
      <c r="AE13" s="26">
        <v>88.45</v>
      </c>
      <c r="AF13" s="24"/>
      <c r="AG13" s="25">
        <v>101</v>
      </c>
      <c r="AH13" s="26">
        <v>89.81</v>
      </c>
      <c r="AI13" s="24"/>
      <c r="AJ13" s="25">
        <v>100.2</v>
      </c>
      <c r="AK13" s="26">
        <v>91.3</v>
      </c>
      <c r="AL13" s="24"/>
      <c r="AM13" s="25">
        <v>100.85</v>
      </c>
      <c r="AN13" s="26">
        <v>90.7</v>
      </c>
      <c r="AO13" s="24"/>
      <c r="AP13" s="25">
        <v>101.29</v>
      </c>
      <c r="AQ13" s="26">
        <v>91.33</v>
      </c>
      <c r="AR13" s="24"/>
      <c r="AS13" s="25">
        <v>99.06</v>
      </c>
      <c r="AT13" s="26">
        <v>95.53</v>
      </c>
      <c r="AU13" s="24"/>
      <c r="AV13" s="25">
        <v>97.54</v>
      </c>
      <c r="AW13" s="26">
        <v>97.76</v>
      </c>
      <c r="AX13" s="24"/>
      <c r="AY13" s="25">
        <v>92.75</v>
      </c>
      <c r="AZ13" s="26">
        <v>105.28</v>
      </c>
      <c r="BA13" s="24"/>
      <c r="BB13" s="25">
        <v>92.37</v>
      </c>
      <c r="BC13" s="26">
        <v>106.92</v>
      </c>
      <c r="BD13" s="24"/>
      <c r="BE13" s="25">
        <v>94.67</v>
      </c>
      <c r="BF13" s="26">
        <v>104.55</v>
      </c>
      <c r="BG13" s="24"/>
      <c r="BH13" s="25">
        <v>97.2</v>
      </c>
      <c r="BI13" s="26">
        <v>100.01</v>
      </c>
      <c r="BJ13" s="26"/>
      <c r="BK13" s="25">
        <v>98.47</v>
      </c>
      <c r="BL13" s="26">
        <v>96.2</v>
      </c>
      <c r="BM13" s="26"/>
      <c r="BN13" s="25">
        <v>97.19</v>
      </c>
      <c r="BO13" s="26">
        <v>99.57</v>
      </c>
      <c r="BP13" s="26"/>
      <c r="BQ13" s="25">
        <f>(C13+F13+I13+L13+O13+R13+U13+X13+AA13+AD13+AG13+AJ13+AM13+AP13+AS13+AV13+AY13+BB13+BE13+BH13+BK13+BN13)/22</f>
        <v>99.81090909090909</v>
      </c>
      <c r="BR13" s="25">
        <f>(D13+G13+J13+M13+P13+S13+V13+Y13+AB13+AE13+AH13+AK13+AN13+AQ13+AT13+AW13+AZ13+BC13+BF13+BI13+BL13+BO13)/22</f>
        <v>93.03272727272726</v>
      </c>
      <c r="BS13" s="25"/>
      <c r="BT13" s="25"/>
      <c r="BU13" s="26"/>
      <c r="BV13" s="26"/>
      <c r="BW13" s="109"/>
      <c r="BX13" s="109"/>
      <c r="BY13" s="24"/>
    </row>
    <row r="14" spans="1:82" s="47" customFormat="1" ht="15.75" customHeight="1">
      <c r="A14" s="40">
        <v>2</v>
      </c>
      <c r="B14" s="73" t="s">
        <v>15</v>
      </c>
      <c r="C14" s="25">
        <v>0.5607</v>
      </c>
      <c r="D14" s="26">
        <v>155.62</v>
      </c>
      <c r="E14" s="24"/>
      <c r="F14" s="25">
        <v>0.5659</v>
      </c>
      <c r="G14" s="26">
        <v>156.11</v>
      </c>
      <c r="H14" s="24"/>
      <c r="I14" s="25">
        <v>0.565</v>
      </c>
      <c r="J14" s="26">
        <v>156.63</v>
      </c>
      <c r="K14" s="24"/>
      <c r="L14" s="25">
        <v>0.5687</v>
      </c>
      <c r="M14" s="26">
        <v>158.73</v>
      </c>
      <c r="N14" s="24"/>
      <c r="O14" s="25">
        <v>0.5752</v>
      </c>
      <c r="P14" s="26">
        <v>157.24</v>
      </c>
      <c r="Q14" s="24"/>
      <c r="R14" s="25">
        <v>0.5741</v>
      </c>
      <c r="S14" s="26">
        <v>157.15</v>
      </c>
      <c r="T14" s="24"/>
      <c r="U14" s="25">
        <v>0.5765</v>
      </c>
      <c r="V14" s="26">
        <v>156.22</v>
      </c>
      <c r="W14" s="24"/>
      <c r="X14" s="25">
        <v>0.5909</v>
      </c>
      <c r="Y14" s="26">
        <v>154.05</v>
      </c>
      <c r="Z14" s="24"/>
      <c r="AA14" s="25">
        <v>0.5816</v>
      </c>
      <c r="AB14" s="26">
        <v>156.14</v>
      </c>
      <c r="AC14" s="24"/>
      <c r="AD14" s="25">
        <v>0.5712</v>
      </c>
      <c r="AE14" s="26">
        <v>158.35</v>
      </c>
      <c r="AF14" s="24"/>
      <c r="AG14" s="25">
        <v>0.5726</v>
      </c>
      <c r="AH14" s="26">
        <v>158.41</v>
      </c>
      <c r="AI14" s="24"/>
      <c r="AJ14" s="25">
        <v>0.5803</v>
      </c>
      <c r="AK14" s="26">
        <v>157.63</v>
      </c>
      <c r="AL14" s="24"/>
      <c r="AM14" s="25">
        <v>0.5788</v>
      </c>
      <c r="AN14" s="26">
        <v>158.02</v>
      </c>
      <c r="AO14" s="24"/>
      <c r="AP14" s="25">
        <v>0.5856</v>
      </c>
      <c r="AQ14" s="26">
        <v>157.96</v>
      </c>
      <c r="AR14" s="24"/>
      <c r="AS14" s="25">
        <v>0.6099</v>
      </c>
      <c r="AT14" s="26">
        <v>155.16</v>
      </c>
      <c r="AU14" s="24"/>
      <c r="AV14" s="25">
        <v>0.6142</v>
      </c>
      <c r="AW14" s="26">
        <v>155.25</v>
      </c>
      <c r="AX14" s="24"/>
      <c r="AY14" s="25">
        <v>0.6473</v>
      </c>
      <c r="AZ14" s="26">
        <v>150.86</v>
      </c>
      <c r="BA14" s="24"/>
      <c r="BB14" s="25">
        <v>0.6502</v>
      </c>
      <c r="BC14" s="26">
        <v>151.9</v>
      </c>
      <c r="BD14" s="24"/>
      <c r="BE14" s="25">
        <v>0.6403</v>
      </c>
      <c r="BF14" s="26">
        <v>154.57</v>
      </c>
      <c r="BG14" s="24"/>
      <c r="BH14" s="25">
        <v>0.6234</v>
      </c>
      <c r="BI14" s="26">
        <v>155.95</v>
      </c>
      <c r="BJ14" s="26"/>
      <c r="BK14" s="25">
        <v>0.6038</v>
      </c>
      <c r="BL14" s="26">
        <v>156.87</v>
      </c>
      <c r="BM14" s="26"/>
      <c r="BN14" s="25">
        <v>0.6195</v>
      </c>
      <c r="BO14" s="26">
        <v>156.22</v>
      </c>
      <c r="BP14" s="26"/>
      <c r="BQ14" s="25">
        <f aca="true" t="shared" si="0" ref="BQ14:BR25">(C14+F14+I14+L14+O14+R14+U14+X14+AA14+AD14+AG14+AJ14+AM14+AP14+AS14+AV14+AY14+BB14+BE14+BH14+BK14+BN14)/22</f>
        <v>0.5934409090909091</v>
      </c>
      <c r="BR14" s="25">
        <f t="shared" si="0"/>
        <v>156.1381818181818</v>
      </c>
      <c r="BS14" s="25"/>
      <c r="BT14" s="25"/>
      <c r="BU14" s="26"/>
      <c r="BV14" s="26"/>
      <c r="BW14" s="109"/>
      <c r="BX14" s="109"/>
      <c r="BY14" s="24"/>
      <c r="BZ14" s="83"/>
      <c r="CA14" s="83"/>
      <c r="CB14" s="83"/>
      <c r="CC14" s="83"/>
      <c r="CD14" s="83"/>
    </row>
    <row r="15" spans="1:77" ht="15.75" customHeight="1">
      <c r="A15" s="40">
        <v>3</v>
      </c>
      <c r="B15" s="73" t="s">
        <v>16</v>
      </c>
      <c r="C15" s="25">
        <v>1.1176</v>
      </c>
      <c r="D15" s="26">
        <v>78.07</v>
      </c>
      <c r="E15" s="24"/>
      <c r="F15" s="25">
        <v>1.1308</v>
      </c>
      <c r="G15" s="26">
        <v>78.13</v>
      </c>
      <c r="H15" s="24"/>
      <c r="I15" s="25">
        <v>1.1308</v>
      </c>
      <c r="J15" s="26">
        <v>78.26</v>
      </c>
      <c r="K15" s="24"/>
      <c r="L15" s="25">
        <v>1.1446</v>
      </c>
      <c r="M15" s="26">
        <v>78.87</v>
      </c>
      <c r="N15" s="24"/>
      <c r="O15" s="25">
        <v>1.1434</v>
      </c>
      <c r="P15" s="26">
        <v>79.11</v>
      </c>
      <c r="Q15" s="24"/>
      <c r="R15" s="25">
        <v>1.1328</v>
      </c>
      <c r="S15" s="26">
        <v>79.64</v>
      </c>
      <c r="T15" s="24"/>
      <c r="U15" s="25">
        <v>1.1257</v>
      </c>
      <c r="V15" s="26">
        <v>80</v>
      </c>
      <c r="W15" s="24"/>
      <c r="X15" s="25">
        <v>1.1197</v>
      </c>
      <c r="Y15" s="26">
        <v>81.3</v>
      </c>
      <c r="Z15" s="24"/>
      <c r="AA15" s="25">
        <v>1.1313</v>
      </c>
      <c r="AB15" s="26">
        <v>80.28</v>
      </c>
      <c r="AC15" s="24"/>
      <c r="AD15" s="25">
        <v>1.133</v>
      </c>
      <c r="AE15" s="26">
        <v>79.83</v>
      </c>
      <c r="AF15" s="24"/>
      <c r="AG15" s="25">
        <v>1.1383</v>
      </c>
      <c r="AH15" s="26">
        <v>79.68</v>
      </c>
      <c r="AI15" s="24"/>
      <c r="AJ15" s="25">
        <v>1.1339</v>
      </c>
      <c r="AK15" s="26">
        <v>80.68</v>
      </c>
      <c r="AL15" s="24"/>
      <c r="AM15" s="25">
        <v>1.1367</v>
      </c>
      <c r="AN15" s="26">
        <v>80.47</v>
      </c>
      <c r="AO15" s="24"/>
      <c r="AP15" s="25">
        <v>1.1522</v>
      </c>
      <c r="AQ15" s="26">
        <v>80.28</v>
      </c>
      <c r="AR15" s="24"/>
      <c r="AS15" s="25">
        <v>1.1606</v>
      </c>
      <c r="AT15" s="26">
        <v>81.54</v>
      </c>
      <c r="AU15" s="24"/>
      <c r="AV15" s="25">
        <v>1.1638</v>
      </c>
      <c r="AW15" s="26">
        <v>81.93</v>
      </c>
      <c r="AX15" s="24"/>
      <c r="AY15" s="25">
        <v>1.1619</v>
      </c>
      <c r="AZ15" s="26">
        <v>84.04</v>
      </c>
      <c r="BA15" s="24"/>
      <c r="BB15" s="25">
        <v>1.159</v>
      </c>
      <c r="BC15" s="26">
        <v>85.21</v>
      </c>
      <c r="BD15" s="24"/>
      <c r="BE15" s="25">
        <v>1.1645</v>
      </c>
      <c r="BF15" s="26">
        <v>84.99</v>
      </c>
      <c r="BG15" s="24"/>
      <c r="BH15" s="25">
        <v>1.1463</v>
      </c>
      <c r="BI15" s="26">
        <v>84.8</v>
      </c>
      <c r="BJ15" s="26"/>
      <c r="BK15" s="25">
        <v>1.1299</v>
      </c>
      <c r="BL15" s="26">
        <v>83.83</v>
      </c>
      <c r="BM15" s="26"/>
      <c r="BN15" s="25">
        <v>1.151</v>
      </c>
      <c r="BO15" s="26">
        <v>84.08</v>
      </c>
      <c r="BP15" s="26"/>
      <c r="BQ15" s="25">
        <f t="shared" si="0"/>
        <v>1.1412636363636361</v>
      </c>
      <c r="BR15" s="25">
        <f t="shared" si="0"/>
        <v>81.13727272727272</v>
      </c>
      <c r="BS15" s="25"/>
      <c r="BT15" s="25"/>
      <c r="BU15" s="26"/>
      <c r="BV15" s="26"/>
      <c r="BW15" s="109"/>
      <c r="BX15" s="109"/>
      <c r="BY15" s="24"/>
    </row>
    <row r="16" spans="1:77" ht="15.75" customHeight="1">
      <c r="A16" s="40">
        <v>4</v>
      </c>
      <c r="B16" s="73" t="s">
        <v>17</v>
      </c>
      <c r="C16" s="25">
        <v>0.707</v>
      </c>
      <c r="D16" s="26">
        <v>123.47</v>
      </c>
      <c r="E16" s="24"/>
      <c r="F16" s="25">
        <v>0.7187</v>
      </c>
      <c r="G16" s="26">
        <v>122.96</v>
      </c>
      <c r="H16" s="24"/>
      <c r="I16" s="25">
        <v>0.7208</v>
      </c>
      <c r="J16" s="26">
        <v>122.74</v>
      </c>
      <c r="K16" s="24"/>
      <c r="L16" s="25">
        <v>0.7384</v>
      </c>
      <c r="M16" s="26">
        <v>122.46</v>
      </c>
      <c r="N16" s="24"/>
      <c r="O16" s="25">
        <v>0.7385</v>
      </c>
      <c r="P16" s="26">
        <v>122.56</v>
      </c>
      <c r="Q16" s="24"/>
      <c r="R16" s="25">
        <v>0.7339</v>
      </c>
      <c r="S16" s="26">
        <v>122.92</v>
      </c>
      <c r="T16" s="24"/>
      <c r="U16" s="25">
        <v>0.7272</v>
      </c>
      <c r="V16" s="26">
        <v>123.76</v>
      </c>
      <c r="W16" s="24"/>
      <c r="X16" s="25">
        <v>0.7359</v>
      </c>
      <c r="Y16" s="26">
        <v>123.79</v>
      </c>
      <c r="Z16" s="24"/>
      <c r="AA16" s="25">
        <v>0.735</v>
      </c>
      <c r="AB16" s="26">
        <v>123.67</v>
      </c>
      <c r="AC16" s="24"/>
      <c r="AD16" s="25">
        <v>0.7317</v>
      </c>
      <c r="AE16" s="26">
        <v>123.59</v>
      </c>
      <c r="AF16" s="24"/>
      <c r="AG16" s="25">
        <v>0.7358</v>
      </c>
      <c r="AH16" s="26">
        <v>123.39</v>
      </c>
      <c r="AI16" s="24"/>
      <c r="AJ16" s="25">
        <v>0.7422</v>
      </c>
      <c r="AK16" s="26">
        <v>123.16</v>
      </c>
      <c r="AL16" s="24"/>
      <c r="AM16" s="25">
        <v>0.7455</v>
      </c>
      <c r="AN16" s="26">
        <v>123</v>
      </c>
      <c r="AO16" s="24"/>
      <c r="AP16" s="25">
        <v>0.7547</v>
      </c>
      <c r="AQ16" s="26">
        <v>122.63</v>
      </c>
      <c r="AR16" s="24"/>
      <c r="AS16" s="25">
        <v>0.7739</v>
      </c>
      <c r="AT16" s="26">
        <v>122.3</v>
      </c>
      <c r="AU16" s="24"/>
      <c r="AV16" s="25">
        <v>0.778</v>
      </c>
      <c r="AW16" s="26">
        <v>122.48</v>
      </c>
      <c r="AX16" s="24"/>
      <c r="AY16" s="25">
        <v>0.7977</v>
      </c>
      <c r="AZ16" s="26">
        <v>122.38</v>
      </c>
      <c r="BA16" s="24"/>
      <c r="BB16" s="25">
        <v>0.8035</v>
      </c>
      <c r="BC16" s="26">
        <v>122.72</v>
      </c>
      <c r="BD16" s="24"/>
      <c r="BE16" s="25">
        <v>0.8018</v>
      </c>
      <c r="BF16" s="26">
        <v>123.51</v>
      </c>
      <c r="BG16" s="24"/>
      <c r="BH16" s="25">
        <v>0.7823</v>
      </c>
      <c r="BI16" s="26">
        <v>124.1</v>
      </c>
      <c r="BJ16" s="26"/>
      <c r="BK16" s="25">
        <v>0.7644</v>
      </c>
      <c r="BL16" s="26">
        <v>123.92</v>
      </c>
      <c r="BM16" s="26"/>
      <c r="BN16" s="25">
        <v>0.7852</v>
      </c>
      <c r="BO16" s="26">
        <v>123.3</v>
      </c>
      <c r="BP16" s="26"/>
      <c r="BQ16" s="25">
        <f t="shared" si="0"/>
        <v>0.7523681818181818</v>
      </c>
      <c r="BR16" s="25">
        <f t="shared" si="0"/>
        <v>123.12772727272727</v>
      </c>
      <c r="BS16" s="25"/>
      <c r="BT16" s="25"/>
      <c r="BU16" s="26"/>
      <c r="BV16" s="26"/>
      <c r="BW16" s="109"/>
      <c r="BX16" s="109"/>
      <c r="BY16" s="24"/>
    </row>
    <row r="17" spans="1:77" ht="15.75" customHeight="1">
      <c r="A17" s="40">
        <v>5</v>
      </c>
      <c r="B17" s="73" t="s">
        <v>18</v>
      </c>
      <c r="C17" s="25">
        <v>878.3</v>
      </c>
      <c r="D17" s="94">
        <v>76636.07</v>
      </c>
      <c r="E17" s="24"/>
      <c r="F17" s="25">
        <v>866.2</v>
      </c>
      <c r="G17" s="94">
        <v>76524.98</v>
      </c>
      <c r="H17" s="24"/>
      <c r="I17" s="25">
        <v>841</v>
      </c>
      <c r="J17" s="94">
        <v>74426.92</v>
      </c>
      <c r="K17" s="24"/>
      <c r="L17" s="25">
        <v>834.2</v>
      </c>
      <c r="M17" s="94">
        <v>75309.49</v>
      </c>
      <c r="N17" s="24"/>
      <c r="O17" s="25">
        <v>880.9</v>
      </c>
      <c r="P17" s="94">
        <v>79676.3</v>
      </c>
      <c r="Q17" s="24"/>
      <c r="R17" s="25">
        <v>912.25</v>
      </c>
      <c r="S17" s="94">
        <v>82303.2</v>
      </c>
      <c r="T17" s="24"/>
      <c r="U17" s="25">
        <v>888</v>
      </c>
      <c r="V17" s="94">
        <v>79973.84</v>
      </c>
      <c r="W17" s="24"/>
      <c r="X17" s="25">
        <v>917.75</v>
      </c>
      <c r="Y17" s="94">
        <v>83546.22</v>
      </c>
      <c r="Z17" s="24"/>
      <c r="AA17" s="25">
        <v>863.65</v>
      </c>
      <c r="AB17" s="94">
        <v>78435.07</v>
      </c>
      <c r="AC17" s="24"/>
      <c r="AD17" s="25">
        <v>848.8</v>
      </c>
      <c r="AE17" s="94">
        <v>76768.66</v>
      </c>
      <c r="AF17" s="24"/>
      <c r="AG17" s="25">
        <v>845.85</v>
      </c>
      <c r="AH17" s="94">
        <v>76721.24</v>
      </c>
      <c r="AI17" s="24"/>
      <c r="AJ17" s="25">
        <v>833.25</v>
      </c>
      <c r="AK17" s="94">
        <v>76226.23</v>
      </c>
      <c r="AL17" s="24"/>
      <c r="AM17" s="25">
        <v>796.35</v>
      </c>
      <c r="AN17" s="94">
        <v>72842.63</v>
      </c>
      <c r="AO17" s="24"/>
      <c r="AP17" s="25">
        <v>781.35</v>
      </c>
      <c r="AQ17" s="94">
        <v>72277.81</v>
      </c>
      <c r="AR17" s="24"/>
      <c r="AS17" s="25">
        <v>756.1</v>
      </c>
      <c r="AT17" s="94">
        <v>71552.58</v>
      </c>
      <c r="AU17" s="24"/>
      <c r="AV17" s="25">
        <v>725.55</v>
      </c>
      <c r="AW17" s="94">
        <v>69183.01</v>
      </c>
      <c r="AX17" s="24"/>
      <c r="AY17" s="25">
        <v>689.3</v>
      </c>
      <c r="AZ17" s="94">
        <v>67308.85</v>
      </c>
      <c r="BA17" s="24"/>
      <c r="BB17" s="25">
        <v>721.9</v>
      </c>
      <c r="BC17" s="94">
        <v>71293.04</v>
      </c>
      <c r="BD17" s="24"/>
      <c r="BE17" s="25">
        <v>743.15</v>
      </c>
      <c r="BF17" s="94">
        <v>73553.27</v>
      </c>
      <c r="BG17" s="24"/>
      <c r="BH17" s="25">
        <v>747.6</v>
      </c>
      <c r="BI17" s="94">
        <v>72675.13</v>
      </c>
      <c r="BJ17" s="94"/>
      <c r="BK17" s="25">
        <v>769.3</v>
      </c>
      <c r="BL17" s="94">
        <v>72870.98</v>
      </c>
      <c r="BM17" s="94"/>
      <c r="BN17" s="25">
        <v>727.8</v>
      </c>
      <c r="BO17" s="94">
        <v>70434.21</v>
      </c>
      <c r="BP17" s="94"/>
      <c r="BQ17" s="25">
        <f t="shared" si="0"/>
        <v>812.2068181818181</v>
      </c>
      <c r="BR17" s="25">
        <f t="shared" si="0"/>
        <v>75024.53318181819</v>
      </c>
      <c r="BS17" s="25"/>
      <c r="BT17" s="25"/>
      <c r="BU17" s="26"/>
      <c r="BV17" s="94"/>
      <c r="BW17" s="109"/>
      <c r="BX17" s="109"/>
      <c r="BY17" s="24"/>
    </row>
    <row r="18" spans="1:77" ht="15.75" customHeight="1">
      <c r="A18" s="40">
        <v>6</v>
      </c>
      <c r="B18" s="74" t="s">
        <v>19</v>
      </c>
      <c r="C18" s="25">
        <v>12.3</v>
      </c>
      <c r="D18" s="26">
        <v>1073.24</v>
      </c>
      <c r="E18" s="24"/>
      <c r="F18" s="25">
        <v>12.3</v>
      </c>
      <c r="G18" s="26">
        <v>1086.65</v>
      </c>
      <c r="H18" s="24"/>
      <c r="I18" s="25">
        <v>11.22</v>
      </c>
      <c r="J18" s="26">
        <v>992.95</v>
      </c>
      <c r="K18" s="24"/>
      <c r="L18" s="25">
        <v>10.98</v>
      </c>
      <c r="M18" s="26">
        <v>991.25</v>
      </c>
      <c r="N18" s="24"/>
      <c r="O18" s="25">
        <v>11.54</v>
      </c>
      <c r="P18" s="26">
        <v>1043.78</v>
      </c>
      <c r="Q18" s="24"/>
      <c r="R18" s="25">
        <v>11.89</v>
      </c>
      <c r="S18" s="26">
        <v>1072.72</v>
      </c>
      <c r="T18" s="24"/>
      <c r="U18" s="25">
        <v>11.55</v>
      </c>
      <c r="V18" s="26">
        <v>1040.2</v>
      </c>
      <c r="W18" s="24"/>
      <c r="X18" s="25">
        <v>11.69</v>
      </c>
      <c r="Y18" s="26">
        <v>1064.18</v>
      </c>
      <c r="Z18" s="24"/>
      <c r="AA18" s="25">
        <v>10.7</v>
      </c>
      <c r="AB18" s="26">
        <v>971.75</v>
      </c>
      <c r="AC18" s="24"/>
      <c r="AD18" s="25">
        <v>10.88</v>
      </c>
      <c r="AE18" s="26">
        <v>984.03</v>
      </c>
      <c r="AF18" s="24"/>
      <c r="AG18" s="25">
        <v>10.82</v>
      </c>
      <c r="AH18" s="26">
        <v>981.41</v>
      </c>
      <c r="AI18" s="24"/>
      <c r="AJ18" s="25">
        <v>9.95</v>
      </c>
      <c r="AK18" s="26">
        <v>910.23</v>
      </c>
      <c r="AL18" s="24"/>
      <c r="AM18" s="25">
        <v>9.76</v>
      </c>
      <c r="AN18" s="26">
        <v>892.75</v>
      </c>
      <c r="AO18" s="24"/>
      <c r="AP18" s="25">
        <v>9.86</v>
      </c>
      <c r="AQ18" s="26">
        <v>912.09</v>
      </c>
      <c r="AR18" s="24"/>
      <c r="AS18" s="25">
        <v>9.87</v>
      </c>
      <c r="AT18" s="26">
        <v>934.04</v>
      </c>
      <c r="AU18" s="24"/>
      <c r="AV18" s="25">
        <v>9.59</v>
      </c>
      <c r="AW18" s="26">
        <v>914.43</v>
      </c>
      <c r="AX18" s="24"/>
      <c r="AY18" s="25">
        <v>8.83</v>
      </c>
      <c r="AZ18" s="26">
        <v>862.23</v>
      </c>
      <c r="BA18" s="24"/>
      <c r="BB18" s="25">
        <v>8.89</v>
      </c>
      <c r="BC18" s="26">
        <v>877.95</v>
      </c>
      <c r="BD18" s="24"/>
      <c r="BE18" s="25">
        <v>8.84</v>
      </c>
      <c r="BF18" s="26">
        <v>874.94</v>
      </c>
      <c r="BG18" s="24"/>
      <c r="BH18" s="25">
        <v>9.16</v>
      </c>
      <c r="BI18" s="26">
        <v>890.46</v>
      </c>
      <c r="BJ18" s="26"/>
      <c r="BK18" s="25">
        <v>10.16</v>
      </c>
      <c r="BL18" s="26">
        <v>962.39</v>
      </c>
      <c r="BM18" s="26"/>
      <c r="BN18" s="25">
        <v>9.35</v>
      </c>
      <c r="BO18" s="26">
        <v>904.86</v>
      </c>
      <c r="BP18" s="26"/>
      <c r="BQ18" s="25">
        <f t="shared" si="0"/>
        <v>10.460454545454542</v>
      </c>
      <c r="BR18" s="25">
        <f t="shared" si="0"/>
        <v>965.3877272727273</v>
      </c>
      <c r="BS18" s="25"/>
      <c r="BT18" s="25"/>
      <c r="BU18" s="26"/>
      <c r="BV18" s="26"/>
      <c r="BW18" s="109"/>
      <c r="BX18" s="109"/>
      <c r="BY18" s="24"/>
    </row>
    <row r="19" spans="1:77" ht="15.75" customHeight="1">
      <c r="A19" s="40">
        <v>7</v>
      </c>
      <c r="B19" s="73" t="s">
        <v>20</v>
      </c>
      <c r="C19" s="25">
        <v>1.2489</v>
      </c>
      <c r="D19" s="26">
        <v>69.87</v>
      </c>
      <c r="E19" s="24"/>
      <c r="F19" s="25">
        <v>1.27</v>
      </c>
      <c r="G19" s="26">
        <v>69.56</v>
      </c>
      <c r="H19" s="24"/>
      <c r="I19" s="25">
        <v>1.2837</v>
      </c>
      <c r="J19" s="26">
        <v>68.94</v>
      </c>
      <c r="K19" s="24"/>
      <c r="L19" s="25">
        <v>1.3434</v>
      </c>
      <c r="M19" s="26">
        <v>67.2</v>
      </c>
      <c r="N19" s="24"/>
      <c r="O19" s="25">
        <v>1.4043</v>
      </c>
      <c r="P19" s="26">
        <v>64.41</v>
      </c>
      <c r="Q19" s="24"/>
      <c r="R19" s="25">
        <v>1.5232</v>
      </c>
      <c r="S19" s="26">
        <v>59.23</v>
      </c>
      <c r="T19" s="24"/>
      <c r="U19" s="25">
        <v>1.4225</v>
      </c>
      <c r="V19" s="26">
        <v>63.31</v>
      </c>
      <c r="W19" s="24"/>
      <c r="X19" s="25">
        <v>1.5108</v>
      </c>
      <c r="Y19" s="26">
        <v>60.26</v>
      </c>
      <c r="Z19" s="24"/>
      <c r="AA19" s="25">
        <v>1.4896</v>
      </c>
      <c r="AB19" s="26">
        <v>60.97</v>
      </c>
      <c r="AC19" s="24"/>
      <c r="AD19" s="25">
        <v>1.4057</v>
      </c>
      <c r="AE19" s="26">
        <v>64.34</v>
      </c>
      <c r="AF19" s="24"/>
      <c r="AG19" s="25">
        <v>1.4372</v>
      </c>
      <c r="AH19" s="26">
        <v>63.11</v>
      </c>
      <c r="AI19" s="24"/>
      <c r="AJ19" s="25">
        <v>1.4945</v>
      </c>
      <c r="AK19" s="26">
        <v>61.21</v>
      </c>
      <c r="AL19" s="24"/>
      <c r="AM19" s="25">
        <v>1.4819</v>
      </c>
      <c r="AN19" s="26">
        <v>61.72</v>
      </c>
      <c r="AO19" s="24"/>
      <c r="AP19" s="25">
        <v>1.4489</v>
      </c>
      <c r="AQ19" s="26">
        <v>63.85</v>
      </c>
      <c r="AR19" s="24"/>
      <c r="AS19" s="25">
        <v>1.4819</v>
      </c>
      <c r="AT19" s="26">
        <v>63.86</v>
      </c>
      <c r="AU19" s="24"/>
      <c r="AV19" s="25">
        <v>1.4923</v>
      </c>
      <c r="AW19" s="26">
        <v>63.9</v>
      </c>
      <c r="AX19" s="24"/>
      <c r="AY19" s="25">
        <v>1.6173</v>
      </c>
      <c r="AZ19" s="26">
        <v>60.38</v>
      </c>
      <c r="BA19" s="24"/>
      <c r="BB19" s="25">
        <v>1.651</v>
      </c>
      <c r="BC19" s="26">
        <v>59.82</v>
      </c>
      <c r="BD19" s="24"/>
      <c r="BE19" s="25">
        <v>1.6207</v>
      </c>
      <c r="BF19" s="26">
        <v>61.07</v>
      </c>
      <c r="BG19" s="65"/>
      <c r="BH19" s="25">
        <v>1.5494</v>
      </c>
      <c r="BI19" s="26">
        <v>62.74</v>
      </c>
      <c r="BJ19" s="26"/>
      <c r="BK19" s="25">
        <v>1.4704</v>
      </c>
      <c r="BL19" s="26">
        <v>64.42</v>
      </c>
      <c r="BM19" s="26"/>
      <c r="BN19" s="25">
        <v>1.5124</v>
      </c>
      <c r="BO19" s="26">
        <v>63.99</v>
      </c>
      <c r="BP19" s="26"/>
      <c r="BQ19" s="25">
        <f t="shared" si="0"/>
        <v>1.4618181818181817</v>
      </c>
      <c r="BR19" s="25">
        <f t="shared" si="0"/>
        <v>63.55272727272729</v>
      </c>
      <c r="BS19" s="25"/>
      <c r="BT19" s="25"/>
      <c r="BU19" s="26"/>
      <c r="BV19" s="26"/>
      <c r="BW19" s="109"/>
      <c r="BX19" s="109"/>
      <c r="BY19" s="65"/>
    </row>
    <row r="20" spans="1:77" ht="15.75" customHeight="1">
      <c r="A20" s="40">
        <v>8</v>
      </c>
      <c r="B20" s="73" t="s">
        <v>21</v>
      </c>
      <c r="C20" s="25">
        <v>1.0556</v>
      </c>
      <c r="D20" s="26">
        <v>82.66</v>
      </c>
      <c r="E20" s="24"/>
      <c r="F20" s="25">
        <v>1.0643</v>
      </c>
      <c r="G20" s="26">
        <v>83.01</v>
      </c>
      <c r="H20" s="24"/>
      <c r="I20" s="25">
        <v>1.0772</v>
      </c>
      <c r="J20" s="26">
        <v>82.16</v>
      </c>
      <c r="K20" s="24"/>
      <c r="L20" s="25">
        <v>1.0885</v>
      </c>
      <c r="M20" s="26">
        <v>82.94</v>
      </c>
      <c r="N20" s="24"/>
      <c r="O20" s="25">
        <v>1.1029</v>
      </c>
      <c r="P20" s="26">
        <v>82.01</v>
      </c>
      <c r="Q20" s="24"/>
      <c r="R20" s="25">
        <v>1.1106</v>
      </c>
      <c r="S20" s="26">
        <v>81.24</v>
      </c>
      <c r="T20" s="24"/>
      <c r="U20" s="25">
        <v>1.123</v>
      </c>
      <c r="V20" s="26">
        <v>80.2</v>
      </c>
      <c r="W20" s="24"/>
      <c r="X20" s="25">
        <v>1.162</v>
      </c>
      <c r="Y20" s="26">
        <v>78.34</v>
      </c>
      <c r="Z20" s="24"/>
      <c r="AA20" s="25">
        <v>1.1712</v>
      </c>
      <c r="AB20" s="26">
        <v>77.54</v>
      </c>
      <c r="AC20" s="24"/>
      <c r="AD20" s="25">
        <v>1.1441</v>
      </c>
      <c r="AE20" s="26">
        <v>79.05</v>
      </c>
      <c r="AF20" s="24"/>
      <c r="AG20" s="25">
        <v>1.1606</v>
      </c>
      <c r="AH20" s="26">
        <v>78.15</v>
      </c>
      <c r="AI20" s="24"/>
      <c r="AJ20" s="25">
        <v>1.1936</v>
      </c>
      <c r="AK20" s="26">
        <v>76.64</v>
      </c>
      <c r="AL20" s="24"/>
      <c r="AM20" s="25">
        <v>1.1872</v>
      </c>
      <c r="AN20" s="26">
        <v>77.05</v>
      </c>
      <c r="AO20" s="24"/>
      <c r="AP20" s="25">
        <v>1.1953</v>
      </c>
      <c r="AQ20" s="26">
        <v>77.39</v>
      </c>
      <c r="AR20" s="24"/>
      <c r="AS20" s="25">
        <v>1.2329</v>
      </c>
      <c r="AT20" s="26">
        <v>76.76</v>
      </c>
      <c r="AU20" s="24"/>
      <c r="AV20" s="25">
        <v>1.259</v>
      </c>
      <c r="AW20" s="26">
        <v>75.74</v>
      </c>
      <c r="AX20" s="24"/>
      <c r="AY20" s="25">
        <v>1.28</v>
      </c>
      <c r="AZ20" s="26">
        <v>76.29</v>
      </c>
      <c r="BA20" s="24"/>
      <c r="BB20" s="25">
        <v>1.2899</v>
      </c>
      <c r="BC20" s="26">
        <v>76.56</v>
      </c>
      <c r="BD20" s="24"/>
      <c r="BE20" s="25">
        <v>1.2871</v>
      </c>
      <c r="BF20" s="26">
        <v>76.9</v>
      </c>
      <c r="BG20" s="24"/>
      <c r="BH20" s="25">
        <v>1.2603</v>
      </c>
      <c r="BI20" s="26">
        <v>77.13</v>
      </c>
      <c r="BJ20" s="26"/>
      <c r="BK20" s="25">
        <v>1.2008</v>
      </c>
      <c r="BL20" s="26">
        <v>78.88</v>
      </c>
      <c r="BM20" s="26"/>
      <c r="BN20" s="25">
        <v>1.2258</v>
      </c>
      <c r="BO20" s="26">
        <v>78.95</v>
      </c>
      <c r="BP20" s="26"/>
      <c r="BQ20" s="25">
        <f t="shared" si="0"/>
        <v>1.1759954545454547</v>
      </c>
      <c r="BR20" s="25">
        <f t="shared" si="0"/>
        <v>78.89045454545456</v>
      </c>
      <c r="BS20" s="25"/>
      <c r="BT20" s="25"/>
      <c r="BU20" s="26"/>
      <c r="BV20" s="26"/>
      <c r="BW20" s="109"/>
      <c r="BX20" s="109"/>
      <c r="BY20" s="24"/>
    </row>
    <row r="21" spans="1:77" ht="15.75" customHeight="1">
      <c r="A21" s="40">
        <v>9</v>
      </c>
      <c r="B21" s="73" t="s">
        <v>22</v>
      </c>
      <c r="C21" s="25">
        <v>6.8737</v>
      </c>
      <c r="D21" s="26">
        <v>12.69</v>
      </c>
      <c r="E21" s="24"/>
      <c r="F21" s="25">
        <v>6.9986</v>
      </c>
      <c r="G21" s="26">
        <v>12.62</v>
      </c>
      <c r="H21" s="24"/>
      <c r="I21" s="25">
        <v>6.9977</v>
      </c>
      <c r="J21" s="26">
        <v>12.65</v>
      </c>
      <c r="K21" s="24"/>
      <c r="L21" s="25">
        <v>7.216</v>
      </c>
      <c r="M21" s="26">
        <v>12.51</v>
      </c>
      <c r="N21" s="24"/>
      <c r="O21" s="25">
        <v>7.1585</v>
      </c>
      <c r="P21" s="26">
        <v>12.64</v>
      </c>
      <c r="Q21" s="24"/>
      <c r="R21" s="25">
        <v>7.1357</v>
      </c>
      <c r="S21" s="26">
        <v>12.64</v>
      </c>
      <c r="T21" s="24"/>
      <c r="U21" s="25">
        <v>7.0266</v>
      </c>
      <c r="V21" s="26">
        <v>12.82</v>
      </c>
      <c r="W21" s="24"/>
      <c r="X21" s="25">
        <v>7.1234</v>
      </c>
      <c r="Y21" s="26">
        <v>12.78</v>
      </c>
      <c r="Z21" s="24"/>
      <c r="AA21" s="25">
        <v>7.0609</v>
      </c>
      <c r="AB21" s="26">
        <v>12.86</v>
      </c>
      <c r="AC21" s="24"/>
      <c r="AD21" s="25">
        <v>7.079</v>
      </c>
      <c r="AE21" s="26">
        <v>12.78</v>
      </c>
      <c r="AF21" s="24"/>
      <c r="AG21" s="25">
        <v>7.2203</v>
      </c>
      <c r="AH21" s="26">
        <v>12.56</v>
      </c>
      <c r="AI21" s="24"/>
      <c r="AJ21" s="25">
        <v>7.357</v>
      </c>
      <c r="AK21" s="26">
        <v>12.43</v>
      </c>
      <c r="AL21" s="24"/>
      <c r="AM21" s="25">
        <v>7.4782</v>
      </c>
      <c r="AN21" s="26">
        <v>12.23</v>
      </c>
      <c r="AO21" s="24"/>
      <c r="AP21" s="25">
        <v>7.4855</v>
      </c>
      <c r="AQ21" s="26">
        <v>12.36</v>
      </c>
      <c r="AR21" s="24"/>
      <c r="AS21" s="25">
        <v>7.7867</v>
      </c>
      <c r="AT21" s="26">
        <v>12.15</v>
      </c>
      <c r="AU21" s="24"/>
      <c r="AV21" s="25">
        <v>7.8107</v>
      </c>
      <c r="AW21" s="26">
        <v>12.21</v>
      </c>
      <c r="AX21" s="24"/>
      <c r="AY21" s="25">
        <v>7.9818</v>
      </c>
      <c r="AZ21" s="26">
        <v>12.23</v>
      </c>
      <c r="BA21" s="24"/>
      <c r="BB21" s="25">
        <v>8.1034</v>
      </c>
      <c r="BC21" s="26">
        <v>12.19</v>
      </c>
      <c r="BD21" s="24"/>
      <c r="BE21" s="25">
        <v>7.9984</v>
      </c>
      <c r="BF21" s="26">
        <v>12.37</v>
      </c>
      <c r="BG21" s="24"/>
      <c r="BH21" s="25">
        <v>7.7425</v>
      </c>
      <c r="BI21" s="26">
        <v>12.56</v>
      </c>
      <c r="BJ21" s="26"/>
      <c r="BK21" s="25">
        <v>7.5184</v>
      </c>
      <c r="BL21" s="26">
        <v>12.6</v>
      </c>
      <c r="BM21" s="26"/>
      <c r="BN21" s="25">
        <v>7.7692</v>
      </c>
      <c r="BO21" s="26">
        <v>12.46</v>
      </c>
      <c r="BP21" s="26"/>
      <c r="BQ21" s="25">
        <f t="shared" si="0"/>
        <v>7.405554545454547</v>
      </c>
      <c r="BR21" s="25">
        <f t="shared" si="0"/>
        <v>12.515454545454544</v>
      </c>
      <c r="BS21" s="25"/>
      <c r="BT21" s="25"/>
      <c r="BU21" s="26"/>
      <c r="BV21" s="26"/>
      <c r="BW21" s="109"/>
      <c r="BX21" s="109"/>
      <c r="BY21" s="24"/>
    </row>
    <row r="22" spans="1:77" ht="15.75" customHeight="1">
      <c r="A22" s="40">
        <v>10</v>
      </c>
      <c r="B22" s="73" t="s">
        <v>23</v>
      </c>
      <c r="C22" s="25">
        <v>5.8451</v>
      </c>
      <c r="D22" s="26">
        <v>14.93</v>
      </c>
      <c r="E22" s="24"/>
      <c r="F22" s="25">
        <v>5.9429</v>
      </c>
      <c r="G22" s="26">
        <v>14.87</v>
      </c>
      <c r="H22" s="24"/>
      <c r="I22" s="25">
        <v>5.9861</v>
      </c>
      <c r="J22" s="26">
        <v>14.78</v>
      </c>
      <c r="K22" s="24"/>
      <c r="L22" s="25">
        <v>6.183</v>
      </c>
      <c r="M22" s="26">
        <v>14.6</v>
      </c>
      <c r="N22" s="24"/>
      <c r="O22" s="25">
        <v>6.2126</v>
      </c>
      <c r="P22" s="26">
        <v>14.56</v>
      </c>
      <c r="Q22" s="24"/>
      <c r="R22" s="25">
        <v>6.212</v>
      </c>
      <c r="S22" s="26">
        <v>14.52</v>
      </c>
      <c r="T22" s="24"/>
      <c r="U22" s="25">
        <v>6.0856</v>
      </c>
      <c r="V22" s="26">
        <v>14.8</v>
      </c>
      <c r="W22" s="24"/>
      <c r="X22" s="25">
        <v>6.1857</v>
      </c>
      <c r="Y22" s="26">
        <v>14.72</v>
      </c>
      <c r="Z22" s="24"/>
      <c r="AA22" s="25">
        <v>6.171</v>
      </c>
      <c r="AB22" s="26">
        <v>14.72</v>
      </c>
      <c r="AC22" s="24"/>
      <c r="AD22" s="25">
        <v>6.1637</v>
      </c>
      <c r="AE22" s="26">
        <v>14.67</v>
      </c>
      <c r="AF22" s="24"/>
      <c r="AG22" s="25">
        <v>6.342</v>
      </c>
      <c r="AH22" s="26">
        <v>14.3</v>
      </c>
      <c r="AI22" s="24"/>
      <c r="AJ22" s="25">
        <v>6.4959</v>
      </c>
      <c r="AK22" s="26">
        <v>14.08</v>
      </c>
      <c r="AL22" s="24"/>
      <c r="AM22" s="25">
        <v>6.6232</v>
      </c>
      <c r="AN22" s="26">
        <v>13.81</v>
      </c>
      <c r="AO22" s="24"/>
      <c r="AP22" s="25">
        <v>6.6715</v>
      </c>
      <c r="AQ22" s="26">
        <v>13.87</v>
      </c>
      <c r="AR22" s="24"/>
      <c r="AS22" s="25">
        <v>6.9483</v>
      </c>
      <c r="AT22" s="26">
        <v>13.62</v>
      </c>
      <c r="AU22" s="24"/>
      <c r="AV22" s="25">
        <v>7.1446</v>
      </c>
      <c r="AW22" s="26">
        <v>13.35</v>
      </c>
      <c r="AX22" s="24"/>
      <c r="AY22" s="25">
        <v>7.0708</v>
      </c>
      <c r="AZ22" s="26">
        <v>13.81</v>
      </c>
      <c r="BA22" s="24"/>
      <c r="BB22" s="25">
        <v>7.0907</v>
      </c>
      <c r="BC22" s="26">
        <v>13.93</v>
      </c>
      <c r="BD22" s="24"/>
      <c r="BE22" s="25">
        <v>6.8643</v>
      </c>
      <c r="BF22" s="26">
        <v>14.42</v>
      </c>
      <c r="BG22" s="24"/>
      <c r="BH22" s="25">
        <v>6.722</v>
      </c>
      <c r="BI22" s="26">
        <v>14.46</v>
      </c>
      <c r="BJ22" s="26"/>
      <c r="BK22" s="25">
        <v>6.594</v>
      </c>
      <c r="BL22" s="26">
        <v>14.37</v>
      </c>
      <c r="BM22" s="26"/>
      <c r="BN22" s="25">
        <v>6.6979</v>
      </c>
      <c r="BO22" s="26">
        <v>14.45</v>
      </c>
      <c r="BP22" s="26"/>
      <c r="BQ22" s="25">
        <f t="shared" si="0"/>
        <v>6.466040909090908</v>
      </c>
      <c r="BR22" s="25">
        <f t="shared" si="0"/>
        <v>14.347272727272726</v>
      </c>
      <c r="BS22" s="25"/>
      <c r="BT22" s="25"/>
      <c r="BU22" s="26"/>
      <c r="BV22" s="26"/>
      <c r="BW22" s="109"/>
      <c r="BX22" s="109"/>
      <c r="BY22" s="24"/>
    </row>
    <row r="23" spans="1:77" ht="15.75" customHeight="1">
      <c r="A23" s="40">
        <v>11</v>
      </c>
      <c r="B23" s="73" t="s">
        <v>24</v>
      </c>
      <c r="C23" s="25">
        <v>5.273</v>
      </c>
      <c r="D23" s="26">
        <v>16.55</v>
      </c>
      <c r="E23" s="24"/>
      <c r="F23" s="25">
        <v>5.3603</v>
      </c>
      <c r="G23" s="26">
        <v>16.48</v>
      </c>
      <c r="H23" s="24"/>
      <c r="I23" s="25">
        <v>5.3761</v>
      </c>
      <c r="J23" s="26">
        <v>16.46</v>
      </c>
      <c r="K23" s="24"/>
      <c r="L23" s="25">
        <v>5.5059</v>
      </c>
      <c r="M23" s="26">
        <v>16.4</v>
      </c>
      <c r="N23" s="24"/>
      <c r="O23" s="25">
        <v>5.5105</v>
      </c>
      <c r="P23" s="26">
        <v>16.41</v>
      </c>
      <c r="Q23" s="24"/>
      <c r="R23" s="25">
        <v>5.4768</v>
      </c>
      <c r="S23" s="26">
        <v>16.47</v>
      </c>
      <c r="T23" s="24"/>
      <c r="U23" s="25">
        <v>5.4184</v>
      </c>
      <c r="V23" s="26">
        <v>16.62</v>
      </c>
      <c r="W23" s="24"/>
      <c r="X23" s="25">
        <v>5.4781</v>
      </c>
      <c r="Y23" s="26">
        <v>16.62</v>
      </c>
      <c r="Z23" s="24"/>
      <c r="AA23" s="25">
        <v>5.4781</v>
      </c>
      <c r="AB23" s="26">
        <v>16.58</v>
      </c>
      <c r="AC23" s="24"/>
      <c r="AD23" s="25">
        <v>5.4525</v>
      </c>
      <c r="AE23" s="26">
        <v>16.59</v>
      </c>
      <c r="AF23" s="24"/>
      <c r="AG23" s="25">
        <v>5.4829</v>
      </c>
      <c r="AH23" s="26">
        <v>16.54</v>
      </c>
      <c r="AI23" s="24"/>
      <c r="AJ23" s="25">
        <v>5.5302</v>
      </c>
      <c r="AK23" s="26">
        <v>16.54</v>
      </c>
      <c r="AL23" s="24"/>
      <c r="AM23" s="25">
        <v>5.5531</v>
      </c>
      <c r="AN23" s="26">
        <v>16.47</v>
      </c>
      <c r="AO23" s="24"/>
      <c r="AP23" s="25">
        <v>5.6244</v>
      </c>
      <c r="AQ23" s="26">
        <v>16.45</v>
      </c>
      <c r="AR23" s="24"/>
      <c r="AS23" s="25">
        <v>5.7669</v>
      </c>
      <c r="AT23" s="26">
        <v>16.41</v>
      </c>
      <c r="AU23" s="24"/>
      <c r="AV23" s="25">
        <v>5.795</v>
      </c>
      <c r="AW23" s="26">
        <v>16.45</v>
      </c>
      <c r="AX23" s="24"/>
      <c r="AY23" s="25">
        <v>5.9507</v>
      </c>
      <c r="AZ23" s="26">
        <v>16.41</v>
      </c>
      <c r="BA23" s="24"/>
      <c r="BB23" s="25">
        <v>5.9864</v>
      </c>
      <c r="BC23" s="26">
        <v>16.5</v>
      </c>
      <c r="BD23" s="24"/>
      <c r="BE23" s="25">
        <v>5.9746</v>
      </c>
      <c r="BF23" s="26">
        <v>16.57</v>
      </c>
      <c r="BG23" s="24"/>
      <c r="BH23" s="25">
        <v>5.8273</v>
      </c>
      <c r="BI23" s="26">
        <v>16.68</v>
      </c>
      <c r="BJ23" s="26"/>
      <c r="BK23" s="25">
        <v>5.6913</v>
      </c>
      <c r="BL23" s="26">
        <v>16.64</v>
      </c>
      <c r="BM23" s="26"/>
      <c r="BN23" s="25">
        <v>5.8464</v>
      </c>
      <c r="BO23" s="26">
        <v>16.55</v>
      </c>
      <c r="BP23" s="26"/>
      <c r="BQ23" s="25">
        <f t="shared" si="0"/>
        <v>5.607222727272727</v>
      </c>
      <c r="BR23" s="25">
        <f t="shared" si="0"/>
        <v>16.51772727272727</v>
      </c>
      <c r="BS23" s="25"/>
      <c r="BT23" s="25"/>
      <c r="BU23" s="26"/>
      <c r="BV23" s="26"/>
      <c r="BW23" s="109"/>
      <c r="BX23" s="109"/>
      <c r="BY23" s="24"/>
    </row>
    <row r="24" spans="1:77" ht="15.75" customHeight="1">
      <c r="A24" s="40">
        <v>12</v>
      </c>
      <c r="B24" s="73" t="s">
        <v>25</v>
      </c>
      <c r="C24" s="25">
        <v>0.64217</v>
      </c>
      <c r="D24" s="26">
        <v>135.88</v>
      </c>
      <c r="E24" s="24"/>
      <c r="F24" s="25">
        <v>0.64668</v>
      </c>
      <c r="G24" s="26">
        <v>136.61</v>
      </c>
      <c r="H24" s="24"/>
      <c r="I24" s="25">
        <v>0.65156</v>
      </c>
      <c r="J24" s="26">
        <v>135.83</v>
      </c>
      <c r="K24" s="24"/>
      <c r="L24" s="25">
        <v>0.65125</v>
      </c>
      <c r="M24" s="26">
        <v>138.62</v>
      </c>
      <c r="N24" s="24"/>
      <c r="O24" s="25">
        <v>0.65541</v>
      </c>
      <c r="P24" s="26">
        <v>138</v>
      </c>
      <c r="Q24" s="24"/>
      <c r="R24" s="25">
        <v>0.65516</v>
      </c>
      <c r="S24" s="26">
        <v>137.71</v>
      </c>
      <c r="T24" s="24"/>
      <c r="U24" s="25">
        <v>0.65264</v>
      </c>
      <c r="V24" s="26">
        <v>138</v>
      </c>
      <c r="W24" s="24"/>
      <c r="X24" s="25">
        <v>0.65241</v>
      </c>
      <c r="Y24" s="26">
        <v>139.53</v>
      </c>
      <c r="Z24" s="24"/>
      <c r="AA24" s="25">
        <v>0.65527</v>
      </c>
      <c r="AB24" s="26">
        <v>138.6</v>
      </c>
      <c r="AC24" s="24"/>
      <c r="AD24" s="25">
        <v>0.65527</v>
      </c>
      <c r="AE24" s="26">
        <v>138.02</v>
      </c>
      <c r="AF24" s="24"/>
      <c r="AG24" s="25">
        <v>0.65227</v>
      </c>
      <c r="AH24" s="26">
        <v>139.06</v>
      </c>
      <c r="AI24" s="24"/>
      <c r="AJ24" s="25">
        <v>0.65255</v>
      </c>
      <c r="AK24" s="26">
        <v>140.19</v>
      </c>
      <c r="AL24" s="24"/>
      <c r="AM24" s="25">
        <v>0.65662</v>
      </c>
      <c r="AN24" s="26">
        <v>139.31</v>
      </c>
      <c r="AO24" s="24"/>
      <c r="AP24" s="25">
        <v>0.65757</v>
      </c>
      <c r="AQ24" s="26">
        <v>140.68</v>
      </c>
      <c r="AR24" s="24"/>
      <c r="AS24" s="25">
        <v>0.66253</v>
      </c>
      <c r="AT24" s="26">
        <v>142.84</v>
      </c>
      <c r="AU24" s="24"/>
      <c r="AV24" s="25">
        <v>0.66969</v>
      </c>
      <c r="AW24" s="26">
        <v>142.38</v>
      </c>
      <c r="AX24" s="24"/>
      <c r="AY24" s="25">
        <v>0.67002</v>
      </c>
      <c r="AZ24" s="26">
        <v>145.74</v>
      </c>
      <c r="BA24" s="24"/>
      <c r="BB24" s="25">
        <v>0.67206</v>
      </c>
      <c r="BC24" s="26">
        <v>146.95</v>
      </c>
      <c r="BD24" s="24"/>
      <c r="BE24" s="25">
        <v>0.67656</v>
      </c>
      <c r="BF24" s="26">
        <v>146.29</v>
      </c>
      <c r="BG24" s="24"/>
      <c r="BH24" s="25">
        <v>0.67472</v>
      </c>
      <c r="BI24" s="26">
        <v>144.08</v>
      </c>
      <c r="BJ24" s="26"/>
      <c r="BK24" s="25">
        <v>0.67112</v>
      </c>
      <c r="BL24" s="26">
        <v>141.14</v>
      </c>
      <c r="BM24" s="26"/>
      <c r="BN24" s="25">
        <v>0.66515</v>
      </c>
      <c r="BO24" s="26">
        <v>145.5</v>
      </c>
      <c r="BP24" s="26"/>
      <c r="BQ24" s="25">
        <f t="shared" si="0"/>
        <v>0.659030909090909</v>
      </c>
      <c r="BR24" s="25">
        <f t="shared" si="0"/>
        <v>140.4981818181818</v>
      </c>
      <c r="BS24" s="25"/>
      <c r="BT24" s="25"/>
      <c r="BU24" s="26"/>
      <c r="BV24" s="26"/>
      <c r="BW24" s="109"/>
      <c r="BX24" s="109"/>
      <c r="BY24" s="24"/>
    </row>
    <row r="25" spans="1:105" s="104" customFormat="1" ht="15.75" customHeight="1" thickBot="1">
      <c r="A25" s="105">
        <v>13</v>
      </c>
      <c r="B25" s="106" t="s">
        <v>26</v>
      </c>
      <c r="C25" s="107">
        <v>1</v>
      </c>
      <c r="D25" s="108">
        <v>87.26</v>
      </c>
      <c r="E25" s="29"/>
      <c r="F25" s="107">
        <v>1</v>
      </c>
      <c r="G25" s="108">
        <v>88.35</v>
      </c>
      <c r="H25" s="29"/>
      <c r="I25" s="107">
        <v>1</v>
      </c>
      <c r="J25" s="108">
        <v>88.5</v>
      </c>
      <c r="K25" s="29"/>
      <c r="L25" s="107">
        <v>1</v>
      </c>
      <c r="M25" s="108">
        <v>90.28</v>
      </c>
      <c r="N25" s="29"/>
      <c r="O25" s="107">
        <v>1</v>
      </c>
      <c r="P25" s="108">
        <v>90.45</v>
      </c>
      <c r="Q25" s="29"/>
      <c r="R25" s="107">
        <v>1</v>
      </c>
      <c r="S25" s="108">
        <v>90.22</v>
      </c>
      <c r="T25" s="29"/>
      <c r="U25" s="107">
        <v>1</v>
      </c>
      <c r="V25" s="108">
        <v>90.06</v>
      </c>
      <c r="W25" s="29"/>
      <c r="X25" s="107">
        <v>1</v>
      </c>
      <c r="Y25" s="108">
        <v>91.03</v>
      </c>
      <c r="Z25" s="29"/>
      <c r="AA25" s="107">
        <v>1</v>
      </c>
      <c r="AB25" s="108">
        <v>90.82</v>
      </c>
      <c r="AC25" s="29"/>
      <c r="AD25" s="107">
        <v>1</v>
      </c>
      <c r="AE25" s="108">
        <v>90.44</v>
      </c>
      <c r="AF25" s="29"/>
      <c r="AG25" s="107">
        <v>1</v>
      </c>
      <c r="AH25" s="108">
        <v>90.7</v>
      </c>
      <c r="AI25" s="29"/>
      <c r="AJ25" s="107">
        <v>1</v>
      </c>
      <c r="AK25" s="108">
        <v>91.48</v>
      </c>
      <c r="AL25" s="29"/>
      <c r="AM25" s="107">
        <v>1</v>
      </c>
      <c r="AN25" s="108">
        <v>91.47</v>
      </c>
      <c r="AO25" s="29"/>
      <c r="AP25" s="107">
        <v>1</v>
      </c>
      <c r="AQ25" s="108">
        <v>92.5</v>
      </c>
      <c r="AR25" s="29"/>
      <c r="AS25" s="107">
        <v>1</v>
      </c>
      <c r="AT25" s="108">
        <v>94.63</v>
      </c>
      <c r="AU25" s="29"/>
      <c r="AV25" s="107">
        <v>1</v>
      </c>
      <c r="AW25" s="108">
        <v>95.35</v>
      </c>
      <c r="AX25" s="29"/>
      <c r="AY25" s="107">
        <v>1</v>
      </c>
      <c r="AZ25" s="108">
        <v>97.65</v>
      </c>
      <c r="BA25" s="29"/>
      <c r="BB25" s="107">
        <v>1</v>
      </c>
      <c r="BC25" s="108">
        <v>98.76</v>
      </c>
      <c r="BD25" s="29"/>
      <c r="BE25" s="107">
        <v>1</v>
      </c>
      <c r="BF25" s="108">
        <v>98.98</v>
      </c>
      <c r="BG25" s="29"/>
      <c r="BH25" s="107">
        <v>1</v>
      </c>
      <c r="BI25" s="108">
        <v>97.21</v>
      </c>
      <c r="BJ25" s="108"/>
      <c r="BK25" s="107">
        <v>1</v>
      </c>
      <c r="BL25" s="108">
        <v>94.72</v>
      </c>
      <c r="BM25" s="108"/>
      <c r="BN25" s="107">
        <v>1</v>
      </c>
      <c r="BO25" s="108">
        <v>96.78</v>
      </c>
      <c r="BP25" s="107"/>
      <c r="BQ25" s="107">
        <f t="shared" si="0"/>
        <v>1</v>
      </c>
      <c r="BR25" s="107">
        <f t="shared" si="0"/>
        <v>92.62</v>
      </c>
      <c r="BS25" s="25"/>
      <c r="BT25" s="25"/>
      <c r="BU25" s="26"/>
      <c r="BV25" s="25"/>
      <c r="BW25" s="109"/>
      <c r="BX25" s="109"/>
      <c r="BY25" s="24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</row>
    <row r="26" spans="1:77" ht="15.75" customHeight="1" thickTop="1">
      <c r="A26" s="40"/>
      <c r="B26" s="73"/>
      <c r="C26" s="25"/>
      <c r="D26" s="26"/>
      <c r="E26" s="24"/>
      <c r="F26" s="25"/>
      <c r="G26" s="26"/>
      <c r="H26" s="24"/>
      <c r="I26" s="25"/>
      <c r="J26" s="26"/>
      <c r="K26" s="24"/>
      <c r="L26" s="25"/>
      <c r="M26" s="26"/>
      <c r="N26" s="24"/>
      <c r="O26" s="25"/>
      <c r="P26" s="26"/>
      <c r="Q26" s="24"/>
      <c r="R26" s="25"/>
      <c r="S26" s="26"/>
      <c r="T26" s="24"/>
      <c r="U26" s="25"/>
      <c r="V26" s="26"/>
      <c r="W26" s="24"/>
      <c r="X26" s="25"/>
      <c r="Y26" s="26"/>
      <c r="Z26" s="24"/>
      <c r="AA26" s="25"/>
      <c r="AB26" s="26"/>
      <c r="AC26" s="24"/>
      <c r="AD26" s="25"/>
      <c r="AE26" s="26"/>
      <c r="AF26" s="24"/>
      <c r="AG26" s="25"/>
      <c r="AH26" s="26"/>
      <c r="AI26" s="24"/>
      <c r="AJ26" s="25"/>
      <c r="AK26" s="26"/>
      <c r="AL26" s="24"/>
      <c r="AM26" s="25"/>
      <c r="AN26" s="26"/>
      <c r="AO26" s="24"/>
      <c r="AP26" s="25"/>
      <c r="AQ26" s="26"/>
      <c r="AR26" s="24"/>
      <c r="AS26" s="25"/>
      <c r="AT26" s="26"/>
      <c r="AU26" s="24"/>
      <c r="AV26" s="25"/>
      <c r="AW26" s="26"/>
      <c r="AX26" s="24"/>
      <c r="AY26" s="25"/>
      <c r="AZ26" s="26"/>
      <c r="BA26" s="24"/>
      <c r="BB26" s="25"/>
      <c r="BC26" s="26"/>
      <c r="BD26" s="24"/>
      <c r="BE26" s="24"/>
      <c r="BF26" s="24"/>
      <c r="BG26" s="24"/>
      <c r="BH26" s="25"/>
      <c r="BI26" s="26"/>
      <c r="BJ26" s="26"/>
      <c r="BK26" s="25"/>
      <c r="BL26" s="26"/>
      <c r="BM26" s="26"/>
      <c r="BN26" s="25"/>
      <c r="BO26" s="26"/>
      <c r="BP26" s="26"/>
      <c r="BQ26" s="25"/>
      <c r="BR26" s="26"/>
      <c r="BS26" s="25"/>
      <c r="BT26" s="25"/>
      <c r="BU26" s="26"/>
      <c r="BV26" s="26"/>
      <c r="BW26" s="25"/>
      <c r="BX26" s="26"/>
      <c r="BY26" s="24"/>
    </row>
    <row r="27" spans="1:77" ht="15.75" customHeight="1">
      <c r="A27" s="40"/>
      <c r="B27" s="73"/>
      <c r="C27" s="25"/>
      <c r="D27" s="26"/>
      <c r="E27" s="24"/>
      <c r="F27" s="25"/>
      <c r="G27" s="26"/>
      <c r="H27" s="24"/>
      <c r="I27" s="25"/>
      <c r="J27" s="26"/>
      <c r="K27" s="24"/>
      <c r="L27" s="25"/>
      <c r="M27" s="26"/>
      <c r="N27" s="24"/>
      <c r="O27" s="25"/>
      <c r="P27" s="26"/>
      <c r="Q27" s="24"/>
      <c r="R27" s="25"/>
      <c r="S27" s="26"/>
      <c r="T27" s="24"/>
      <c r="U27" s="25"/>
      <c r="V27" s="26"/>
      <c r="W27" s="24"/>
      <c r="X27" s="25"/>
      <c r="Y27" s="26"/>
      <c r="Z27" s="24"/>
      <c r="AA27" s="25"/>
      <c r="AB27" s="26"/>
      <c r="AC27" s="24"/>
      <c r="AD27" s="25"/>
      <c r="AE27" s="26"/>
      <c r="AF27" s="24"/>
      <c r="AG27" s="25"/>
      <c r="AH27" s="26"/>
      <c r="AI27" s="24"/>
      <c r="AJ27" s="25"/>
      <c r="AK27" s="26"/>
      <c r="AL27" s="24"/>
      <c r="AM27" s="25"/>
      <c r="AN27" s="26"/>
      <c r="AO27" s="24"/>
      <c r="AP27" s="25"/>
      <c r="AQ27" s="26"/>
      <c r="AR27" s="24"/>
      <c r="AS27" s="25"/>
      <c r="AT27" s="26"/>
      <c r="AU27" s="24"/>
      <c r="AV27" s="25"/>
      <c r="AW27" s="26"/>
      <c r="AX27" s="24"/>
      <c r="AY27" s="25"/>
      <c r="AZ27" s="26"/>
      <c r="BA27" s="24"/>
      <c r="BB27" s="25"/>
      <c r="BC27" s="26"/>
      <c r="BD27" s="24"/>
      <c r="BE27" s="24"/>
      <c r="BF27" s="24"/>
      <c r="BG27" s="24"/>
      <c r="BH27" s="25"/>
      <c r="BI27" s="26"/>
      <c r="BJ27" s="26"/>
      <c r="BK27" s="25"/>
      <c r="BL27" s="26"/>
      <c r="BM27" s="26"/>
      <c r="BN27" s="25"/>
      <c r="BO27" s="26"/>
      <c r="BP27" s="26"/>
      <c r="BQ27" s="25"/>
      <c r="BR27" s="26"/>
      <c r="BS27" s="25"/>
      <c r="BT27" s="25"/>
      <c r="BU27" s="26"/>
      <c r="BV27" s="26"/>
      <c r="BW27" s="25"/>
      <c r="BX27" s="26"/>
      <c r="BY27" s="24"/>
    </row>
    <row r="28" spans="1:77" ht="15.75" customHeight="1">
      <c r="A28" s="40"/>
      <c r="B28" s="73"/>
      <c r="C28" s="25"/>
      <c r="D28" s="26"/>
      <c r="E28" s="24"/>
      <c r="F28" s="25"/>
      <c r="G28" s="26"/>
      <c r="H28" s="24"/>
      <c r="I28" s="25"/>
      <c r="J28" s="26"/>
      <c r="K28" s="24"/>
      <c r="L28" s="25"/>
      <c r="M28" s="26"/>
      <c r="N28" s="24"/>
      <c r="O28" s="25"/>
      <c r="P28" s="26"/>
      <c r="Q28" s="24"/>
      <c r="R28" s="25"/>
      <c r="S28" s="26"/>
      <c r="T28" s="24"/>
      <c r="U28" s="25"/>
      <c r="V28" s="26"/>
      <c r="W28" s="24"/>
      <c r="X28" s="25"/>
      <c r="Y28" s="26"/>
      <c r="Z28" s="24"/>
      <c r="AA28" s="25"/>
      <c r="AB28" s="26"/>
      <c r="AC28" s="24"/>
      <c r="AD28" s="25"/>
      <c r="AE28" s="26"/>
      <c r="AF28" s="24"/>
      <c r="AG28" s="25"/>
      <c r="AH28" s="26"/>
      <c r="AI28" s="24"/>
      <c r="AJ28" s="25"/>
      <c r="AK28" s="26"/>
      <c r="AL28" s="24"/>
      <c r="AM28" s="25"/>
      <c r="AN28" s="26"/>
      <c r="AO28" s="24"/>
      <c r="AP28" s="25"/>
      <c r="AQ28" s="26"/>
      <c r="AR28" s="24"/>
      <c r="AS28" s="25"/>
      <c r="AT28" s="26"/>
      <c r="AU28" s="24"/>
      <c r="AV28" s="25"/>
      <c r="AW28" s="26"/>
      <c r="AX28" s="24"/>
      <c r="AY28" s="25"/>
      <c r="AZ28" s="26"/>
      <c r="BA28" s="24"/>
      <c r="BB28" s="25"/>
      <c r="BC28" s="26"/>
      <c r="BD28" s="24"/>
      <c r="BE28" s="24"/>
      <c r="BF28" s="24"/>
      <c r="BG28" s="24"/>
      <c r="BH28" s="25"/>
      <c r="BI28" s="26"/>
      <c r="BJ28" s="26"/>
      <c r="BK28" s="25"/>
      <c r="BL28" s="26"/>
      <c r="BM28" s="26"/>
      <c r="BN28" s="25"/>
      <c r="BO28" s="26"/>
      <c r="BP28" s="26"/>
      <c r="BQ28" s="25"/>
      <c r="BR28" s="26"/>
      <c r="BS28" s="25"/>
      <c r="BT28" s="25"/>
      <c r="BU28" s="26"/>
      <c r="BV28" s="26"/>
      <c r="BW28" s="25"/>
      <c r="BX28" s="26"/>
      <c r="BY28" s="24"/>
    </row>
    <row r="29" spans="1:77" ht="15.75" customHeight="1">
      <c r="A29" s="40"/>
      <c r="B29" s="73"/>
      <c r="C29" s="25"/>
      <c r="D29" s="26"/>
      <c r="E29" s="24"/>
      <c r="F29" s="25"/>
      <c r="G29" s="26"/>
      <c r="H29" s="24"/>
      <c r="I29" s="25"/>
      <c r="J29" s="26"/>
      <c r="K29" s="24"/>
      <c r="L29" s="25"/>
      <c r="M29" s="26"/>
      <c r="N29" s="24"/>
      <c r="O29" s="25"/>
      <c r="P29" s="26"/>
      <c r="Q29" s="24"/>
      <c r="R29" s="25"/>
      <c r="S29" s="26"/>
      <c r="T29" s="24"/>
      <c r="U29" s="25"/>
      <c r="V29" s="26"/>
      <c r="W29" s="24"/>
      <c r="X29" s="25"/>
      <c r="Y29" s="26"/>
      <c r="Z29" s="24"/>
      <c r="AA29" s="25"/>
      <c r="AB29" s="26"/>
      <c r="AC29" s="24"/>
      <c r="AD29" s="25"/>
      <c r="AE29" s="26"/>
      <c r="AF29" s="24"/>
      <c r="AG29" s="25"/>
      <c r="AH29" s="26"/>
      <c r="AI29" s="24"/>
      <c r="AJ29" s="25"/>
      <c r="AK29" s="26"/>
      <c r="AL29" s="24"/>
      <c r="AM29" s="25"/>
      <c r="AN29" s="26"/>
      <c r="AO29" s="24"/>
      <c r="AP29" s="25"/>
      <c r="AQ29" s="26"/>
      <c r="AR29" s="24"/>
      <c r="AS29" s="25"/>
      <c r="AT29" s="26"/>
      <c r="AU29" s="24"/>
      <c r="AV29" s="25"/>
      <c r="AW29" s="26"/>
      <c r="AX29" s="24"/>
      <c r="AY29" s="25"/>
      <c r="AZ29" s="26"/>
      <c r="BA29" s="24"/>
      <c r="BB29" s="25"/>
      <c r="BC29" s="26"/>
      <c r="BD29" s="24"/>
      <c r="BE29" s="24"/>
      <c r="BF29" s="24"/>
      <c r="BG29" s="24"/>
      <c r="BH29" s="25"/>
      <c r="BI29" s="26"/>
      <c r="BJ29" s="26"/>
      <c r="BK29" s="25"/>
      <c r="BL29" s="26"/>
      <c r="BM29" s="26"/>
      <c r="BN29" s="25"/>
      <c r="BO29" s="26"/>
      <c r="BP29" s="26"/>
      <c r="BQ29" s="25"/>
      <c r="BR29" s="26"/>
      <c r="BS29" s="25"/>
      <c r="BT29" s="25"/>
      <c r="BU29" s="26"/>
      <c r="BV29" s="26"/>
      <c r="BW29" s="25"/>
      <c r="BX29" s="26"/>
      <c r="BY29" s="24"/>
    </row>
    <row r="30" spans="1:77" ht="15.75" customHeight="1">
      <c r="A30" s="40"/>
      <c r="B30" s="73"/>
      <c r="C30" s="25"/>
      <c r="D30" s="26"/>
      <c r="E30" s="24"/>
      <c r="F30" s="25"/>
      <c r="G30" s="26"/>
      <c r="H30" s="24"/>
      <c r="I30" s="25"/>
      <c r="J30" s="26"/>
      <c r="K30" s="24"/>
      <c r="L30" s="25"/>
      <c r="M30" s="26"/>
      <c r="N30" s="24"/>
      <c r="O30" s="25"/>
      <c r="P30" s="26"/>
      <c r="Q30" s="24"/>
      <c r="R30" s="25"/>
      <c r="S30" s="26"/>
      <c r="T30" s="24"/>
      <c r="U30" s="25"/>
      <c r="V30" s="26"/>
      <c r="W30" s="24"/>
      <c r="X30" s="25"/>
      <c r="Y30" s="26"/>
      <c r="Z30" s="24"/>
      <c r="AA30" s="25"/>
      <c r="AB30" s="26"/>
      <c r="AC30" s="24"/>
      <c r="AD30" s="25"/>
      <c r="AE30" s="26"/>
      <c r="AF30" s="24"/>
      <c r="AG30" s="25"/>
      <c r="AH30" s="26"/>
      <c r="AI30" s="24"/>
      <c r="AJ30" s="25"/>
      <c r="AK30" s="26"/>
      <c r="AL30" s="24"/>
      <c r="AM30" s="25"/>
      <c r="AN30" s="26"/>
      <c r="AO30" s="24"/>
      <c r="AP30" s="25"/>
      <c r="AQ30" s="26"/>
      <c r="AR30" s="24"/>
      <c r="AS30" s="25"/>
      <c r="AT30" s="26"/>
      <c r="AU30" s="24"/>
      <c r="AV30" s="25"/>
      <c r="AW30" s="26"/>
      <c r="AX30" s="24"/>
      <c r="AY30" s="25"/>
      <c r="AZ30" s="26"/>
      <c r="BA30" s="24"/>
      <c r="BB30" s="25"/>
      <c r="BC30" s="26"/>
      <c r="BD30" s="24"/>
      <c r="BE30" s="24"/>
      <c r="BF30" s="24"/>
      <c r="BG30" s="24"/>
      <c r="BH30" s="25"/>
      <c r="BI30" s="26"/>
      <c r="BJ30" s="26"/>
      <c r="BK30" s="25"/>
      <c r="BL30" s="26"/>
      <c r="BM30" s="26"/>
      <c r="BN30" s="25"/>
      <c r="BO30" s="26"/>
      <c r="BP30" s="26"/>
      <c r="BQ30" s="25"/>
      <c r="BR30" s="26"/>
      <c r="BS30" s="25"/>
      <c r="BT30" s="25"/>
      <c r="BU30" s="26"/>
      <c r="BV30" s="26"/>
      <c r="BW30" s="25"/>
      <c r="BX30" s="26"/>
      <c r="BY30" s="24"/>
    </row>
    <row r="31" spans="1:77" ht="15.75" customHeight="1">
      <c r="A31" s="40"/>
      <c r="B31" s="73"/>
      <c r="C31" s="25"/>
      <c r="D31" s="26"/>
      <c r="E31" s="24"/>
      <c r="F31" s="25"/>
      <c r="G31" s="26"/>
      <c r="H31" s="24"/>
      <c r="I31" s="25"/>
      <c r="J31" s="26"/>
      <c r="K31" s="24"/>
      <c r="L31" s="25"/>
      <c r="M31" s="26"/>
      <c r="N31" s="24"/>
      <c r="O31" s="25"/>
      <c r="P31" s="26"/>
      <c r="Q31" s="24"/>
      <c r="R31" s="25"/>
      <c r="S31" s="26"/>
      <c r="T31" s="24"/>
      <c r="U31" s="25"/>
      <c r="V31" s="26"/>
      <c r="W31" s="24"/>
      <c r="X31" s="25"/>
      <c r="Y31" s="26"/>
      <c r="Z31" s="24"/>
      <c r="AA31" s="25"/>
      <c r="AB31" s="26"/>
      <c r="AC31" s="24"/>
      <c r="AD31" s="25"/>
      <c r="AE31" s="26"/>
      <c r="AF31" s="24"/>
      <c r="AG31" s="25"/>
      <c r="AH31" s="26"/>
      <c r="AI31" s="24"/>
      <c r="AJ31" s="25"/>
      <c r="AK31" s="26"/>
      <c r="AL31" s="24"/>
      <c r="AM31" s="25"/>
      <c r="AN31" s="26"/>
      <c r="AO31" s="24"/>
      <c r="AP31" s="25"/>
      <c r="AQ31" s="26"/>
      <c r="AR31" s="24"/>
      <c r="AS31" s="25"/>
      <c r="AT31" s="26"/>
      <c r="AU31" s="24"/>
      <c r="AV31" s="25"/>
      <c r="AW31" s="26"/>
      <c r="AX31" s="24"/>
      <c r="AY31" s="25"/>
      <c r="AZ31" s="26"/>
      <c r="BA31" s="24"/>
      <c r="BB31" s="25"/>
      <c r="BC31" s="26"/>
      <c r="BD31" s="24"/>
      <c r="BE31" s="24"/>
      <c r="BF31" s="24"/>
      <c r="BG31" s="24"/>
      <c r="BH31" s="25"/>
      <c r="BI31" s="26"/>
      <c r="BJ31" s="26"/>
      <c r="BK31" s="25"/>
      <c r="BL31" s="26"/>
      <c r="BM31" s="26"/>
      <c r="BN31" s="25"/>
      <c r="BO31" s="26"/>
      <c r="BP31" s="26"/>
      <c r="BQ31" s="25"/>
      <c r="BR31" s="26"/>
      <c r="BS31" s="25"/>
      <c r="BT31" s="25"/>
      <c r="BU31" s="26"/>
      <c r="BV31" s="26"/>
      <c r="BW31" s="25"/>
      <c r="BX31" s="26"/>
      <c r="BY31" s="24"/>
    </row>
    <row r="32" spans="1:77" ht="15.75" customHeight="1">
      <c r="A32" s="40"/>
      <c r="B32" s="73"/>
      <c r="C32" s="25"/>
      <c r="D32" s="26"/>
      <c r="E32" s="24"/>
      <c r="F32" s="25"/>
      <c r="G32" s="26"/>
      <c r="H32" s="24"/>
      <c r="I32" s="25"/>
      <c r="J32" s="26"/>
      <c r="K32" s="24"/>
      <c r="L32" s="25"/>
      <c r="M32" s="26"/>
      <c r="N32" s="24"/>
      <c r="O32" s="25"/>
      <c r="P32" s="26"/>
      <c r="Q32" s="24"/>
      <c r="R32" s="25"/>
      <c r="S32" s="26"/>
      <c r="T32" s="24"/>
      <c r="U32" s="25"/>
      <c r="V32" s="26"/>
      <c r="W32" s="24"/>
      <c r="X32" s="25"/>
      <c r="Y32" s="26"/>
      <c r="Z32" s="24"/>
      <c r="AA32" s="25"/>
      <c r="AB32" s="26"/>
      <c r="AC32" s="24"/>
      <c r="AD32" s="25"/>
      <c r="AE32" s="26"/>
      <c r="AF32" s="24"/>
      <c r="AG32" s="25"/>
      <c r="AH32" s="26"/>
      <c r="AI32" s="24"/>
      <c r="AJ32" s="25"/>
      <c r="AK32" s="26"/>
      <c r="AL32" s="24"/>
      <c r="AM32" s="25"/>
      <c r="AN32" s="26"/>
      <c r="AO32" s="24"/>
      <c r="AP32" s="25"/>
      <c r="AQ32" s="26"/>
      <c r="AR32" s="24"/>
      <c r="AS32" s="25"/>
      <c r="AT32" s="26"/>
      <c r="AU32" s="24"/>
      <c r="AV32" s="25"/>
      <c r="AW32" s="26"/>
      <c r="AX32" s="24"/>
      <c r="AY32" s="25"/>
      <c r="AZ32" s="26"/>
      <c r="BA32" s="24"/>
      <c r="BB32" s="25"/>
      <c r="BC32" s="26"/>
      <c r="BD32" s="24"/>
      <c r="BE32" s="24"/>
      <c r="BF32" s="24"/>
      <c r="BG32" s="24"/>
      <c r="BH32" s="25"/>
      <c r="BI32" s="26"/>
      <c r="BJ32" s="26"/>
      <c r="BK32" s="25"/>
      <c r="BL32" s="26"/>
      <c r="BM32" s="26"/>
      <c r="BN32" s="25"/>
      <c r="BO32" s="26"/>
      <c r="BP32" s="26"/>
      <c r="BQ32" s="25"/>
      <c r="BR32" s="26"/>
      <c r="BS32" s="25"/>
      <c r="BT32" s="25"/>
      <c r="BU32" s="26"/>
      <c r="BV32" s="26"/>
      <c r="BW32" s="25"/>
      <c r="BX32" s="26"/>
      <c r="BY32" s="24"/>
    </row>
    <row r="33" spans="1:77" ht="15.75" customHeight="1">
      <c r="A33" s="40"/>
      <c r="B33" s="76"/>
      <c r="C33" s="25"/>
      <c r="D33" s="26"/>
      <c r="E33" s="24"/>
      <c r="F33" s="25"/>
      <c r="G33" s="26"/>
      <c r="H33" s="24"/>
      <c r="I33" s="25"/>
      <c r="J33" s="26"/>
      <c r="K33" s="24"/>
      <c r="L33" s="25"/>
      <c r="M33" s="26"/>
      <c r="N33" s="24"/>
      <c r="O33" s="25"/>
      <c r="P33" s="26"/>
      <c r="Q33" s="24"/>
      <c r="R33" s="25"/>
      <c r="S33" s="26"/>
      <c r="T33" s="24"/>
      <c r="U33" s="25"/>
      <c r="V33" s="26"/>
      <c r="W33" s="24"/>
      <c r="X33" s="25"/>
      <c r="Y33" s="26"/>
      <c r="Z33" s="24"/>
      <c r="AA33" s="25"/>
      <c r="AB33" s="26"/>
      <c r="AC33" s="24"/>
      <c r="AD33" s="25"/>
      <c r="AE33" s="26"/>
      <c r="AF33" s="24"/>
      <c r="AG33" s="25"/>
      <c r="AH33" s="26"/>
      <c r="AI33" s="24"/>
      <c r="AJ33" s="25"/>
      <c r="AK33" s="26"/>
      <c r="AL33" s="24"/>
      <c r="AM33" s="25"/>
      <c r="AN33" s="26"/>
      <c r="AO33" s="24"/>
      <c r="AP33" s="25"/>
      <c r="AQ33" s="26"/>
      <c r="AR33" s="24"/>
      <c r="AS33" s="25"/>
      <c r="AT33" s="26"/>
      <c r="AU33" s="24"/>
      <c r="AV33" s="25"/>
      <c r="AW33" s="26"/>
      <c r="AX33" s="24"/>
      <c r="AY33" s="25"/>
      <c r="AZ33" s="26"/>
      <c r="BA33" s="24"/>
      <c r="BB33" s="25"/>
      <c r="BC33" s="26"/>
      <c r="BD33" s="24"/>
      <c r="BE33" s="24"/>
      <c r="BF33" s="24"/>
      <c r="BG33" s="24"/>
      <c r="BH33" s="25"/>
      <c r="BI33" s="26"/>
      <c r="BJ33" s="26"/>
      <c r="BK33" s="25"/>
      <c r="BL33" s="26"/>
      <c r="BM33" s="26"/>
      <c r="BN33" s="25"/>
      <c r="BO33" s="26"/>
      <c r="BP33" s="26"/>
      <c r="BQ33" s="25"/>
      <c r="BR33" s="26"/>
      <c r="BS33" s="25"/>
      <c r="BT33" s="25"/>
      <c r="BU33" s="26"/>
      <c r="BV33" s="26"/>
      <c r="BW33" s="25"/>
      <c r="BX33" s="26"/>
      <c r="BY33" s="24"/>
    </row>
    <row r="34" spans="1:77" ht="15.75" customHeight="1">
      <c r="A34" s="40"/>
      <c r="B34" s="76"/>
      <c r="C34" s="25"/>
      <c r="D34" s="26"/>
      <c r="E34" s="24"/>
      <c r="F34" s="25"/>
      <c r="G34" s="26"/>
      <c r="H34" s="24"/>
      <c r="I34" s="25"/>
      <c r="J34" s="26"/>
      <c r="K34" s="24"/>
      <c r="L34" s="25"/>
      <c r="M34" s="26"/>
      <c r="N34" s="24"/>
      <c r="O34" s="25"/>
      <c r="P34" s="26"/>
      <c r="Q34" s="24"/>
      <c r="R34" s="25"/>
      <c r="S34" s="26"/>
      <c r="T34" s="64"/>
      <c r="U34" s="25"/>
      <c r="V34" s="26"/>
      <c r="W34" s="24"/>
      <c r="X34" s="25"/>
      <c r="Y34" s="26"/>
      <c r="Z34" s="24"/>
      <c r="AA34" s="25"/>
      <c r="AB34" s="26"/>
      <c r="AC34" s="24"/>
      <c r="AD34" s="25"/>
      <c r="AE34" s="26"/>
      <c r="AF34" s="24"/>
      <c r="AG34" s="25"/>
      <c r="AH34" s="26"/>
      <c r="AI34" s="24"/>
      <c r="AJ34" s="25"/>
      <c r="AK34" s="26"/>
      <c r="AL34" s="24"/>
      <c r="AM34" s="25"/>
      <c r="AN34" s="26"/>
      <c r="AO34" s="24"/>
      <c r="AP34" s="25"/>
      <c r="AQ34" s="26"/>
      <c r="AR34" s="24"/>
      <c r="AS34" s="25"/>
      <c r="AT34" s="26"/>
      <c r="AU34" s="24"/>
      <c r="AV34" s="25"/>
      <c r="AW34" s="26"/>
      <c r="AX34" s="24"/>
      <c r="AY34" s="25"/>
      <c r="AZ34" s="26"/>
      <c r="BA34" s="24"/>
      <c r="BB34" s="25"/>
      <c r="BC34" s="26"/>
      <c r="BD34" s="24"/>
      <c r="BE34" s="24"/>
      <c r="BF34" s="24"/>
      <c r="BG34" s="24"/>
      <c r="BH34" s="25"/>
      <c r="BI34" s="26"/>
      <c r="BJ34" s="26"/>
      <c r="BK34" s="25"/>
      <c r="BL34" s="26"/>
      <c r="BM34" s="26"/>
      <c r="BN34" s="25"/>
      <c r="BO34" s="26"/>
      <c r="BP34" s="26"/>
      <c r="BQ34" s="25"/>
      <c r="BR34" s="26"/>
      <c r="BS34" s="25"/>
      <c r="BT34" s="25"/>
      <c r="BU34" s="26"/>
      <c r="BV34" s="26"/>
      <c r="BW34" s="25"/>
      <c r="BX34" s="26"/>
      <c r="BY34" s="65"/>
    </row>
    <row r="35" spans="1:77" ht="15.75" customHeight="1">
      <c r="A35" s="40"/>
      <c r="B35" s="76"/>
      <c r="C35" s="25"/>
      <c r="D35" s="26"/>
      <c r="E35" s="24"/>
      <c r="F35" s="25"/>
      <c r="G35" s="26"/>
      <c r="H35" s="24"/>
      <c r="I35" s="25"/>
      <c r="J35" s="26"/>
      <c r="K35" s="24"/>
      <c r="L35" s="25"/>
      <c r="M35" s="26"/>
      <c r="N35" s="24"/>
      <c r="O35" s="25"/>
      <c r="P35" s="26"/>
      <c r="Q35" s="24"/>
      <c r="R35" s="25"/>
      <c r="S35" s="26"/>
      <c r="T35" s="24"/>
      <c r="U35" s="25"/>
      <c r="V35" s="26"/>
      <c r="W35" s="24"/>
      <c r="X35" s="25"/>
      <c r="Y35" s="26"/>
      <c r="Z35" s="24"/>
      <c r="AA35" s="25"/>
      <c r="AB35" s="26"/>
      <c r="AC35" s="24"/>
      <c r="AD35" s="25"/>
      <c r="AE35" s="26"/>
      <c r="AF35" s="24"/>
      <c r="AG35" s="25"/>
      <c r="AH35" s="26"/>
      <c r="AI35" s="24"/>
      <c r="AJ35" s="25"/>
      <c r="AK35" s="26"/>
      <c r="AL35" s="24"/>
      <c r="AM35" s="25"/>
      <c r="AN35" s="26"/>
      <c r="AO35" s="24"/>
      <c r="AP35" s="25"/>
      <c r="AQ35" s="26"/>
      <c r="AR35" s="24"/>
      <c r="AS35" s="25"/>
      <c r="AT35" s="26"/>
      <c r="AU35" s="24"/>
      <c r="AV35" s="25"/>
      <c r="AW35" s="26"/>
      <c r="AX35" s="24"/>
      <c r="AY35" s="25"/>
      <c r="AZ35" s="26"/>
      <c r="BA35" s="24"/>
      <c r="BB35" s="25"/>
      <c r="BC35" s="26"/>
      <c r="BD35" s="24"/>
      <c r="BE35" s="24"/>
      <c r="BF35" s="24"/>
      <c r="BG35" s="24"/>
      <c r="BH35" s="25"/>
      <c r="BI35" s="26"/>
      <c r="BJ35" s="26"/>
      <c r="BK35" s="25"/>
      <c r="BL35" s="26"/>
      <c r="BM35" s="26"/>
      <c r="BN35" s="25"/>
      <c r="BO35" s="26"/>
      <c r="BP35" s="26"/>
      <c r="BQ35" s="25"/>
      <c r="BR35" s="26"/>
      <c r="BS35" s="25"/>
      <c r="BT35" s="25"/>
      <c r="BU35" s="26"/>
      <c r="BV35" s="26"/>
      <c r="BW35" s="25"/>
      <c r="BX35" s="26"/>
      <c r="BY35" s="65"/>
    </row>
    <row r="36" spans="1:77" ht="15.75" customHeight="1">
      <c r="A36" s="66"/>
      <c r="B36" s="77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7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66"/>
      <c r="BX36" s="66"/>
      <c r="BY36" s="67"/>
    </row>
    <row r="37" spans="1:77" ht="15.75" customHeight="1">
      <c r="A37" s="57"/>
      <c r="B37" s="7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67"/>
      <c r="BT37" s="57"/>
      <c r="BU37" s="57"/>
      <c r="BV37" s="67"/>
      <c r="BW37" s="67"/>
      <c r="BX37" s="67"/>
      <c r="BY37" s="67"/>
    </row>
    <row r="38" spans="1:77" ht="15.75" customHeight="1">
      <c r="A38" s="57"/>
      <c r="B38" s="7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67"/>
      <c r="BT38" s="57"/>
      <c r="BU38" s="57"/>
      <c r="BV38" s="67"/>
      <c r="BW38" s="67"/>
      <c r="BX38" s="67"/>
      <c r="BY38" s="67"/>
    </row>
    <row r="39" spans="1:77" ht="15.75" customHeight="1">
      <c r="A39" s="57"/>
      <c r="B39" s="7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67"/>
      <c r="BT39" s="57"/>
      <c r="BU39" s="57"/>
      <c r="BV39" s="67"/>
      <c r="BW39" s="67"/>
      <c r="BX39" s="67"/>
      <c r="BY39" s="67"/>
    </row>
    <row r="40" spans="1:77" ht="15.75" customHeight="1">
      <c r="A40" s="57"/>
      <c r="B40" s="7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67"/>
      <c r="BT40" s="57"/>
      <c r="BU40" s="57"/>
      <c r="BV40" s="67"/>
      <c r="BW40" s="67"/>
      <c r="BX40" s="67"/>
      <c r="BY40" s="67"/>
    </row>
    <row r="41" spans="1:77" ht="15.75" customHeight="1">
      <c r="A41" s="57"/>
      <c r="B41" s="78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67"/>
      <c r="BT41" s="57"/>
      <c r="BU41" s="57"/>
      <c r="BV41" s="67"/>
      <c r="BW41" s="67"/>
      <c r="BX41" s="67"/>
      <c r="BY41" s="67"/>
    </row>
    <row r="42" spans="1:77" ht="15.75" customHeight="1">
      <c r="A42" s="57"/>
      <c r="B42" s="7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67"/>
      <c r="BT42" s="57"/>
      <c r="BU42" s="57"/>
      <c r="BV42" s="67"/>
      <c r="BW42" s="67"/>
      <c r="BX42" s="67"/>
      <c r="BY42" s="67"/>
    </row>
    <row r="43" spans="1:77" ht="15.75" customHeight="1">
      <c r="A43" s="57"/>
      <c r="B43" s="7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67"/>
      <c r="BT43" s="57"/>
      <c r="BU43" s="57"/>
      <c r="BV43" s="67"/>
      <c r="BW43" s="67"/>
      <c r="BX43" s="67"/>
      <c r="BY43" s="67"/>
    </row>
    <row r="44" spans="1:77" ht="15.75" customHeight="1">
      <c r="A44" s="57"/>
      <c r="B44" s="7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67"/>
      <c r="BT44" s="57"/>
      <c r="BU44" s="57"/>
      <c r="BV44" s="67"/>
      <c r="BW44" s="67"/>
      <c r="BX44" s="67"/>
      <c r="BY44" s="67"/>
    </row>
    <row r="45" spans="1:77" ht="15.75" customHeight="1">
      <c r="A45" s="57"/>
      <c r="B45" s="78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67"/>
      <c r="BT45" s="57"/>
      <c r="BU45" s="57"/>
      <c r="BV45" s="67"/>
      <c r="BW45" s="67"/>
      <c r="BX45" s="67"/>
      <c r="BY45" s="67"/>
    </row>
    <row r="46" spans="1:77" ht="15.75" customHeight="1">
      <c r="A46" s="57"/>
      <c r="B46" s="78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67"/>
      <c r="BT46" s="57"/>
      <c r="BU46" s="57"/>
      <c r="BV46" s="67"/>
      <c r="BW46" s="67"/>
      <c r="BX46" s="67"/>
      <c r="BY46" s="67"/>
    </row>
    <row r="47" spans="1:77" ht="15.75" customHeight="1">
      <c r="A47" s="57"/>
      <c r="B47" s="78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67"/>
      <c r="BT47" s="57"/>
      <c r="BU47" s="57"/>
      <c r="BV47" s="67"/>
      <c r="BW47" s="67"/>
      <c r="BX47" s="67"/>
      <c r="BY47" s="67"/>
    </row>
    <row r="48" spans="1:77" ht="15.75" customHeight="1">
      <c r="A48" s="57"/>
      <c r="B48" s="78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67"/>
      <c r="BT48" s="57"/>
      <c r="BU48" s="57"/>
      <c r="BV48" s="67"/>
      <c r="BW48" s="67"/>
      <c r="BX48" s="67"/>
      <c r="BY48" s="67"/>
    </row>
    <row r="49" spans="1:77" ht="15.75" customHeight="1">
      <c r="A49" s="57"/>
      <c r="B49" s="78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67"/>
      <c r="BT49" s="57"/>
      <c r="BU49" s="57"/>
      <c r="BV49" s="67"/>
      <c r="BW49" s="67"/>
      <c r="BX49" s="67"/>
      <c r="BY49" s="67"/>
    </row>
    <row r="50" spans="1:77" ht="15.75" customHeight="1">
      <c r="A50" s="57"/>
      <c r="B50" s="78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67"/>
      <c r="BT50" s="57"/>
      <c r="BU50" s="57"/>
      <c r="BV50" s="67"/>
      <c r="BW50" s="67"/>
      <c r="BX50" s="67"/>
      <c r="BY50" s="67"/>
    </row>
    <row r="51" spans="1:77" ht="15.75" customHeight="1">
      <c r="A51" s="57"/>
      <c r="B51" s="78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67"/>
      <c r="BT51" s="57"/>
      <c r="BU51" s="57"/>
      <c r="BV51" s="67"/>
      <c r="BW51" s="67"/>
      <c r="BX51" s="67"/>
      <c r="BY51" s="67"/>
    </row>
    <row r="52" spans="1:77" ht="15.75" customHeight="1">
      <c r="A52" s="57"/>
      <c r="B52" s="78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67"/>
      <c r="BT52" s="57"/>
      <c r="BU52" s="57"/>
      <c r="BV52" s="67"/>
      <c r="BW52" s="67"/>
      <c r="BX52" s="67"/>
      <c r="BY52" s="67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A52"/>
  <sheetViews>
    <sheetView zoomScale="85" zoomScaleNormal="85" zoomScalePageLayoutView="0" workbookViewId="0" topLeftCell="A1">
      <pane xSplit="2" ySplit="11" topLeftCell="BE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H39" sqref="BH39"/>
    </sheetView>
  </sheetViews>
  <sheetFormatPr defaultColWidth="13.28125" defaultRowHeight="15.75" customHeight="1"/>
  <cols>
    <col min="1" max="1" width="6.28125" style="34" customWidth="1"/>
    <col min="2" max="2" width="30.8515625" style="79" customWidth="1"/>
    <col min="3" max="3" width="25.421875" style="34" customWidth="1"/>
    <col min="4" max="4" width="12.421875" style="34" customWidth="1"/>
    <col min="5" max="5" width="7.57421875" style="34" customWidth="1"/>
    <col min="6" max="6" width="21.57421875" style="34" customWidth="1"/>
    <col min="7" max="7" width="18.421875" style="34" customWidth="1"/>
    <col min="8" max="8" width="6.421875" style="34" customWidth="1"/>
    <col min="9" max="9" width="24.00390625" style="34" customWidth="1"/>
    <col min="10" max="10" width="14.00390625" style="34" customWidth="1"/>
    <col min="11" max="11" width="7.8515625" style="34" customWidth="1"/>
    <col min="12" max="12" width="26.00390625" style="34" customWidth="1"/>
    <col min="13" max="13" width="13.8515625" style="34" customWidth="1"/>
    <col min="14" max="14" width="8.00390625" style="34" customWidth="1"/>
    <col min="15" max="15" width="24.140625" style="34" customWidth="1"/>
    <col min="16" max="16" width="14.00390625" style="34" customWidth="1"/>
    <col min="17" max="17" width="7.00390625" style="34" customWidth="1"/>
    <col min="18" max="18" width="21.7109375" style="34" customWidth="1"/>
    <col min="19" max="19" width="15.00390625" style="34" customWidth="1"/>
    <col min="20" max="20" width="5.57421875" style="34" customWidth="1"/>
    <col min="21" max="21" width="25.7109375" style="34" customWidth="1"/>
    <col min="22" max="22" width="15.8515625" style="34" customWidth="1"/>
    <col min="23" max="23" width="6.7109375" style="34" customWidth="1"/>
    <col min="24" max="24" width="23.00390625" style="34" customWidth="1"/>
    <col min="25" max="25" width="13.8515625" style="34" customWidth="1"/>
    <col min="26" max="26" width="7.140625" style="34" customWidth="1"/>
    <col min="27" max="27" width="24.00390625" style="34" customWidth="1"/>
    <col min="28" max="28" width="15.7109375" style="34" customWidth="1"/>
    <col min="29" max="29" width="7.421875" style="34" customWidth="1"/>
    <col min="30" max="30" width="25.140625" style="34" customWidth="1"/>
    <col min="31" max="31" width="14.00390625" style="34" customWidth="1"/>
    <col min="32" max="32" width="6.7109375" style="34" customWidth="1"/>
    <col min="33" max="33" width="22.7109375" style="34" customWidth="1"/>
    <col min="34" max="34" width="13.421875" style="34" customWidth="1"/>
    <col min="35" max="35" width="8.140625" style="34" customWidth="1"/>
    <col min="36" max="36" width="24.00390625" style="34" customWidth="1"/>
    <col min="37" max="37" width="13.7109375" style="34" customWidth="1"/>
    <col min="38" max="38" width="7.57421875" style="34" customWidth="1"/>
    <col min="39" max="39" width="27.140625" style="34" customWidth="1"/>
    <col min="40" max="40" width="12.421875" style="34" customWidth="1"/>
    <col min="41" max="41" width="9.57421875" style="34" customWidth="1"/>
    <col min="42" max="42" width="21.8515625" style="34" customWidth="1"/>
    <col min="43" max="43" width="14.28125" style="34" customWidth="1"/>
    <col min="44" max="44" width="8.57421875" style="34" customWidth="1"/>
    <col min="45" max="45" width="25.28125" style="34" customWidth="1"/>
    <col min="46" max="46" width="13.421875" style="34" customWidth="1"/>
    <col min="47" max="47" width="7.8515625" style="34" customWidth="1"/>
    <col min="48" max="48" width="22.7109375" style="34" customWidth="1"/>
    <col min="49" max="49" width="14.421875" style="34" customWidth="1"/>
    <col min="50" max="50" width="8.57421875" style="34" customWidth="1"/>
    <col min="51" max="51" width="26.421875" style="34" customWidth="1"/>
    <col min="52" max="52" width="13.140625" style="34" customWidth="1"/>
    <col min="53" max="53" width="9.7109375" style="34" customWidth="1"/>
    <col min="54" max="54" width="25.28125" style="34" customWidth="1"/>
    <col min="55" max="55" width="15.421875" style="34" customWidth="1"/>
    <col min="56" max="56" width="8.57421875" style="34" customWidth="1"/>
    <col min="57" max="57" width="25.28125" style="34" customWidth="1"/>
    <col min="58" max="58" width="12.8515625" style="34" customWidth="1"/>
    <col min="59" max="59" width="8.140625" style="34" customWidth="1"/>
    <col min="60" max="60" width="24.421875" style="34" customWidth="1"/>
    <col min="61" max="61" width="17.00390625" style="34" customWidth="1"/>
    <col min="62" max="62" width="9.421875" style="34" customWidth="1"/>
    <col min="63" max="63" width="23.8515625" style="83" customWidth="1"/>
    <col min="64" max="64" width="17.00390625" style="83" customWidth="1"/>
    <col min="65" max="65" width="7.8515625" style="83" customWidth="1"/>
    <col min="66" max="66" width="27.7109375" style="83" customWidth="1"/>
    <col min="67" max="67" width="14.8515625" style="83" customWidth="1"/>
    <col min="68" max="68" width="8.57421875" style="83" customWidth="1"/>
    <col min="69" max="69" width="24.421875" style="83" customWidth="1"/>
    <col min="70" max="70" width="14.28125" style="83" customWidth="1"/>
    <col min="71" max="71" width="10.7109375" style="83" customWidth="1"/>
    <col min="72" max="72" width="22.57421875" style="83" customWidth="1"/>
    <col min="73" max="73" width="14.140625" style="83" customWidth="1"/>
    <col min="74" max="74" width="9.140625" style="83" customWidth="1"/>
    <col min="75" max="75" width="21.7109375" style="83" customWidth="1"/>
    <col min="76" max="76" width="13.140625" style="83" customWidth="1"/>
    <col min="77" max="105" width="13.28125" style="83" customWidth="1"/>
    <col min="106" max="16384" width="13.28125" style="34" customWidth="1"/>
  </cols>
  <sheetData>
    <row r="1" spans="1:77" ht="15.75" customHeight="1">
      <c r="A1" s="84" t="s">
        <v>0</v>
      </c>
      <c r="B1" s="68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 t="s">
        <v>1</v>
      </c>
      <c r="AC1" s="24"/>
      <c r="AD1" s="24"/>
      <c r="AE1" s="24"/>
      <c r="AF1" s="24"/>
      <c r="AG1" s="24"/>
      <c r="AH1" s="91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67"/>
      <c r="BY1" s="67"/>
    </row>
    <row r="2" spans="1:77" ht="15.75" customHeight="1">
      <c r="A2" s="84"/>
      <c r="B2" s="68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91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67"/>
      <c r="BY2" s="67"/>
    </row>
    <row r="3" spans="1:77" ht="15.75" customHeight="1">
      <c r="A3" s="24"/>
      <c r="B3" s="69" t="s">
        <v>247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67"/>
      <c r="BY3" s="67"/>
    </row>
    <row r="4" spans="1:105" s="104" customFormat="1" ht="15.75" customHeight="1" thickBot="1">
      <c r="A4" s="99" t="s">
        <v>2</v>
      </c>
      <c r="B4" s="100"/>
      <c r="C4" s="101" t="s">
        <v>248</v>
      </c>
      <c r="D4" s="101"/>
      <c r="E4" s="102"/>
      <c r="F4" s="101" t="s">
        <v>249</v>
      </c>
      <c r="G4" s="101"/>
      <c r="H4" s="102"/>
      <c r="I4" s="101" t="s">
        <v>250</v>
      </c>
      <c r="J4" s="101"/>
      <c r="K4" s="101"/>
      <c r="L4" s="101" t="s">
        <v>251</v>
      </c>
      <c r="M4" s="101"/>
      <c r="N4" s="102"/>
      <c r="O4" s="101" t="s">
        <v>252</v>
      </c>
      <c r="P4" s="101"/>
      <c r="Q4" s="102"/>
      <c r="R4" s="101" t="s">
        <v>253</v>
      </c>
      <c r="S4" s="101"/>
      <c r="T4" s="101"/>
      <c r="U4" s="101" t="s">
        <v>254</v>
      </c>
      <c r="V4" s="101"/>
      <c r="W4" s="101"/>
      <c r="X4" s="101" t="s">
        <v>255</v>
      </c>
      <c r="Y4" s="101"/>
      <c r="Z4" s="102"/>
      <c r="AA4" s="101" t="s">
        <v>256</v>
      </c>
      <c r="AB4" s="101"/>
      <c r="AC4" s="102"/>
      <c r="AD4" s="101" t="s">
        <v>257</v>
      </c>
      <c r="AE4" s="101"/>
      <c r="AF4" s="102"/>
      <c r="AG4" s="101" t="s">
        <v>258</v>
      </c>
      <c r="AH4" s="101"/>
      <c r="AI4" s="102"/>
      <c r="AJ4" s="101" t="s">
        <v>259</v>
      </c>
      <c r="AK4" s="101"/>
      <c r="AL4" s="102"/>
      <c r="AM4" s="101" t="s">
        <v>260</v>
      </c>
      <c r="AN4" s="101"/>
      <c r="AO4" s="102"/>
      <c r="AP4" s="101" t="s">
        <v>261</v>
      </c>
      <c r="AQ4" s="101"/>
      <c r="AR4" s="102"/>
      <c r="AS4" s="101" t="s">
        <v>262</v>
      </c>
      <c r="AT4" s="101"/>
      <c r="AU4" s="102"/>
      <c r="AV4" s="101" t="s">
        <v>263</v>
      </c>
      <c r="AW4" s="101"/>
      <c r="AX4" s="102"/>
      <c r="AY4" s="101" t="s">
        <v>264</v>
      </c>
      <c r="AZ4" s="101"/>
      <c r="BA4" s="102"/>
      <c r="BB4" s="101" t="s">
        <v>265</v>
      </c>
      <c r="BC4" s="101"/>
      <c r="BD4" s="102"/>
      <c r="BE4" s="101" t="s">
        <v>266</v>
      </c>
      <c r="BF4" s="103"/>
      <c r="BG4" s="103"/>
      <c r="BH4" s="101" t="s">
        <v>3</v>
      </c>
      <c r="BI4" s="101"/>
      <c r="BJ4" s="101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5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</row>
    <row r="5" spans="1:77" ht="15.75" customHeight="1" thickTop="1">
      <c r="A5" s="24"/>
      <c r="B5" s="70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</row>
    <row r="6" spans="1:77" ht="15" customHeight="1">
      <c r="A6" s="24"/>
      <c r="B6" s="70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</row>
    <row r="7" spans="1:77" ht="15.75" customHeight="1">
      <c r="A7" s="27"/>
      <c r="B7" s="70"/>
      <c r="C7" s="28" t="s">
        <v>4</v>
      </c>
      <c r="D7" s="28" t="s">
        <v>4</v>
      </c>
      <c r="E7" s="28"/>
      <c r="F7" s="28" t="s">
        <v>4</v>
      </c>
      <c r="G7" s="28" t="s">
        <v>4</v>
      </c>
      <c r="H7" s="28"/>
      <c r="I7" s="28" t="s">
        <v>4</v>
      </c>
      <c r="J7" s="28" t="s">
        <v>4</v>
      </c>
      <c r="K7" s="28"/>
      <c r="L7" s="28" t="s">
        <v>4</v>
      </c>
      <c r="M7" s="28" t="s">
        <v>4</v>
      </c>
      <c r="N7" s="28"/>
      <c r="O7" s="28" t="s">
        <v>4</v>
      </c>
      <c r="P7" s="28" t="s">
        <v>4</v>
      </c>
      <c r="Q7" s="28"/>
      <c r="R7" s="28" t="s">
        <v>4</v>
      </c>
      <c r="S7" s="28" t="s">
        <v>4</v>
      </c>
      <c r="T7" s="28"/>
      <c r="U7" s="28" t="s">
        <v>4</v>
      </c>
      <c r="V7" s="28" t="s">
        <v>4</v>
      </c>
      <c r="W7" s="28"/>
      <c r="X7" s="28" t="s">
        <v>4</v>
      </c>
      <c r="Y7" s="28" t="s">
        <v>4</v>
      </c>
      <c r="Z7" s="28"/>
      <c r="AA7" s="28" t="s">
        <v>4</v>
      </c>
      <c r="AB7" s="28" t="s">
        <v>4</v>
      </c>
      <c r="AC7" s="28"/>
      <c r="AD7" s="28" t="s">
        <v>4</v>
      </c>
      <c r="AE7" s="28" t="s">
        <v>4</v>
      </c>
      <c r="AF7" s="28"/>
      <c r="AG7" s="28" t="s">
        <v>4</v>
      </c>
      <c r="AH7" s="28" t="s">
        <v>4</v>
      </c>
      <c r="AI7" s="28"/>
      <c r="AJ7" s="28" t="s">
        <v>4</v>
      </c>
      <c r="AK7" s="28" t="s">
        <v>4</v>
      </c>
      <c r="AL7" s="28"/>
      <c r="AM7" s="28" t="s">
        <v>4</v>
      </c>
      <c r="AN7" s="28" t="s">
        <v>4</v>
      </c>
      <c r="AO7" s="28"/>
      <c r="AP7" s="28" t="s">
        <v>4</v>
      </c>
      <c r="AQ7" s="28" t="s">
        <v>4</v>
      </c>
      <c r="AR7" s="28"/>
      <c r="AS7" s="28" t="s">
        <v>4</v>
      </c>
      <c r="AT7" s="28" t="s">
        <v>4</v>
      </c>
      <c r="AU7" s="28"/>
      <c r="AV7" s="28" t="s">
        <v>4</v>
      </c>
      <c r="AW7" s="28" t="s">
        <v>4</v>
      </c>
      <c r="AX7" s="28"/>
      <c r="AY7" s="28" t="s">
        <v>4</v>
      </c>
      <c r="AZ7" s="28" t="s">
        <v>4</v>
      </c>
      <c r="BA7" s="28"/>
      <c r="BB7" s="28" t="s">
        <v>4</v>
      </c>
      <c r="BC7" s="28" t="s">
        <v>4</v>
      </c>
      <c r="BD7" s="28"/>
      <c r="BE7" s="28" t="s">
        <v>4</v>
      </c>
      <c r="BF7" s="28" t="s">
        <v>4</v>
      </c>
      <c r="BG7" s="28"/>
      <c r="BH7" s="28" t="s">
        <v>5</v>
      </c>
      <c r="BI7" s="28" t="s">
        <v>5</v>
      </c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77" ht="15.75" customHeight="1">
      <c r="A8" s="24"/>
      <c r="B8" s="72" t="s">
        <v>6</v>
      </c>
      <c r="C8" s="28" t="s">
        <v>7</v>
      </c>
      <c r="D8" s="28" t="s">
        <v>7</v>
      </c>
      <c r="E8" s="28"/>
      <c r="F8" s="28" t="s">
        <v>7</v>
      </c>
      <c r="G8" s="28" t="s">
        <v>7</v>
      </c>
      <c r="H8" s="28"/>
      <c r="I8" s="28" t="s">
        <v>7</v>
      </c>
      <c r="J8" s="28" t="s">
        <v>7</v>
      </c>
      <c r="K8" s="28"/>
      <c r="L8" s="28" t="s">
        <v>7</v>
      </c>
      <c r="M8" s="28" t="s">
        <v>7</v>
      </c>
      <c r="N8" s="28"/>
      <c r="O8" s="28" t="s">
        <v>7</v>
      </c>
      <c r="P8" s="28" t="s">
        <v>7</v>
      </c>
      <c r="Q8" s="28"/>
      <c r="R8" s="28" t="s">
        <v>7</v>
      </c>
      <c r="S8" s="28" t="s">
        <v>7</v>
      </c>
      <c r="T8" s="28"/>
      <c r="U8" s="28" t="s">
        <v>7</v>
      </c>
      <c r="V8" s="28" t="s">
        <v>7</v>
      </c>
      <c r="W8" s="28"/>
      <c r="X8" s="28" t="s">
        <v>7</v>
      </c>
      <c r="Y8" s="28" t="s">
        <v>7</v>
      </c>
      <c r="Z8" s="28"/>
      <c r="AA8" s="28" t="s">
        <v>7</v>
      </c>
      <c r="AB8" s="28" t="s">
        <v>7</v>
      </c>
      <c r="AC8" s="28"/>
      <c r="AD8" s="28" t="s">
        <v>7</v>
      </c>
      <c r="AE8" s="28" t="s">
        <v>7</v>
      </c>
      <c r="AF8" s="28"/>
      <c r="AG8" s="28" t="s">
        <v>7</v>
      </c>
      <c r="AH8" s="28" t="s">
        <v>7</v>
      </c>
      <c r="AI8" s="28"/>
      <c r="AJ8" s="28" t="s">
        <v>7</v>
      </c>
      <c r="AK8" s="28" t="s">
        <v>7</v>
      </c>
      <c r="AL8" s="28"/>
      <c r="AM8" s="28" t="s">
        <v>7</v>
      </c>
      <c r="AN8" s="28" t="s">
        <v>7</v>
      </c>
      <c r="AO8" s="28"/>
      <c r="AP8" s="28" t="s">
        <v>7</v>
      </c>
      <c r="AQ8" s="28" t="s">
        <v>7</v>
      </c>
      <c r="AR8" s="28"/>
      <c r="AS8" s="28" t="s">
        <v>7</v>
      </c>
      <c r="AT8" s="28" t="s">
        <v>7</v>
      </c>
      <c r="AU8" s="28"/>
      <c r="AV8" s="28" t="s">
        <v>7</v>
      </c>
      <c r="AW8" s="28" t="s">
        <v>7</v>
      </c>
      <c r="AX8" s="28"/>
      <c r="AY8" s="28" t="s">
        <v>7</v>
      </c>
      <c r="AZ8" s="28" t="s">
        <v>7</v>
      </c>
      <c r="BA8" s="28"/>
      <c r="BB8" s="28" t="s">
        <v>7</v>
      </c>
      <c r="BC8" s="28" t="s">
        <v>7</v>
      </c>
      <c r="BD8" s="28"/>
      <c r="BE8" s="28" t="s">
        <v>7</v>
      </c>
      <c r="BF8" s="28" t="s">
        <v>7</v>
      </c>
      <c r="BG8" s="28"/>
      <c r="BH8" s="28" t="s">
        <v>8</v>
      </c>
      <c r="BI8" s="28" t="s">
        <v>9</v>
      </c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</row>
    <row r="9" spans="1:77" ht="15.75" customHeight="1">
      <c r="A9" s="24"/>
      <c r="B9" s="70"/>
      <c r="C9" s="28" t="s">
        <v>10</v>
      </c>
      <c r="D9" s="28" t="s">
        <v>9</v>
      </c>
      <c r="E9" s="28"/>
      <c r="F9" s="28" t="s">
        <v>10</v>
      </c>
      <c r="G9" s="28" t="s">
        <v>9</v>
      </c>
      <c r="H9" s="28"/>
      <c r="I9" s="28" t="s">
        <v>10</v>
      </c>
      <c r="J9" s="28" t="s">
        <v>9</v>
      </c>
      <c r="K9" s="28"/>
      <c r="L9" s="28" t="s">
        <v>10</v>
      </c>
      <c r="M9" s="28" t="s">
        <v>9</v>
      </c>
      <c r="N9" s="28"/>
      <c r="O9" s="28" t="s">
        <v>10</v>
      </c>
      <c r="P9" s="28" t="s">
        <v>9</v>
      </c>
      <c r="Q9" s="28"/>
      <c r="R9" s="28" t="s">
        <v>10</v>
      </c>
      <c r="S9" s="28" t="s">
        <v>9</v>
      </c>
      <c r="T9" s="28"/>
      <c r="U9" s="28" t="s">
        <v>10</v>
      </c>
      <c r="V9" s="28" t="s">
        <v>9</v>
      </c>
      <c r="W9" s="28"/>
      <c r="X9" s="28" t="s">
        <v>10</v>
      </c>
      <c r="Y9" s="28" t="s">
        <v>9</v>
      </c>
      <c r="Z9" s="28"/>
      <c r="AA9" s="28" t="s">
        <v>10</v>
      </c>
      <c r="AB9" s="28" t="s">
        <v>9</v>
      </c>
      <c r="AC9" s="28"/>
      <c r="AD9" s="28" t="s">
        <v>10</v>
      </c>
      <c r="AE9" s="28" t="s">
        <v>9</v>
      </c>
      <c r="AF9" s="28"/>
      <c r="AG9" s="28" t="s">
        <v>10</v>
      </c>
      <c r="AH9" s="28" t="s">
        <v>9</v>
      </c>
      <c r="AI9" s="28"/>
      <c r="AJ9" s="28" t="s">
        <v>10</v>
      </c>
      <c r="AK9" s="28" t="s">
        <v>9</v>
      </c>
      <c r="AL9" s="28"/>
      <c r="AM9" s="28" t="s">
        <v>10</v>
      </c>
      <c r="AN9" s="28" t="s">
        <v>9</v>
      </c>
      <c r="AO9" s="28"/>
      <c r="AP9" s="28" t="s">
        <v>10</v>
      </c>
      <c r="AQ9" s="28" t="s">
        <v>9</v>
      </c>
      <c r="AR9" s="28"/>
      <c r="AS9" s="28" t="s">
        <v>10</v>
      </c>
      <c r="AT9" s="28" t="s">
        <v>9</v>
      </c>
      <c r="AU9" s="28"/>
      <c r="AV9" s="28" t="s">
        <v>10</v>
      </c>
      <c r="AW9" s="28" t="s">
        <v>9</v>
      </c>
      <c r="AX9" s="28"/>
      <c r="AY9" s="28" t="s">
        <v>10</v>
      </c>
      <c r="AZ9" s="28" t="s">
        <v>9</v>
      </c>
      <c r="BA9" s="28"/>
      <c r="BB9" s="28" t="s">
        <v>10</v>
      </c>
      <c r="BC9" s="28" t="s">
        <v>9</v>
      </c>
      <c r="BD9" s="28"/>
      <c r="BE9" s="28" t="s">
        <v>10</v>
      </c>
      <c r="BF9" s="28" t="s">
        <v>9</v>
      </c>
      <c r="BG9" s="28"/>
      <c r="BH9" s="28" t="s">
        <v>7</v>
      </c>
      <c r="BI9" s="28" t="s">
        <v>11</v>
      </c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</row>
    <row r="10" spans="1:78" s="83" customFormat="1" ht="15.75" customHeight="1">
      <c r="A10" s="24"/>
      <c r="B10" s="70"/>
      <c r="C10" s="24"/>
      <c r="D10" s="28" t="s">
        <v>12</v>
      </c>
      <c r="E10" s="28"/>
      <c r="F10" s="24"/>
      <c r="G10" s="28" t="s">
        <v>12</v>
      </c>
      <c r="H10" s="28"/>
      <c r="I10" s="24"/>
      <c r="J10" s="28" t="s">
        <v>12</v>
      </c>
      <c r="K10" s="24"/>
      <c r="L10" s="24"/>
      <c r="M10" s="28" t="s">
        <v>12</v>
      </c>
      <c r="N10" s="28"/>
      <c r="O10" s="24"/>
      <c r="P10" s="28" t="s">
        <v>12</v>
      </c>
      <c r="Q10" s="28"/>
      <c r="R10" s="24"/>
      <c r="S10" s="28" t="s">
        <v>12</v>
      </c>
      <c r="T10" s="28"/>
      <c r="U10" s="24"/>
      <c r="V10" s="28" t="s">
        <v>12</v>
      </c>
      <c r="W10" s="28"/>
      <c r="X10" s="24"/>
      <c r="Y10" s="28" t="s">
        <v>12</v>
      </c>
      <c r="Z10" s="28"/>
      <c r="AA10" s="24"/>
      <c r="AB10" s="28" t="s">
        <v>12</v>
      </c>
      <c r="AC10" s="28"/>
      <c r="AD10" s="24"/>
      <c r="AE10" s="28" t="s">
        <v>12</v>
      </c>
      <c r="AF10" s="28"/>
      <c r="AG10" s="24"/>
      <c r="AH10" s="28" t="s">
        <v>12</v>
      </c>
      <c r="AI10" s="28"/>
      <c r="AJ10" s="24"/>
      <c r="AK10" s="28" t="s">
        <v>12</v>
      </c>
      <c r="AL10" s="28"/>
      <c r="AM10" s="24"/>
      <c r="AN10" s="28" t="s">
        <v>12</v>
      </c>
      <c r="AO10" s="28"/>
      <c r="AP10" s="24"/>
      <c r="AQ10" s="28" t="s">
        <v>12</v>
      </c>
      <c r="AR10" s="28"/>
      <c r="AS10" s="24"/>
      <c r="AT10" s="28" t="s">
        <v>12</v>
      </c>
      <c r="AU10" s="28"/>
      <c r="AV10" s="24"/>
      <c r="AW10" s="28" t="s">
        <v>12</v>
      </c>
      <c r="AX10" s="28"/>
      <c r="AY10" s="24"/>
      <c r="AZ10" s="28" t="s">
        <v>12</v>
      </c>
      <c r="BA10" s="28"/>
      <c r="BB10" s="24"/>
      <c r="BC10" s="28" t="s">
        <v>12</v>
      </c>
      <c r="BD10" s="28"/>
      <c r="BE10" s="24"/>
      <c r="BF10" s="28" t="s">
        <v>12</v>
      </c>
      <c r="BG10" s="28"/>
      <c r="BH10" s="28" t="s">
        <v>10</v>
      </c>
      <c r="BI10" s="28" t="s">
        <v>12</v>
      </c>
      <c r="BJ10" s="28"/>
      <c r="BK10" s="24"/>
      <c r="BL10" s="28"/>
      <c r="BM10" s="28"/>
      <c r="BN10" s="24"/>
      <c r="BO10" s="28"/>
      <c r="BP10" s="28"/>
      <c r="BQ10" s="28"/>
      <c r="BR10" s="28"/>
      <c r="BS10" s="24"/>
      <c r="BT10" s="24"/>
      <c r="BU10" s="28"/>
      <c r="BV10" s="28"/>
      <c r="BW10" s="28"/>
      <c r="BX10" s="28"/>
      <c r="BY10" s="28"/>
      <c r="BZ10" s="86"/>
    </row>
    <row r="11" spans="1:105" s="104" customFormat="1" ht="15.75" customHeight="1" thickBot="1">
      <c r="A11" s="29"/>
      <c r="B11" s="100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</row>
    <row r="12" spans="1:77" ht="16.5" customHeight="1" thickTop="1">
      <c r="A12" s="91" t="s">
        <v>2</v>
      </c>
      <c r="B12" s="70"/>
      <c r="C12" s="27"/>
      <c r="D12" s="24"/>
      <c r="E12" s="24"/>
      <c r="F12" s="27"/>
      <c r="G12" s="24"/>
      <c r="H12" s="24"/>
      <c r="I12" s="27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</row>
    <row r="13" spans="1:77" ht="15.75" customHeight="1">
      <c r="A13" s="40">
        <v>1</v>
      </c>
      <c r="B13" s="73" t="s">
        <v>14</v>
      </c>
      <c r="C13" s="25">
        <v>99.24</v>
      </c>
      <c r="D13" s="26">
        <v>96.84</v>
      </c>
      <c r="E13" s="24"/>
      <c r="F13" s="25">
        <v>99.29</v>
      </c>
      <c r="G13" s="26">
        <v>97.28</v>
      </c>
      <c r="H13" s="24"/>
      <c r="I13" s="25">
        <v>98.72</v>
      </c>
      <c r="J13" s="26">
        <v>97.31</v>
      </c>
      <c r="K13" s="24"/>
      <c r="L13" s="25">
        <v>97.57</v>
      </c>
      <c r="M13" s="26">
        <v>98.24</v>
      </c>
      <c r="N13" s="24"/>
      <c r="O13" s="25">
        <v>97.4</v>
      </c>
      <c r="P13" s="26">
        <v>98.87</v>
      </c>
      <c r="Q13" s="24"/>
      <c r="R13" s="25">
        <v>99.26</v>
      </c>
      <c r="S13" s="26">
        <v>96.75</v>
      </c>
      <c r="T13" s="24"/>
      <c r="U13" s="25">
        <v>97.74</v>
      </c>
      <c r="V13" s="26">
        <v>98.78</v>
      </c>
      <c r="W13" s="24"/>
      <c r="X13" s="25">
        <v>97.31</v>
      </c>
      <c r="Y13" s="26">
        <v>100.77</v>
      </c>
      <c r="Z13" s="24"/>
      <c r="AA13" s="25">
        <v>95.85</v>
      </c>
      <c r="AB13" s="26">
        <v>102.74</v>
      </c>
      <c r="AC13" s="24"/>
      <c r="AD13" s="25">
        <v>97.15</v>
      </c>
      <c r="AE13" s="26">
        <v>99.83</v>
      </c>
      <c r="AF13" s="24"/>
      <c r="AG13" s="25">
        <v>96.66</v>
      </c>
      <c r="AH13" s="26">
        <v>100.54</v>
      </c>
      <c r="AI13" s="24"/>
      <c r="AJ13" s="25">
        <v>96.28</v>
      </c>
      <c r="AK13" s="26">
        <v>101.54</v>
      </c>
      <c r="AL13" s="24"/>
      <c r="AM13" s="25">
        <v>96.74</v>
      </c>
      <c r="AN13" s="26">
        <v>101.04</v>
      </c>
      <c r="AO13" s="24"/>
      <c r="AP13" s="25">
        <v>95.43</v>
      </c>
      <c r="AQ13" s="26">
        <v>103.09</v>
      </c>
      <c r="AR13" s="24"/>
      <c r="AS13" s="25">
        <v>95.15</v>
      </c>
      <c r="AT13" s="26">
        <v>102.91</v>
      </c>
      <c r="AU13" s="24"/>
      <c r="AV13" s="25">
        <v>95.25</v>
      </c>
      <c r="AW13" s="26">
        <v>102.33</v>
      </c>
      <c r="AX13" s="24"/>
      <c r="AY13" s="25">
        <v>95.77</v>
      </c>
      <c r="AZ13" s="26">
        <v>100.34</v>
      </c>
      <c r="BA13" s="24"/>
      <c r="BB13" s="25">
        <v>95.2</v>
      </c>
      <c r="BC13" s="26">
        <v>99.89</v>
      </c>
      <c r="BD13" s="24"/>
      <c r="BE13" s="25">
        <v>95.26</v>
      </c>
      <c r="BF13" s="26">
        <v>100.08</v>
      </c>
      <c r="BG13" s="24"/>
      <c r="BH13" s="25">
        <f>(C13+F13+I13+L13+O13+R13+U13+X13+AA13+AD13+AG13+AJ13+AM13+AP13+AS13+AV13+AY13+BB13+BE13)/19</f>
        <v>96.90894736842107</v>
      </c>
      <c r="BI13" s="26">
        <f>(D13+G13+J13+M13+P13+S13+V13+Y13+AB13+AE13+AH13+AK13+AN13+AQ13+AT13+AW13+AZ13+BC13+BF13)/19</f>
        <v>99.95631578947368</v>
      </c>
      <c r="BJ13" s="26"/>
      <c r="BK13" s="25"/>
      <c r="BL13" s="25"/>
      <c r="BM13" s="26"/>
      <c r="BN13" s="25"/>
      <c r="BO13" s="25"/>
      <c r="BP13" s="26"/>
      <c r="BQ13" s="25"/>
      <c r="BR13" s="25"/>
      <c r="BS13" s="25"/>
      <c r="BT13" s="25"/>
      <c r="BU13" s="26"/>
      <c r="BV13" s="26"/>
      <c r="BW13" s="109"/>
      <c r="BX13" s="109"/>
      <c r="BY13" s="24"/>
    </row>
    <row r="14" spans="1:82" s="47" customFormat="1" ht="15.75" customHeight="1">
      <c r="A14" s="40">
        <v>2</v>
      </c>
      <c r="B14" s="73" t="s">
        <v>15</v>
      </c>
      <c r="C14" s="25">
        <v>0.6171</v>
      </c>
      <c r="D14" s="26">
        <v>155.74</v>
      </c>
      <c r="E14" s="24"/>
      <c r="F14" s="25">
        <v>0.6304</v>
      </c>
      <c r="G14" s="26">
        <v>153.22</v>
      </c>
      <c r="H14" s="24"/>
      <c r="I14" s="25">
        <v>0.6292</v>
      </c>
      <c r="J14" s="26">
        <v>152.68</v>
      </c>
      <c r="K14" s="24"/>
      <c r="L14" s="25">
        <v>0.6287</v>
      </c>
      <c r="M14" s="26">
        <v>152.45</v>
      </c>
      <c r="N14" s="24"/>
      <c r="O14" s="25">
        <v>0.6326</v>
      </c>
      <c r="P14" s="26">
        <v>152.24</v>
      </c>
      <c r="Q14" s="24"/>
      <c r="R14" s="25">
        <v>0.6354</v>
      </c>
      <c r="S14" s="26">
        <v>151.15</v>
      </c>
      <c r="T14" s="24"/>
      <c r="U14" s="25">
        <v>0.6406</v>
      </c>
      <c r="V14" s="26">
        <v>150.72</v>
      </c>
      <c r="W14" s="24"/>
      <c r="X14" s="25">
        <v>0.651</v>
      </c>
      <c r="Y14" s="26">
        <v>150.64</v>
      </c>
      <c r="Z14" s="24"/>
      <c r="AA14" s="25">
        <v>0.6705</v>
      </c>
      <c r="AB14" s="26">
        <v>146.87</v>
      </c>
      <c r="AC14" s="24"/>
      <c r="AD14" s="25">
        <v>0.6745</v>
      </c>
      <c r="AE14" s="26">
        <v>143.79</v>
      </c>
      <c r="AF14" s="24"/>
      <c r="AG14" s="25">
        <v>0.6692</v>
      </c>
      <c r="AH14" s="26">
        <v>145.21</v>
      </c>
      <c r="AI14" s="24"/>
      <c r="AJ14" s="25">
        <v>0.6674</v>
      </c>
      <c r="AK14" s="26">
        <v>146.47</v>
      </c>
      <c r="AL14" s="24"/>
      <c r="AM14" s="25">
        <v>0.6664</v>
      </c>
      <c r="AN14" s="26">
        <v>146.69</v>
      </c>
      <c r="AO14" s="24"/>
      <c r="AP14" s="25">
        <v>0.6734</v>
      </c>
      <c r="AQ14" s="26">
        <v>146.11</v>
      </c>
      <c r="AR14" s="24"/>
      <c r="AS14" s="25">
        <v>0.6683</v>
      </c>
      <c r="AT14" s="26">
        <v>146.52</v>
      </c>
      <c r="AU14" s="24"/>
      <c r="AV14" s="25">
        <v>0.6664</v>
      </c>
      <c r="AW14" s="26">
        <v>146.27</v>
      </c>
      <c r="AX14" s="24"/>
      <c r="AY14" s="25">
        <v>0.6633</v>
      </c>
      <c r="AZ14" s="26">
        <v>144.88</v>
      </c>
      <c r="BA14" s="24"/>
      <c r="BB14" s="25">
        <v>0.6521</v>
      </c>
      <c r="BC14" s="26">
        <v>145.83</v>
      </c>
      <c r="BD14" s="24"/>
      <c r="BE14" s="25">
        <v>0.6465</v>
      </c>
      <c r="BF14" s="26">
        <v>147.46</v>
      </c>
      <c r="BG14" s="24"/>
      <c r="BH14" s="25">
        <f aca="true" t="shared" si="0" ref="BH14:BH25">(C14+F14+I14+L14+O14+R14+U14+X14+AA14+AD14+AG14+AJ14+AM14+AP14+AS14+AV14+AY14+BB14+BE14)/19</f>
        <v>0.6517368421052631</v>
      </c>
      <c r="BI14" s="26">
        <f aca="true" t="shared" si="1" ref="BI14:BI25">(D14+G14+J14+M14+P14+S14+V14+Y14+AB14+AE14+AH14+AK14+AN14+AQ14+AT14+AW14+AZ14+BC14+BF14)/19</f>
        <v>148.68105263157895</v>
      </c>
      <c r="BJ14" s="26"/>
      <c r="BK14" s="25"/>
      <c r="BL14" s="25"/>
      <c r="BM14" s="26"/>
      <c r="BN14" s="25"/>
      <c r="BO14" s="25"/>
      <c r="BP14" s="26"/>
      <c r="BQ14" s="25"/>
      <c r="BR14" s="25"/>
      <c r="BS14" s="25"/>
      <c r="BT14" s="25"/>
      <c r="BU14" s="26"/>
      <c r="BV14" s="26"/>
      <c r="BW14" s="109"/>
      <c r="BX14" s="109"/>
      <c r="BY14" s="24"/>
      <c r="BZ14" s="83"/>
      <c r="CA14" s="83"/>
      <c r="CB14" s="83"/>
      <c r="CC14" s="83"/>
      <c r="CD14" s="83"/>
    </row>
    <row r="15" spans="1:77" ht="15.75" customHeight="1">
      <c r="A15" s="40">
        <v>3</v>
      </c>
      <c r="B15" s="73" t="s">
        <v>16</v>
      </c>
      <c r="C15" s="25">
        <v>1.157</v>
      </c>
      <c r="D15" s="26">
        <v>83.07</v>
      </c>
      <c r="E15" s="24"/>
      <c r="F15" s="25">
        <v>1.168</v>
      </c>
      <c r="G15" s="26">
        <v>82.7</v>
      </c>
      <c r="H15" s="24"/>
      <c r="I15" s="25">
        <v>1.1681</v>
      </c>
      <c r="J15" s="26">
        <v>82.24</v>
      </c>
      <c r="K15" s="24"/>
      <c r="L15" s="25">
        <v>1.1665</v>
      </c>
      <c r="M15" s="26">
        <v>82.17</v>
      </c>
      <c r="N15" s="24"/>
      <c r="O15" s="25">
        <v>1.1721</v>
      </c>
      <c r="P15" s="26">
        <v>82.16</v>
      </c>
      <c r="Q15" s="24"/>
      <c r="R15" s="25">
        <v>1.1747</v>
      </c>
      <c r="S15" s="26">
        <v>81.75</v>
      </c>
      <c r="T15" s="24"/>
      <c r="U15" s="25">
        <v>1.1733</v>
      </c>
      <c r="V15" s="26">
        <v>82.28</v>
      </c>
      <c r="W15" s="24"/>
      <c r="X15" s="25">
        <v>1.1848</v>
      </c>
      <c r="Y15" s="26">
        <v>82.77</v>
      </c>
      <c r="Z15" s="24"/>
      <c r="AA15" s="25">
        <v>1.1896</v>
      </c>
      <c r="AB15" s="26">
        <v>82.78</v>
      </c>
      <c r="AC15" s="24"/>
      <c r="AD15" s="25">
        <v>1.1892</v>
      </c>
      <c r="AE15" s="26">
        <v>81.56</v>
      </c>
      <c r="AF15" s="24"/>
      <c r="AG15" s="25">
        <v>1.1905</v>
      </c>
      <c r="AH15" s="26">
        <v>81.63</v>
      </c>
      <c r="AI15" s="24"/>
      <c r="AJ15" s="25">
        <v>1.2009</v>
      </c>
      <c r="AK15" s="26">
        <v>81.4</v>
      </c>
      <c r="AL15" s="24"/>
      <c r="AM15" s="25">
        <v>1.2054</v>
      </c>
      <c r="AN15" s="26">
        <v>81.09</v>
      </c>
      <c r="AO15" s="24"/>
      <c r="AP15" s="25">
        <v>1.2126</v>
      </c>
      <c r="AQ15" s="26">
        <v>81.13</v>
      </c>
      <c r="AR15" s="24"/>
      <c r="AS15" s="25">
        <v>1.2217</v>
      </c>
      <c r="AT15" s="26">
        <v>80.15</v>
      </c>
      <c r="AU15" s="24"/>
      <c r="AV15" s="25">
        <v>1.2177</v>
      </c>
      <c r="AW15" s="26">
        <v>80.04</v>
      </c>
      <c r="AX15" s="24"/>
      <c r="AY15" s="25">
        <v>1.2038</v>
      </c>
      <c r="AZ15" s="26">
        <v>79.83</v>
      </c>
      <c r="BA15" s="24"/>
      <c r="BB15" s="25">
        <v>1.193</v>
      </c>
      <c r="BC15" s="26">
        <v>79.71</v>
      </c>
      <c r="BD15" s="24"/>
      <c r="BE15" s="25">
        <v>1.1969</v>
      </c>
      <c r="BF15" s="26">
        <v>79.65</v>
      </c>
      <c r="BG15" s="24"/>
      <c r="BH15" s="25">
        <f t="shared" si="0"/>
        <v>1.1887263157894736</v>
      </c>
      <c r="BI15" s="26">
        <f t="shared" si="1"/>
        <v>81.47947368421053</v>
      </c>
      <c r="BJ15" s="26"/>
      <c r="BK15" s="25"/>
      <c r="BL15" s="25"/>
      <c r="BM15" s="26"/>
      <c r="BN15" s="25"/>
      <c r="BO15" s="25"/>
      <c r="BP15" s="26"/>
      <c r="BQ15" s="25"/>
      <c r="BR15" s="25"/>
      <c r="BS15" s="25"/>
      <c r="BT15" s="25"/>
      <c r="BU15" s="26"/>
      <c r="BV15" s="26"/>
      <c r="BW15" s="109"/>
      <c r="BX15" s="109"/>
      <c r="BY15" s="24"/>
    </row>
    <row r="16" spans="1:77" ht="15.75" customHeight="1">
      <c r="A16" s="40">
        <v>4</v>
      </c>
      <c r="B16" s="73" t="s">
        <v>17</v>
      </c>
      <c r="C16" s="25">
        <v>0.7791</v>
      </c>
      <c r="D16" s="26">
        <v>123.33</v>
      </c>
      <c r="E16" s="24"/>
      <c r="F16" s="25">
        <v>0.7836</v>
      </c>
      <c r="G16" s="26">
        <v>123.19</v>
      </c>
      <c r="H16" s="24"/>
      <c r="I16" s="25">
        <v>0.7781</v>
      </c>
      <c r="J16" s="26">
        <v>123.35</v>
      </c>
      <c r="K16" s="24"/>
      <c r="L16" s="25">
        <v>0.7763</v>
      </c>
      <c r="M16" s="26">
        <v>123.48</v>
      </c>
      <c r="N16" s="24"/>
      <c r="O16" s="25">
        <v>0.7806</v>
      </c>
      <c r="P16" s="26">
        <v>123.41</v>
      </c>
      <c r="Q16" s="24"/>
      <c r="R16" s="25">
        <v>0.7777</v>
      </c>
      <c r="S16" s="26">
        <v>123.5</v>
      </c>
      <c r="T16" s="24"/>
      <c r="U16" s="25">
        <v>0.7832</v>
      </c>
      <c r="V16" s="26">
        <v>123.33</v>
      </c>
      <c r="W16" s="24"/>
      <c r="X16" s="25">
        <v>0.7973</v>
      </c>
      <c r="Y16" s="26">
        <v>123.06</v>
      </c>
      <c r="Z16" s="24"/>
      <c r="AA16" s="25">
        <v>0.8011</v>
      </c>
      <c r="AB16" s="26">
        <v>122.98</v>
      </c>
      <c r="AC16" s="24"/>
      <c r="AD16" s="25">
        <v>0.7874</v>
      </c>
      <c r="AE16" s="26">
        <v>123.25</v>
      </c>
      <c r="AF16" s="24"/>
      <c r="AG16" s="25">
        <v>0.7885</v>
      </c>
      <c r="AH16" s="26">
        <v>123.18</v>
      </c>
      <c r="AI16" s="24"/>
      <c r="AJ16" s="25">
        <v>0.7935</v>
      </c>
      <c r="AK16" s="26">
        <v>123.27</v>
      </c>
      <c r="AL16" s="24"/>
      <c r="AM16" s="25">
        <v>0.7926</v>
      </c>
      <c r="AN16" s="26">
        <v>123.3</v>
      </c>
      <c r="AO16" s="24"/>
      <c r="AP16" s="25">
        <v>0.799</v>
      </c>
      <c r="AQ16" s="26">
        <v>123.26</v>
      </c>
      <c r="AR16" s="24"/>
      <c r="AS16" s="25">
        <v>0.7943</v>
      </c>
      <c r="AT16" s="26">
        <v>123.24</v>
      </c>
      <c r="AU16" s="24"/>
      <c r="AV16" s="25">
        <v>0.7896</v>
      </c>
      <c r="AW16" s="26">
        <v>123.33</v>
      </c>
      <c r="AX16" s="24"/>
      <c r="AY16" s="25">
        <v>0.779</v>
      </c>
      <c r="AZ16" s="26">
        <v>123.37</v>
      </c>
      <c r="BA16" s="24"/>
      <c r="BB16" s="25">
        <v>0.7709</v>
      </c>
      <c r="BC16" s="26">
        <v>123.37</v>
      </c>
      <c r="BD16" s="24"/>
      <c r="BE16" s="25">
        <v>0.7726</v>
      </c>
      <c r="BF16" s="26">
        <v>123.37</v>
      </c>
      <c r="BG16" s="24"/>
      <c r="BH16" s="25">
        <f t="shared" si="0"/>
        <v>0.7854947368421051</v>
      </c>
      <c r="BI16" s="26">
        <f t="shared" si="1"/>
        <v>123.29315789473682</v>
      </c>
      <c r="BJ16" s="26"/>
      <c r="BK16" s="25"/>
      <c r="BL16" s="25"/>
      <c r="BM16" s="26"/>
      <c r="BN16" s="25"/>
      <c r="BO16" s="25"/>
      <c r="BP16" s="26"/>
      <c r="BQ16" s="25"/>
      <c r="BR16" s="25"/>
      <c r="BS16" s="25"/>
      <c r="BT16" s="25"/>
      <c r="BU16" s="26"/>
      <c r="BV16" s="26"/>
      <c r="BW16" s="109"/>
      <c r="BX16" s="109"/>
      <c r="BY16" s="24"/>
    </row>
    <row r="17" spans="1:77" ht="15.75" customHeight="1">
      <c r="A17" s="40">
        <v>5</v>
      </c>
      <c r="B17" s="73" t="s">
        <v>18</v>
      </c>
      <c r="C17" s="25">
        <v>734.45</v>
      </c>
      <c r="D17" s="94">
        <v>70586.61</v>
      </c>
      <c r="E17" s="24"/>
      <c r="F17" s="25">
        <v>732.2</v>
      </c>
      <c r="G17" s="94">
        <v>70725.94</v>
      </c>
      <c r="H17" s="24"/>
      <c r="I17" s="25">
        <v>752.5</v>
      </c>
      <c r="J17" s="94">
        <v>72291.73</v>
      </c>
      <c r="K17" s="24"/>
      <c r="L17" s="25">
        <v>737.15</v>
      </c>
      <c r="M17" s="94">
        <v>70654.91</v>
      </c>
      <c r="N17" s="24"/>
      <c r="O17" s="25">
        <v>738.55</v>
      </c>
      <c r="P17" s="94">
        <v>71122.83</v>
      </c>
      <c r="Q17" s="24"/>
      <c r="R17" s="25">
        <v>750.7</v>
      </c>
      <c r="S17" s="94">
        <v>72093.94</v>
      </c>
      <c r="T17" s="24"/>
      <c r="U17" s="25">
        <v>743.8</v>
      </c>
      <c r="V17" s="94">
        <v>71809.71</v>
      </c>
      <c r="W17" s="24"/>
      <c r="X17" s="25">
        <v>730.5</v>
      </c>
      <c r="Y17" s="94">
        <v>71634.66</v>
      </c>
      <c r="Z17" s="24"/>
      <c r="AA17" s="25">
        <v>713.1</v>
      </c>
      <c r="AB17" s="94">
        <v>70225.2</v>
      </c>
      <c r="AC17" s="24"/>
      <c r="AD17" s="25">
        <v>727.9</v>
      </c>
      <c r="AE17" s="94">
        <v>70597.2</v>
      </c>
      <c r="AF17" s="24"/>
      <c r="AG17" s="25">
        <v>744.1</v>
      </c>
      <c r="AH17" s="94">
        <v>72310.71</v>
      </c>
      <c r="AI17" s="24"/>
      <c r="AJ17" s="25">
        <v>735.1</v>
      </c>
      <c r="AK17" s="94">
        <v>71862</v>
      </c>
      <c r="AL17" s="24"/>
      <c r="AM17" s="25">
        <v>736.75</v>
      </c>
      <c r="AN17" s="94">
        <v>72017.77</v>
      </c>
      <c r="AO17" s="24"/>
      <c r="AP17" s="25">
        <v>744.7</v>
      </c>
      <c r="AQ17" s="94">
        <v>73265.91</v>
      </c>
      <c r="AR17" s="24"/>
      <c r="AS17" s="25">
        <v>757.45</v>
      </c>
      <c r="AT17" s="94">
        <v>74165.72</v>
      </c>
      <c r="AU17" s="24"/>
      <c r="AV17" s="25">
        <v>817.65</v>
      </c>
      <c r="AW17" s="94">
        <v>79696.35</v>
      </c>
      <c r="AX17" s="24"/>
      <c r="AY17" s="25">
        <v>804.15</v>
      </c>
      <c r="AZ17" s="94">
        <v>77274.29</v>
      </c>
      <c r="BA17" s="24"/>
      <c r="BB17" s="25">
        <v>815.25</v>
      </c>
      <c r="BC17" s="94">
        <v>77523.65</v>
      </c>
      <c r="BD17" s="24"/>
      <c r="BE17" s="25">
        <v>813</v>
      </c>
      <c r="BF17" s="94">
        <v>77506.34</v>
      </c>
      <c r="BG17" s="24"/>
      <c r="BH17" s="25">
        <f t="shared" si="0"/>
        <v>754.1578947368422</v>
      </c>
      <c r="BI17" s="26">
        <f t="shared" si="1"/>
        <v>73019.2352631579</v>
      </c>
      <c r="BJ17" s="94"/>
      <c r="BK17" s="25"/>
      <c r="BL17" s="25"/>
      <c r="BM17" s="94"/>
      <c r="BN17" s="25"/>
      <c r="BO17" s="25"/>
      <c r="BP17" s="94"/>
      <c r="BQ17" s="25"/>
      <c r="BR17" s="25"/>
      <c r="BS17" s="25"/>
      <c r="BT17" s="25"/>
      <c r="BU17" s="26"/>
      <c r="BV17" s="94"/>
      <c r="BW17" s="109"/>
      <c r="BX17" s="109"/>
      <c r="BY17" s="24"/>
    </row>
    <row r="18" spans="1:77" ht="15.75" customHeight="1">
      <c r="A18" s="40">
        <v>6</v>
      </c>
      <c r="B18" s="74" t="s">
        <v>19</v>
      </c>
      <c r="C18" s="25">
        <v>10.06</v>
      </c>
      <c r="D18" s="26">
        <v>966.85</v>
      </c>
      <c r="E18" s="24"/>
      <c r="F18" s="25">
        <v>9.9</v>
      </c>
      <c r="G18" s="26">
        <v>956.28</v>
      </c>
      <c r="H18" s="24"/>
      <c r="I18" s="25">
        <v>10.15</v>
      </c>
      <c r="J18" s="26">
        <v>975.1</v>
      </c>
      <c r="K18" s="24"/>
      <c r="L18" s="25">
        <v>10.33</v>
      </c>
      <c r="M18" s="26">
        <v>990.12</v>
      </c>
      <c r="N18" s="24"/>
      <c r="O18" s="25">
        <v>10.07</v>
      </c>
      <c r="P18" s="26">
        <v>969.75</v>
      </c>
      <c r="Q18" s="24"/>
      <c r="R18" s="25">
        <v>10.31</v>
      </c>
      <c r="S18" s="26">
        <v>990.13</v>
      </c>
      <c r="T18" s="24"/>
      <c r="U18" s="25">
        <v>10.13</v>
      </c>
      <c r="V18" s="26">
        <v>977.99</v>
      </c>
      <c r="W18" s="24"/>
      <c r="X18" s="25">
        <v>9.73</v>
      </c>
      <c r="Y18" s="26">
        <v>954.15</v>
      </c>
      <c r="Z18" s="24"/>
      <c r="AA18" s="25">
        <v>9.27</v>
      </c>
      <c r="AB18" s="26">
        <v>912.9</v>
      </c>
      <c r="AC18" s="24"/>
      <c r="AD18" s="25">
        <v>9.29</v>
      </c>
      <c r="AE18" s="26">
        <v>901.01</v>
      </c>
      <c r="AF18" s="24"/>
      <c r="AG18" s="25">
        <v>9.53</v>
      </c>
      <c r="AH18" s="26">
        <v>926.11</v>
      </c>
      <c r="AI18" s="24"/>
      <c r="AJ18" s="25">
        <v>9.31</v>
      </c>
      <c r="AK18" s="26">
        <v>910.13</v>
      </c>
      <c r="AL18" s="24"/>
      <c r="AM18" s="25">
        <v>9.51</v>
      </c>
      <c r="AN18" s="26">
        <v>929.61</v>
      </c>
      <c r="AO18" s="24"/>
      <c r="AP18" s="25">
        <v>9.34</v>
      </c>
      <c r="AQ18" s="26">
        <v>918.9</v>
      </c>
      <c r="AR18" s="24"/>
      <c r="AS18" s="25">
        <v>9.21</v>
      </c>
      <c r="AT18" s="26">
        <v>901.8</v>
      </c>
      <c r="AU18" s="24"/>
      <c r="AV18" s="25">
        <v>9.89</v>
      </c>
      <c r="AW18" s="26">
        <v>963.98</v>
      </c>
      <c r="AX18" s="24"/>
      <c r="AY18" s="25">
        <v>10.17</v>
      </c>
      <c r="AZ18" s="26">
        <v>977.28</v>
      </c>
      <c r="BA18" s="24"/>
      <c r="BB18" s="25">
        <v>10.29</v>
      </c>
      <c r="BC18" s="26">
        <v>978.5</v>
      </c>
      <c r="BD18" s="24"/>
      <c r="BE18" s="25">
        <v>10.29</v>
      </c>
      <c r="BF18" s="26">
        <v>980.98</v>
      </c>
      <c r="BG18" s="24"/>
      <c r="BH18" s="25">
        <f t="shared" si="0"/>
        <v>9.830526315789474</v>
      </c>
      <c r="BI18" s="26">
        <f t="shared" si="1"/>
        <v>951.6615789473684</v>
      </c>
      <c r="BJ18" s="26"/>
      <c r="BK18" s="25"/>
      <c r="BL18" s="25"/>
      <c r="BM18" s="26"/>
      <c r="BN18" s="25"/>
      <c r="BO18" s="25"/>
      <c r="BP18" s="26"/>
      <c r="BQ18" s="25"/>
      <c r="BR18" s="25"/>
      <c r="BS18" s="25"/>
      <c r="BT18" s="25"/>
      <c r="BU18" s="26"/>
      <c r="BV18" s="26"/>
      <c r="BW18" s="109"/>
      <c r="BX18" s="109"/>
      <c r="BY18" s="24"/>
    </row>
    <row r="19" spans="1:77" ht="15.75" customHeight="1">
      <c r="A19" s="40">
        <v>7</v>
      </c>
      <c r="B19" s="73" t="s">
        <v>20</v>
      </c>
      <c r="C19" s="25">
        <v>1.4756</v>
      </c>
      <c r="D19" s="26">
        <v>65.13</v>
      </c>
      <c r="E19" s="24"/>
      <c r="F19" s="25">
        <v>1.4674</v>
      </c>
      <c r="G19" s="26">
        <v>65.83</v>
      </c>
      <c r="H19" s="24"/>
      <c r="I19" s="25">
        <v>1.4516</v>
      </c>
      <c r="J19" s="26">
        <v>66.18</v>
      </c>
      <c r="K19" s="24"/>
      <c r="L19" s="25">
        <v>1.4773</v>
      </c>
      <c r="M19" s="26">
        <v>64.88</v>
      </c>
      <c r="N19" s="24"/>
      <c r="O19" s="25">
        <v>1.4892</v>
      </c>
      <c r="P19" s="26">
        <v>64.67</v>
      </c>
      <c r="Q19" s="24"/>
      <c r="R19" s="25">
        <v>1.4443</v>
      </c>
      <c r="S19" s="26">
        <v>66.5</v>
      </c>
      <c r="T19" s="24"/>
      <c r="U19" s="25">
        <v>1.4975</v>
      </c>
      <c r="V19" s="26">
        <v>64.47</v>
      </c>
      <c r="W19" s="24"/>
      <c r="X19" s="25">
        <v>1.5175</v>
      </c>
      <c r="Y19" s="26">
        <v>64.62</v>
      </c>
      <c r="Z19" s="24"/>
      <c r="AA19" s="25">
        <v>1.5674</v>
      </c>
      <c r="AB19" s="26">
        <v>62.83</v>
      </c>
      <c r="AC19" s="24"/>
      <c r="AD19" s="25">
        <v>1.5284</v>
      </c>
      <c r="AE19" s="26">
        <v>63.46</v>
      </c>
      <c r="AF19" s="24"/>
      <c r="AG19" s="25">
        <v>1.5347</v>
      </c>
      <c r="AH19" s="26">
        <v>63.32</v>
      </c>
      <c r="AI19" s="24"/>
      <c r="AJ19" s="25">
        <v>1.5473</v>
      </c>
      <c r="AK19" s="26">
        <v>63.18</v>
      </c>
      <c r="AL19" s="24"/>
      <c r="AM19" s="25">
        <v>1.5485</v>
      </c>
      <c r="AN19" s="26">
        <v>63.13</v>
      </c>
      <c r="AO19" s="24"/>
      <c r="AP19" s="25">
        <v>1.5967</v>
      </c>
      <c r="AQ19" s="26">
        <v>61.62</v>
      </c>
      <c r="AR19" s="24"/>
      <c r="AS19" s="25">
        <v>1.5964</v>
      </c>
      <c r="AT19" s="26">
        <v>61.33</v>
      </c>
      <c r="AU19" s="24"/>
      <c r="AV19" s="25">
        <v>1.5881</v>
      </c>
      <c r="AW19" s="26">
        <v>61.38</v>
      </c>
      <c r="AX19" s="24"/>
      <c r="AY19" s="25">
        <v>1.5686</v>
      </c>
      <c r="AZ19" s="26">
        <v>61.26</v>
      </c>
      <c r="BA19" s="24"/>
      <c r="BB19" s="25">
        <v>1.5437</v>
      </c>
      <c r="BC19" s="26">
        <v>61.6</v>
      </c>
      <c r="BD19" s="24"/>
      <c r="BE19" s="25">
        <v>1.5239</v>
      </c>
      <c r="BF19" s="26">
        <v>62.56</v>
      </c>
      <c r="BG19" s="65"/>
      <c r="BH19" s="25">
        <f t="shared" si="0"/>
        <v>1.5244263157894737</v>
      </c>
      <c r="BI19" s="26">
        <f t="shared" si="1"/>
        <v>63.57631578947369</v>
      </c>
      <c r="BJ19" s="26"/>
      <c r="BK19" s="25"/>
      <c r="BL19" s="25"/>
      <c r="BM19" s="26"/>
      <c r="BN19" s="25"/>
      <c r="BO19" s="25"/>
      <c r="BP19" s="26"/>
      <c r="BQ19" s="25"/>
      <c r="BR19" s="25"/>
      <c r="BS19" s="25"/>
      <c r="BT19" s="25"/>
      <c r="BU19" s="26"/>
      <c r="BV19" s="26"/>
      <c r="BW19" s="109"/>
      <c r="BX19" s="109"/>
      <c r="BY19" s="65"/>
    </row>
    <row r="20" spans="1:77" ht="15.75" customHeight="1">
      <c r="A20" s="40">
        <v>8</v>
      </c>
      <c r="B20" s="73" t="s">
        <v>21</v>
      </c>
      <c r="C20" s="25">
        <v>1.1952</v>
      </c>
      <c r="D20" s="26">
        <v>80.41</v>
      </c>
      <c r="E20" s="24"/>
      <c r="F20" s="25">
        <v>1.18</v>
      </c>
      <c r="G20" s="26">
        <v>81.86</v>
      </c>
      <c r="H20" s="24"/>
      <c r="I20" s="25">
        <v>1.159</v>
      </c>
      <c r="J20" s="26">
        <v>82.89</v>
      </c>
      <c r="K20" s="24"/>
      <c r="L20" s="25">
        <v>1.1734</v>
      </c>
      <c r="M20" s="26">
        <v>81.68</v>
      </c>
      <c r="N20" s="24"/>
      <c r="O20" s="25">
        <v>1.1929</v>
      </c>
      <c r="P20" s="26">
        <v>80.73</v>
      </c>
      <c r="Q20" s="24"/>
      <c r="R20" s="25">
        <v>1.1687</v>
      </c>
      <c r="S20" s="26">
        <v>82.17</v>
      </c>
      <c r="T20" s="24"/>
      <c r="U20" s="25">
        <v>1.1918</v>
      </c>
      <c r="V20" s="26">
        <v>81.01</v>
      </c>
      <c r="W20" s="24"/>
      <c r="X20" s="25">
        <v>1.211</v>
      </c>
      <c r="Y20" s="26">
        <v>80.98</v>
      </c>
      <c r="Z20" s="24"/>
      <c r="AA20" s="25">
        <v>1.2369</v>
      </c>
      <c r="AB20" s="26">
        <v>79.62</v>
      </c>
      <c r="AC20" s="24"/>
      <c r="AD20" s="25">
        <v>1.2165</v>
      </c>
      <c r="AE20" s="26">
        <v>79.73</v>
      </c>
      <c r="AF20" s="24"/>
      <c r="AG20" s="25">
        <v>1.2273</v>
      </c>
      <c r="AH20" s="26">
        <v>79.18</v>
      </c>
      <c r="AI20" s="24"/>
      <c r="AJ20" s="25">
        <v>1.2325</v>
      </c>
      <c r="AK20" s="26">
        <v>79.32</v>
      </c>
      <c r="AL20" s="24"/>
      <c r="AM20" s="25">
        <v>1.2361</v>
      </c>
      <c r="AN20" s="26">
        <v>79.08</v>
      </c>
      <c r="AO20" s="24"/>
      <c r="AP20" s="25">
        <v>1.2558</v>
      </c>
      <c r="AQ20" s="26">
        <v>78.34</v>
      </c>
      <c r="AR20" s="24"/>
      <c r="AS20" s="25">
        <v>1.2764</v>
      </c>
      <c r="AT20" s="26">
        <v>76.71</v>
      </c>
      <c r="AU20" s="24"/>
      <c r="AV20" s="25">
        <v>1.2676</v>
      </c>
      <c r="AW20" s="26">
        <v>76.89</v>
      </c>
      <c r="AX20" s="24"/>
      <c r="AY20" s="25">
        <v>1.2429</v>
      </c>
      <c r="AZ20" s="26">
        <v>77.31</v>
      </c>
      <c r="BA20" s="24"/>
      <c r="BB20" s="25">
        <v>1.2264</v>
      </c>
      <c r="BC20" s="26">
        <v>77.54</v>
      </c>
      <c r="BD20" s="24"/>
      <c r="BE20" s="25">
        <v>1.2265</v>
      </c>
      <c r="BF20" s="26">
        <v>77.73</v>
      </c>
      <c r="BG20" s="24"/>
      <c r="BH20" s="25">
        <f t="shared" si="0"/>
        <v>1.2166789473684212</v>
      </c>
      <c r="BI20" s="26">
        <f t="shared" si="1"/>
        <v>79.64105263157894</v>
      </c>
      <c r="BJ20" s="26"/>
      <c r="BK20" s="25"/>
      <c r="BL20" s="25"/>
      <c r="BM20" s="26"/>
      <c r="BN20" s="25"/>
      <c r="BO20" s="25"/>
      <c r="BP20" s="26"/>
      <c r="BQ20" s="25"/>
      <c r="BR20" s="25"/>
      <c r="BS20" s="25"/>
      <c r="BT20" s="25"/>
      <c r="BU20" s="26"/>
      <c r="BV20" s="26"/>
      <c r="BW20" s="109"/>
      <c r="BX20" s="109"/>
      <c r="BY20" s="24"/>
    </row>
    <row r="21" spans="1:77" ht="15.75" customHeight="1">
      <c r="A21" s="40">
        <v>9</v>
      </c>
      <c r="B21" s="73" t="s">
        <v>22</v>
      </c>
      <c r="C21" s="25">
        <v>7.6663</v>
      </c>
      <c r="D21" s="26">
        <v>12.54</v>
      </c>
      <c r="E21" s="24"/>
      <c r="F21" s="25">
        <v>7.7136</v>
      </c>
      <c r="G21" s="26">
        <v>12.52</v>
      </c>
      <c r="H21" s="24"/>
      <c r="I21" s="25">
        <v>7.7419</v>
      </c>
      <c r="J21" s="26">
        <v>12.41</v>
      </c>
      <c r="K21" s="24"/>
      <c r="L21" s="25">
        <v>7.7992</v>
      </c>
      <c r="M21" s="26">
        <v>12.29</v>
      </c>
      <c r="N21" s="24"/>
      <c r="O21" s="25">
        <v>7.8487</v>
      </c>
      <c r="P21" s="26">
        <v>12.27</v>
      </c>
      <c r="Q21" s="24"/>
      <c r="R21" s="25">
        <v>7.7753</v>
      </c>
      <c r="S21" s="26">
        <v>12.35</v>
      </c>
      <c r="T21" s="24"/>
      <c r="U21" s="25">
        <v>7.7965</v>
      </c>
      <c r="V21" s="26">
        <v>12.38</v>
      </c>
      <c r="W21" s="24"/>
      <c r="X21" s="25">
        <v>8.0573</v>
      </c>
      <c r="Y21" s="26">
        <v>12.17</v>
      </c>
      <c r="Z21" s="24"/>
      <c r="AA21" s="25">
        <v>8.1087</v>
      </c>
      <c r="AB21" s="26">
        <v>12.14</v>
      </c>
      <c r="AC21" s="24"/>
      <c r="AD21" s="25">
        <v>7.8861</v>
      </c>
      <c r="AE21" s="26">
        <v>12.3</v>
      </c>
      <c r="AF21" s="24"/>
      <c r="AG21" s="25">
        <v>7.8785</v>
      </c>
      <c r="AH21" s="26">
        <v>12.33</v>
      </c>
      <c r="AI21" s="24"/>
      <c r="AJ21" s="25">
        <v>8.0686</v>
      </c>
      <c r="AK21" s="26">
        <v>12.12</v>
      </c>
      <c r="AL21" s="24"/>
      <c r="AM21" s="25">
        <v>8.0428</v>
      </c>
      <c r="AN21" s="26">
        <v>12.15</v>
      </c>
      <c r="AO21" s="24"/>
      <c r="AP21" s="25">
        <v>8.1911</v>
      </c>
      <c r="AQ21" s="26">
        <v>12.01</v>
      </c>
      <c r="AR21" s="24"/>
      <c r="AS21" s="25">
        <v>8.1727</v>
      </c>
      <c r="AT21" s="26">
        <v>11.98</v>
      </c>
      <c r="AU21" s="24"/>
      <c r="AV21" s="25">
        <v>8.227</v>
      </c>
      <c r="AW21" s="26">
        <v>11.85</v>
      </c>
      <c r="AX21" s="24"/>
      <c r="AY21" s="25">
        <v>8.0598</v>
      </c>
      <c r="AZ21" s="26">
        <v>11.92</v>
      </c>
      <c r="BA21" s="24"/>
      <c r="BB21" s="25">
        <v>7.9141</v>
      </c>
      <c r="BC21" s="26">
        <v>12.02</v>
      </c>
      <c r="BD21" s="24"/>
      <c r="BE21" s="25">
        <v>7.9687</v>
      </c>
      <c r="BF21" s="26">
        <v>11.96</v>
      </c>
      <c r="BG21" s="24"/>
      <c r="BH21" s="25">
        <f t="shared" si="0"/>
        <v>7.942994736842107</v>
      </c>
      <c r="BI21" s="26">
        <f t="shared" si="1"/>
        <v>12.195263157894736</v>
      </c>
      <c r="BJ21" s="26"/>
      <c r="BK21" s="25"/>
      <c r="BL21" s="25"/>
      <c r="BM21" s="26"/>
      <c r="BN21" s="25"/>
      <c r="BO21" s="25"/>
      <c r="BP21" s="26"/>
      <c r="BQ21" s="25"/>
      <c r="BR21" s="25"/>
      <c r="BS21" s="25"/>
      <c r="BT21" s="25"/>
      <c r="BU21" s="26"/>
      <c r="BV21" s="26"/>
      <c r="BW21" s="109"/>
      <c r="BX21" s="109"/>
      <c r="BY21" s="24"/>
    </row>
    <row r="22" spans="1:77" ht="15.75" customHeight="1">
      <c r="A22" s="40">
        <v>10</v>
      </c>
      <c r="B22" s="73" t="s">
        <v>23</v>
      </c>
      <c r="C22" s="25">
        <v>6.59</v>
      </c>
      <c r="D22" s="26">
        <v>14.58</v>
      </c>
      <c r="E22" s="24"/>
      <c r="F22" s="25">
        <v>6.6965</v>
      </c>
      <c r="G22" s="26">
        <v>14.42</v>
      </c>
      <c r="H22" s="24"/>
      <c r="I22" s="25">
        <v>6.7343</v>
      </c>
      <c r="J22" s="26">
        <v>14.27</v>
      </c>
      <c r="K22" s="24"/>
      <c r="L22" s="25">
        <v>6.7815</v>
      </c>
      <c r="M22" s="26">
        <v>14.13</v>
      </c>
      <c r="N22" s="24"/>
      <c r="O22" s="25">
        <v>6.8152</v>
      </c>
      <c r="P22" s="26">
        <v>14.13</v>
      </c>
      <c r="Q22" s="24"/>
      <c r="R22" s="25">
        <v>6.7765</v>
      </c>
      <c r="S22" s="26">
        <v>14.17</v>
      </c>
      <c r="T22" s="24"/>
      <c r="U22" s="25">
        <v>6.827</v>
      </c>
      <c r="V22" s="26">
        <v>14.14</v>
      </c>
      <c r="W22" s="24"/>
      <c r="X22" s="25">
        <v>6.99</v>
      </c>
      <c r="Y22" s="26">
        <v>14.03</v>
      </c>
      <c r="Z22" s="24"/>
      <c r="AA22" s="25">
        <v>7.1227</v>
      </c>
      <c r="AB22" s="26">
        <v>13.83</v>
      </c>
      <c r="AC22" s="24"/>
      <c r="AD22" s="25">
        <v>6.9517</v>
      </c>
      <c r="AE22" s="26">
        <v>13.95</v>
      </c>
      <c r="AF22" s="24"/>
      <c r="AG22" s="25">
        <v>6.9124</v>
      </c>
      <c r="AH22" s="26">
        <v>14.06</v>
      </c>
      <c r="AI22" s="24"/>
      <c r="AJ22" s="25">
        <v>7.0388</v>
      </c>
      <c r="AK22" s="26">
        <v>13.89</v>
      </c>
      <c r="AL22" s="24"/>
      <c r="AM22" s="25">
        <v>7.0611</v>
      </c>
      <c r="AN22" s="26">
        <v>13.84</v>
      </c>
      <c r="AO22" s="24"/>
      <c r="AP22" s="25">
        <v>7.113</v>
      </c>
      <c r="AQ22" s="26">
        <v>13.83</v>
      </c>
      <c r="AR22" s="24"/>
      <c r="AS22" s="25">
        <v>7.0728</v>
      </c>
      <c r="AT22" s="26">
        <v>13.84</v>
      </c>
      <c r="AU22" s="24"/>
      <c r="AV22" s="25">
        <v>7.1</v>
      </c>
      <c r="AW22" s="26">
        <v>13.73</v>
      </c>
      <c r="AX22" s="24"/>
      <c r="AY22" s="25">
        <v>7.031</v>
      </c>
      <c r="AZ22" s="26">
        <v>13.67</v>
      </c>
      <c r="BA22" s="24"/>
      <c r="BB22" s="25">
        <v>6.9576</v>
      </c>
      <c r="BC22" s="26">
        <v>13.67</v>
      </c>
      <c r="BD22" s="24"/>
      <c r="BE22" s="25">
        <v>6.9332</v>
      </c>
      <c r="BF22" s="26">
        <v>13.75</v>
      </c>
      <c r="BG22" s="24"/>
      <c r="BH22" s="25">
        <f t="shared" si="0"/>
        <v>6.921331578947369</v>
      </c>
      <c r="BI22" s="26">
        <f t="shared" si="1"/>
        <v>13.996315789473684</v>
      </c>
      <c r="BJ22" s="26"/>
      <c r="BK22" s="25"/>
      <c r="BL22" s="25"/>
      <c r="BM22" s="26"/>
      <c r="BN22" s="25"/>
      <c r="BO22" s="25"/>
      <c r="BP22" s="26"/>
      <c r="BQ22" s="25"/>
      <c r="BR22" s="25"/>
      <c r="BS22" s="25"/>
      <c r="BT22" s="25"/>
      <c r="BU22" s="26"/>
      <c r="BV22" s="26"/>
      <c r="BW22" s="109"/>
      <c r="BX22" s="109"/>
      <c r="BY22" s="24"/>
    </row>
    <row r="23" spans="1:77" ht="15.75" customHeight="1">
      <c r="A23" s="40">
        <v>11</v>
      </c>
      <c r="B23" s="73" t="s">
        <v>24</v>
      </c>
      <c r="C23" s="25">
        <v>5.7994</v>
      </c>
      <c r="D23" s="26">
        <v>16.57</v>
      </c>
      <c r="E23" s="24"/>
      <c r="F23" s="25">
        <v>5.8302</v>
      </c>
      <c r="G23" s="26">
        <v>16.57</v>
      </c>
      <c r="H23" s="24"/>
      <c r="I23" s="25">
        <v>5.7897</v>
      </c>
      <c r="J23" s="26">
        <v>16.59</v>
      </c>
      <c r="K23" s="24"/>
      <c r="L23" s="25">
        <v>5.7766</v>
      </c>
      <c r="M23" s="26">
        <v>16.59</v>
      </c>
      <c r="N23" s="24"/>
      <c r="O23" s="25">
        <v>5.8101</v>
      </c>
      <c r="P23" s="26">
        <v>16.57</v>
      </c>
      <c r="Q23" s="24"/>
      <c r="R23" s="25">
        <v>5.7896</v>
      </c>
      <c r="S23" s="26">
        <v>16.59</v>
      </c>
      <c r="T23" s="24"/>
      <c r="U23" s="25">
        <v>5.8298</v>
      </c>
      <c r="V23" s="26">
        <v>16.56</v>
      </c>
      <c r="W23" s="24"/>
      <c r="X23" s="25">
        <v>5.9326</v>
      </c>
      <c r="Y23" s="26">
        <v>16.53</v>
      </c>
      <c r="Z23" s="24"/>
      <c r="AA23" s="25">
        <v>5.9653</v>
      </c>
      <c r="AB23" s="26">
        <v>16.51</v>
      </c>
      <c r="AC23" s="24"/>
      <c r="AD23" s="25">
        <v>5.8629</v>
      </c>
      <c r="AE23" s="26">
        <v>16.54</v>
      </c>
      <c r="AF23" s="24"/>
      <c r="AG23" s="25">
        <v>5.8705</v>
      </c>
      <c r="AH23" s="26">
        <v>16.55</v>
      </c>
      <c r="AI23" s="24"/>
      <c r="AJ23" s="25">
        <v>5.9088</v>
      </c>
      <c r="AK23" s="26">
        <v>16.54</v>
      </c>
      <c r="AL23" s="24"/>
      <c r="AM23" s="25">
        <v>5.9006</v>
      </c>
      <c r="AN23" s="26">
        <v>16.57</v>
      </c>
      <c r="AO23" s="24"/>
      <c r="AP23" s="25">
        <v>5.9535</v>
      </c>
      <c r="AQ23" s="26">
        <v>16.53</v>
      </c>
      <c r="AR23" s="24"/>
      <c r="AS23" s="25">
        <v>5.9178</v>
      </c>
      <c r="AT23" s="26">
        <v>16.55</v>
      </c>
      <c r="AU23" s="24"/>
      <c r="AV23" s="25">
        <v>5.8838</v>
      </c>
      <c r="AW23" s="26">
        <v>16.57</v>
      </c>
      <c r="AX23" s="24"/>
      <c r="AY23" s="25">
        <v>5.8058</v>
      </c>
      <c r="AZ23" s="26">
        <v>16.55</v>
      </c>
      <c r="BA23" s="24"/>
      <c r="BB23" s="25">
        <v>5.7443</v>
      </c>
      <c r="BC23" s="26">
        <v>16.55</v>
      </c>
      <c r="BD23" s="24"/>
      <c r="BE23" s="25">
        <v>5.7555</v>
      </c>
      <c r="BF23" s="26">
        <v>16.56</v>
      </c>
      <c r="BG23" s="24"/>
      <c r="BH23" s="25">
        <f t="shared" si="0"/>
        <v>5.84877894736842</v>
      </c>
      <c r="BI23" s="26">
        <f t="shared" si="1"/>
        <v>16.557368421052633</v>
      </c>
      <c r="BJ23" s="26"/>
      <c r="BK23" s="25"/>
      <c r="BL23" s="25"/>
      <c r="BM23" s="26"/>
      <c r="BN23" s="25"/>
      <c r="BO23" s="25"/>
      <c r="BP23" s="26"/>
      <c r="BQ23" s="25"/>
      <c r="BR23" s="25"/>
      <c r="BS23" s="25"/>
      <c r="BT23" s="25"/>
      <c r="BU23" s="26"/>
      <c r="BV23" s="26"/>
      <c r="BW23" s="109"/>
      <c r="BX23" s="109"/>
      <c r="BY23" s="24"/>
    </row>
    <row r="24" spans="1:77" ht="15.75" customHeight="1">
      <c r="A24" s="40">
        <v>12</v>
      </c>
      <c r="B24" s="73" t="s">
        <v>25</v>
      </c>
      <c r="C24" s="25">
        <v>0.67191</v>
      </c>
      <c r="D24" s="26">
        <v>143.04</v>
      </c>
      <c r="E24" s="24"/>
      <c r="F24" s="25">
        <v>0.67097</v>
      </c>
      <c r="G24" s="26">
        <v>143.96</v>
      </c>
      <c r="H24" s="24"/>
      <c r="I24" s="25">
        <v>0.67378</v>
      </c>
      <c r="J24" s="26">
        <v>142.58</v>
      </c>
      <c r="K24" s="24"/>
      <c r="L24" s="25">
        <v>0.66946</v>
      </c>
      <c r="M24" s="26">
        <v>143.17</v>
      </c>
      <c r="N24" s="24"/>
      <c r="O24" s="25">
        <v>0.67043</v>
      </c>
      <c r="P24" s="26">
        <v>143.64</v>
      </c>
      <c r="Q24" s="24"/>
      <c r="R24" s="25">
        <v>0.67286</v>
      </c>
      <c r="S24" s="26">
        <v>142.73</v>
      </c>
      <c r="T24" s="24"/>
      <c r="U24" s="25">
        <v>0.67149</v>
      </c>
      <c r="V24" s="26">
        <v>143.78</v>
      </c>
      <c r="W24" s="24"/>
      <c r="X24" s="25">
        <v>0.67436</v>
      </c>
      <c r="Y24" s="26">
        <v>145.42</v>
      </c>
      <c r="Z24" s="24"/>
      <c r="AA24" s="25">
        <v>0.67836</v>
      </c>
      <c r="AB24" s="26">
        <v>145.17</v>
      </c>
      <c r="AC24" s="24"/>
      <c r="AD24" s="25">
        <v>0.67927</v>
      </c>
      <c r="AE24" s="26">
        <v>142.78</v>
      </c>
      <c r="AF24" s="24"/>
      <c r="AG24" s="25">
        <v>0.67725</v>
      </c>
      <c r="AH24" s="26">
        <v>143.49</v>
      </c>
      <c r="AI24" s="24"/>
      <c r="AJ24" s="25">
        <v>0.67762</v>
      </c>
      <c r="AK24" s="26">
        <v>144.27</v>
      </c>
      <c r="AL24" s="24"/>
      <c r="AM24" s="25">
        <v>0.67736</v>
      </c>
      <c r="AN24" s="26">
        <v>144.31</v>
      </c>
      <c r="AO24" s="24"/>
      <c r="AP24" s="25">
        <v>0.67755</v>
      </c>
      <c r="AQ24" s="26">
        <v>145.2</v>
      </c>
      <c r="AR24" s="24"/>
      <c r="AS24" s="25">
        <v>0.67935</v>
      </c>
      <c r="AT24" s="26">
        <v>144.13</v>
      </c>
      <c r="AU24" s="24"/>
      <c r="AV24" s="25">
        <v>0.67711</v>
      </c>
      <c r="AW24" s="26">
        <v>143.95</v>
      </c>
      <c r="AX24" s="24"/>
      <c r="AY24" s="25">
        <v>0.67562</v>
      </c>
      <c r="AZ24" s="26">
        <v>142.23</v>
      </c>
      <c r="BA24" s="24"/>
      <c r="BB24" s="25">
        <v>0.67245</v>
      </c>
      <c r="BC24" s="26">
        <v>141.41</v>
      </c>
      <c r="BD24" s="24"/>
      <c r="BE24" s="25">
        <v>0.66929</v>
      </c>
      <c r="BF24" s="26">
        <v>142.44</v>
      </c>
      <c r="BG24" s="24"/>
      <c r="BH24" s="25">
        <f t="shared" si="0"/>
        <v>0.6745521052631579</v>
      </c>
      <c r="BI24" s="26">
        <f t="shared" si="1"/>
        <v>143.56315789473683</v>
      </c>
      <c r="BJ24" s="26"/>
      <c r="BK24" s="25"/>
      <c r="BL24" s="25"/>
      <c r="BM24" s="26"/>
      <c r="BN24" s="25"/>
      <c r="BO24" s="25"/>
      <c r="BP24" s="26"/>
      <c r="BQ24" s="25"/>
      <c r="BR24" s="25"/>
      <c r="BS24" s="25"/>
      <c r="BT24" s="25"/>
      <c r="BU24" s="26"/>
      <c r="BV24" s="26"/>
      <c r="BW24" s="109"/>
      <c r="BX24" s="109"/>
      <c r="BY24" s="24"/>
    </row>
    <row r="25" spans="1:105" s="104" customFormat="1" ht="15.75" customHeight="1" thickBot="1">
      <c r="A25" s="105">
        <v>13</v>
      </c>
      <c r="B25" s="106" t="s">
        <v>26</v>
      </c>
      <c r="C25" s="107">
        <v>1</v>
      </c>
      <c r="D25" s="108">
        <v>96.11</v>
      </c>
      <c r="E25" s="29"/>
      <c r="F25" s="107">
        <v>1</v>
      </c>
      <c r="G25" s="108">
        <v>96.59</v>
      </c>
      <c r="H25" s="29"/>
      <c r="I25" s="107">
        <v>1</v>
      </c>
      <c r="J25" s="108">
        <v>96.07</v>
      </c>
      <c r="K25" s="29"/>
      <c r="L25" s="107">
        <v>1</v>
      </c>
      <c r="M25" s="108">
        <v>95.85</v>
      </c>
      <c r="N25" s="29"/>
      <c r="O25" s="107">
        <v>1</v>
      </c>
      <c r="P25" s="108">
        <v>96.3</v>
      </c>
      <c r="Q25" s="29"/>
      <c r="R25" s="107">
        <v>1</v>
      </c>
      <c r="S25" s="108">
        <v>96.04</v>
      </c>
      <c r="T25" s="29"/>
      <c r="U25" s="107">
        <v>1</v>
      </c>
      <c r="V25" s="108">
        <v>96.54</v>
      </c>
      <c r="W25" s="29"/>
      <c r="X25" s="107">
        <v>1</v>
      </c>
      <c r="Y25" s="108">
        <v>98.06</v>
      </c>
      <c r="Z25" s="29"/>
      <c r="AA25" s="107">
        <v>1</v>
      </c>
      <c r="AB25" s="108">
        <v>98.48</v>
      </c>
      <c r="AC25" s="29"/>
      <c r="AD25" s="107">
        <v>1</v>
      </c>
      <c r="AE25" s="108">
        <v>96.99</v>
      </c>
      <c r="AF25" s="29"/>
      <c r="AG25" s="107">
        <v>1</v>
      </c>
      <c r="AH25" s="108">
        <v>97.18</v>
      </c>
      <c r="AI25" s="29"/>
      <c r="AJ25" s="107">
        <v>1</v>
      </c>
      <c r="AK25" s="108">
        <v>97.76</v>
      </c>
      <c r="AL25" s="29"/>
      <c r="AM25" s="107">
        <v>1</v>
      </c>
      <c r="AN25" s="108">
        <v>97.75</v>
      </c>
      <c r="AO25" s="29"/>
      <c r="AP25" s="107">
        <v>1</v>
      </c>
      <c r="AQ25" s="108">
        <v>98.38</v>
      </c>
      <c r="AR25" s="29"/>
      <c r="AS25" s="107">
        <v>1</v>
      </c>
      <c r="AT25" s="108">
        <v>97.92</v>
      </c>
      <c r="AU25" s="29"/>
      <c r="AV25" s="107">
        <v>1</v>
      </c>
      <c r="AW25" s="108">
        <v>97.47</v>
      </c>
      <c r="AX25" s="29"/>
      <c r="AY25" s="107">
        <v>1</v>
      </c>
      <c r="AZ25" s="108">
        <v>96.09</v>
      </c>
      <c r="BA25" s="29"/>
      <c r="BB25" s="107">
        <v>1</v>
      </c>
      <c r="BC25" s="108">
        <v>95.09</v>
      </c>
      <c r="BD25" s="29"/>
      <c r="BE25" s="107">
        <v>1</v>
      </c>
      <c r="BF25" s="108">
        <v>95.33</v>
      </c>
      <c r="BG25" s="29"/>
      <c r="BH25" s="108">
        <f t="shared" si="0"/>
        <v>1</v>
      </c>
      <c r="BI25" s="108">
        <f t="shared" si="1"/>
        <v>96.84210526315788</v>
      </c>
      <c r="BJ25" s="108"/>
      <c r="BK25" s="25"/>
      <c r="BL25" s="25"/>
      <c r="BM25" s="26"/>
      <c r="BN25" s="25"/>
      <c r="BO25" s="25"/>
      <c r="BP25" s="25"/>
      <c r="BQ25" s="25"/>
      <c r="BR25" s="25"/>
      <c r="BS25" s="25"/>
      <c r="BT25" s="25"/>
      <c r="BU25" s="26"/>
      <c r="BV25" s="25"/>
      <c r="BW25" s="109"/>
      <c r="BX25" s="109"/>
      <c r="BY25" s="24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</row>
    <row r="26" spans="1:77" ht="15.75" customHeight="1" thickTop="1">
      <c r="A26" s="40"/>
      <c r="B26" s="73"/>
      <c r="C26" s="25"/>
      <c r="D26" s="26"/>
      <c r="E26" s="24"/>
      <c r="F26" s="25"/>
      <c r="G26" s="26"/>
      <c r="H26" s="24"/>
      <c r="I26" s="25"/>
      <c r="J26" s="26"/>
      <c r="K26" s="24"/>
      <c r="L26" s="25"/>
      <c r="M26" s="26"/>
      <c r="N26" s="24"/>
      <c r="O26" s="25"/>
      <c r="P26" s="26"/>
      <c r="Q26" s="24"/>
      <c r="R26" s="25"/>
      <c r="S26" s="26"/>
      <c r="T26" s="24"/>
      <c r="U26" s="25"/>
      <c r="V26" s="26"/>
      <c r="W26" s="24"/>
      <c r="X26" s="25"/>
      <c r="Y26" s="26"/>
      <c r="Z26" s="24"/>
      <c r="AA26" s="25"/>
      <c r="AB26" s="26"/>
      <c r="AC26" s="24"/>
      <c r="AD26" s="25"/>
      <c r="AE26" s="26"/>
      <c r="AF26" s="24"/>
      <c r="AG26" s="25"/>
      <c r="AH26" s="26"/>
      <c r="AI26" s="24"/>
      <c r="AJ26" s="25"/>
      <c r="AK26" s="26"/>
      <c r="AL26" s="24"/>
      <c r="AM26" s="25"/>
      <c r="AN26" s="26"/>
      <c r="AO26" s="24"/>
      <c r="AP26" s="25"/>
      <c r="AQ26" s="26"/>
      <c r="AR26" s="24"/>
      <c r="AS26" s="25"/>
      <c r="AT26" s="26"/>
      <c r="AU26" s="24"/>
      <c r="AV26" s="25"/>
      <c r="AW26" s="26"/>
      <c r="AX26" s="24"/>
      <c r="AY26" s="25"/>
      <c r="AZ26" s="26"/>
      <c r="BA26" s="24"/>
      <c r="BB26" s="25"/>
      <c r="BC26" s="26"/>
      <c r="BD26" s="24"/>
      <c r="BE26" s="24"/>
      <c r="BF26" s="24"/>
      <c r="BG26" s="24"/>
      <c r="BH26" s="25"/>
      <c r="BI26" s="26"/>
      <c r="BJ26" s="26"/>
      <c r="BK26" s="25"/>
      <c r="BL26" s="26"/>
      <c r="BM26" s="26"/>
      <c r="BN26" s="25"/>
      <c r="BO26" s="26"/>
      <c r="BP26" s="26"/>
      <c r="BQ26" s="25"/>
      <c r="BR26" s="26"/>
      <c r="BS26" s="25"/>
      <c r="BT26" s="25"/>
      <c r="BU26" s="26"/>
      <c r="BV26" s="26"/>
      <c r="BW26" s="25"/>
      <c r="BX26" s="26"/>
      <c r="BY26" s="24"/>
    </row>
    <row r="27" spans="1:77" ht="15.75" customHeight="1">
      <c r="A27" s="40"/>
      <c r="B27" s="73"/>
      <c r="C27" s="25"/>
      <c r="D27" s="26"/>
      <c r="E27" s="24"/>
      <c r="F27" s="25"/>
      <c r="G27" s="26"/>
      <c r="H27" s="24"/>
      <c r="I27" s="25"/>
      <c r="J27" s="26"/>
      <c r="K27" s="24"/>
      <c r="L27" s="25"/>
      <c r="M27" s="26"/>
      <c r="N27" s="24"/>
      <c r="O27" s="25"/>
      <c r="P27" s="26"/>
      <c r="Q27" s="24"/>
      <c r="R27" s="25"/>
      <c r="S27" s="26"/>
      <c r="T27" s="24"/>
      <c r="U27" s="25"/>
      <c r="V27" s="26"/>
      <c r="W27" s="24"/>
      <c r="X27" s="25"/>
      <c r="Y27" s="26"/>
      <c r="Z27" s="24"/>
      <c r="AA27" s="25"/>
      <c r="AB27" s="26"/>
      <c r="AC27" s="24"/>
      <c r="AD27" s="25"/>
      <c r="AE27" s="26"/>
      <c r="AF27" s="24"/>
      <c r="AG27" s="25"/>
      <c r="AH27" s="26"/>
      <c r="AI27" s="24"/>
      <c r="AJ27" s="25"/>
      <c r="AK27" s="26"/>
      <c r="AL27" s="24"/>
      <c r="AM27" s="25"/>
      <c r="AN27" s="26"/>
      <c r="AO27" s="24"/>
      <c r="AP27" s="25"/>
      <c r="AQ27" s="26"/>
      <c r="AR27" s="24"/>
      <c r="AS27" s="25"/>
      <c r="AT27" s="26"/>
      <c r="AU27" s="24"/>
      <c r="AV27" s="25"/>
      <c r="AW27" s="26"/>
      <c r="AX27" s="24"/>
      <c r="AY27" s="25"/>
      <c r="AZ27" s="26"/>
      <c r="BA27" s="24"/>
      <c r="BB27" s="25"/>
      <c r="BC27" s="26"/>
      <c r="BD27" s="24"/>
      <c r="BE27" s="24"/>
      <c r="BF27" s="24"/>
      <c r="BG27" s="24"/>
      <c r="BH27" s="25"/>
      <c r="BI27" s="26"/>
      <c r="BJ27" s="26"/>
      <c r="BK27" s="25"/>
      <c r="BL27" s="26"/>
      <c r="BM27" s="26"/>
      <c r="BN27" s="25"/>
      <c r="BO27" s="26"/>
      <c r="BP27" s="26"/>
      <c r="BQ27" s="25"/>
      <c r="BR27" s="26"/>
      <c r="BS27" s="25"/>
      <c r="BT27" s="25"/>
      <c r="BU27" s="26"/>
      <c r="BV27" s="26"/>
      <c r="BW27" s="25"/>
      <c r="BX27" s="26"/>
      <c r="BY27" s="24"/>
    </row>
    <row r="28" spans="1:77" ht="15.75" customHeight="1">
      <c r="A28" s="40"/>
      <c r="B28" s="73"/>
      <c r="C28" s="25"/>
      <c r="D28" s="26"/>
      <c r="E28" s="24"/>
      <c r="F28" s="25"/>
      <c r="G28" s="26"/>
      <c r="H28" s="24"/>
      <c r="I28" s="25"/>
      <c r="J28" s="26"/>
      <c r="K28" s="24"/>
      <c r="L28" s="25"/>
      <c r="M28" s="26"/>
      <c r="N28" s="24"/>
      <c r="O28" s="25"/>
      <c r="P28" s="26"/>
      <c r="Q28" s="24"/>
      <c r="R28" s="25"/>
      <c r="S28" s="26"/>
      <c r="T28" s="24"/>
      <c r="U28" s="25"/>
      <c r="V28" s="26"/>
      <c r="W28" s="24"/>
      <c r="X28" s="25"/>
      <c r="Y28" s="26"/>
      <c r="Z28" s="24"/>
      <c r="AA28" s="25"/>
      <c r="AB28" s="26"/>
      <c r="AC28" s="24"/>
      <c r="AD28" s="25"/>
      <c r="AE28" s="26"/>
      <c r="AF28" s="24"/>
      <c r="AG28" s="25"/>
      <c r="AH28" s="26"/>
      <c r="AI28" s="24"/>
      <c r="AJ28" s="25"/>
      <c r="AK28" s="26"/>
      <c r="AL28" s="24"/>
      <c r="AM28" s="25"/>
      <c r="AN28" s="26"/>
      <c r="AO28" s="24"/>
      <c r="AP28" s="25"/>
      <c r="AQ28" s="26"/>
      <c r="AR28" s="24"/>
      <c r="AS28" s="25"/>
      <c r="AT28" s="26"/>
      <c r="AU28" s="24"/>
      <c r="AV28" s="25"/>
      <c r="AW28" s="26"/>
      <c r="AX28" s="24"/>
      <c r="AY28" s="25"/>
      <c r="AZ28" s="26"/>
      <c r="BA28" s="24"/>
      <c r="BB28" s="25"/>
      <c r="BC28" s="26"/>
      <c r="BD28" s="24"/>
      <c r="BE28" s="24"/>
      <c r="BF28" s="24"/>
      <c r="BG28" s="24"/>
      <c r="BH28" s="25"/>
      <c r="BI28" s="26"/>
      <c r="BJ28" s="26"/>
      <c r="BK28" s="25"/>
      <c r="BL28" s="26"/>
      <c r="BM28" s="26"/>
      <c r="BN28" s="25"/>
      <c r="BO28" s="26"/>
      <c r="BP28" s="26"/>
      <c r="BQ28" s="25"/>
      <c r="BR28" s="26"/>
      <c r="BS28" s="25"/>
      <c r="BT28" s="25"/>
      <c r="BU28" s="26"/>
      <c r="BV28" s="26"/>
      <c r="BW28" s="25"/>
      <c r="BX28" s="26"/>
      <c r="BY28" s="24"/>
    </row>
    <row r="29" spans="1:77" ht="15.75" customHeight="1">
      <c r="A29" s="40"/>
      <c r="B29" s="73"/>
      <c r="C29" s="25"/>
      <c r="D29" s="26"/>
      <c r="E29" s="24"/>
      <c r="F29" s="25"/>
      <c r="G29" s="26"/>
      <c r="H29" s="24"/>
      <c r="I29" s="25"/>
      <c r="J29" s="26"/>
      <c r="K29" s="24"/>
      <c r="L29" s="25"/>
      <c r="M29" s="26"/>
      <c r="N29" s="24"/>
      <c r="O29" s="25"/>
      <c r="P29" s="26"/>
      <c r="Q29" s="24"/>
      <c r="R29" s="25"/>
      <c r="S29" s="26"/>
      <c r="T29" s="24"/>
      <c r="U29" s="25"/>
      <c r="V29" s="26"/>
      <c r="W29" s="24"/>
      <c r="X29" s="25"/>
      <c r="Y29" s="26"/>
      <c r="Z29" s="24"/>
      <c r="AA29" s="25"/>
      <c r="AB29" s="26"/>
      <c r="AC29" s="24"/>
      <c r="AD29" s="25"/>
      <c r="AE29" s="26"/>
      <c r="AF29" s="24"/>
      <c r="AG29" s="25"/>
      <c r="AH29" s="26"/>
      <c r="AI29" s="24"/>
      <c r="AJ29" s="25"/>
      <c r="AK29" s="26"/>
      <c r="AL29" s="24"/>
      <c r="AM29" s="25"/>
      <c r="AN29" s="26"/>
      <c r="AO29" s="24"/>
      <c r="AP29" s="25"/>
      <c r="AQ29" s="26"/>
      <c r="AR29" s="24"/>
      <c r="AS29" s="25"/>
      <c r="AT29" s="26"/>
      <c r="AU29" s="24"/>
      <c r="AV29" s="25"/>
      <c r="AW29" s="26"/>
      <c r="AX29" s="24"/>
      <c r="AY29" s="25"/>
      <c r="AZ29" s="26"/>
      <c r="BA29" s="24"/>
      <c r="BB29" s="25"/>
      <c r="BC29" s="26"/>
      <c r="BD29" s="24"/>
      <c r="BE29" s="24"/>
      <c r="BF29" s="24"/>
      <c r="BG29" s="24"/>
      <c r="BH29" s="25"/>
      <c r="BI29" s="26"/>
      <c r="BJ29" s="26"/>
      <c r="BK29" s="25"/>
      <c r="BL29" s="26"/>
      <c r="BM29" s="26"/>
      <c r="BN29" s="25"/>
      <c r="BO29" s="26"/>
      <c r="BP29" s="26"/>
      <c r="BQ29" s="25"/>
      <c r="BR29" s="26"/>
      <c r="BS29" s="25"/>
      <c r="BT29" s="25"/>
      <c r="BU29" s="26"/>
      <c r="BV29" s="26"/>
      <c r="BW29" s="25"/>
      <c r="BX29" s="26"/>
      <c r="BY29" s="24"/>
    </row>
    <row r="30" spans="1:77" ht="15.75" customHeight="1">
      <c r="A30" s="40"/>
      <c r="B30" s="73"/>
      <c r="C30" s="25"/>
      <c r="D30" s="26"/>
      <c r="E30" s="24"/>
      <c r="F30" s="25"/>
      <c r="G30" s="26"/>
      <c r="H30" s="24"/>
      <c r="I30" s="25"/>
      <c r="J30" s="26"/>
      <c r="K30" s="24"/>
      <c r="L30" s="25"/>
      <c r="M30" s="26"/>
      <c r="N30" s="24"/>
      <c r="O30" s="25"/>
      <c r="P30" s="26"/>
      <c r="Q30" s="24"/>
      <c r="R30" s="25"/>
      <c r="S30" s="26"/>
      <c r="T30" s="24"/>
      <c r="U30" s="25"/>
      <c r="V30" s="26"/>
      <c r="W30" s="24"/>
      <c r="X30" s="25"/>
      <c r="Y30" s="26"/>
      <c r="Z30" s="24"/>
      <c r="AA30" s="25"/>
      <c r="AB30" s="26"/>
      <c r="AC30" s="24"/>
      <c r="AD30" s="25"/>
      <c r="AE30" s="26"/>
      <c r="AF30" s="24"/>
      <c r="AG30" s="25"/>
      <c r="AH30" s="26"/>
      <c r="AI30" s="24"/>
      <c r="AJ30" s="25"/>
      <c r="AK30" s="26"/>
      <c r="AL30" s="24"/>
      <c r="AM30" s="25"/>
      <c r="AN30" s="26"/>
      <c r="AO30" s="24"/>
      <c r="AP30" s="25"/>
      <c r="AQ30" s="26"/>
      <c r="AR30" s="24"/>
      <c r="AS30" s="25"/>
      <c r="AT30" s="26"/>
      <c r="AU30" s="24"/>
      <c r="AV30" s="25"/>
      <c r="AW30" s="26"/>
      <c r="AX30" s="24"/>
      <c r="AY30" s="25"/>
      <c r="AZ30" s="26"/>
      <c r="BA30" s="24"/>
      <c r="BB30" s="25"/>
      <c r="BC30" s="26"/>
      <c r="BD30" s="24"/>
      <c r="BE30" s="24"/>
      <c r="BF30" s="24"/>
      <c r="BG30" s="24"/>
      <c r="BH30" s="25"/>
      <c r="BI30" s="26"/>
      <c r="BJ30" s="26"/>
      <c r="BK30" s="25"/>
      <c r="BL30" s="26"/>
      <c r="BM30" s="26"/>
      <c r="BN30" s="25"/>
      <c r="BO30" s="26"/>
      <c r="BP30" s="26"/>
      <c r="BQ30" s="25"/>
      <c r="BR30" s="26"/>
      <c r="BS30" s="25"/>
      <c r="BT30" s="25"/>
      <c r="BU30" s="26"/>
      <c r="BV30" s="26"/>
      <c r="BW30" s="25"/>
      <c r="BX30" s="26"/>
      <c r="BY30" s="24"/>
    </row>
    <row r="31" spans="1:77" ht="15.75" customHeight="1">
      <c r="A31" s="40"/>
      <c r="B31" s="73"/>
      <c r="C31" s="25"/>
      <c r="D31" s="26"/>
      <c r="E31" s="24"/>
      <c r="F31" s="25"/>
      <c r="G31" s="26"/>
      <c r="H31" s="24"/>
      <c r="I31" s="25"/>
      <c r="J31" s="26"/>
      <c r="K31" s="24"/>
      <c r="L31" s="25"/>
      <c r="M31" s="26"/>
      <c r="N31" s="24"/>
      <c r="O31" s="25"/>
      <c r="P31" s="26"/>
      <c r="Q31" s="24"/>
      <c r="R31" s="25"/>
      <c r="S31" s="26"/>
      <c r="T31" s="24"/>
      <c r="U31" s="25"/>
      <c r="V31" s="26"/>
      <c r="W31" s="24"/>
      <c r="X31" s="25"/>
      <c r="Y31" s="26"/>
      <c r="Z31" s="24"/>
      <c r="AA31" s="25"/>
      <c r="AB31" s="26"/>
      <c r="AC31" s="24"/>
      <c r="AD31" s="25"/>
      <c r="AE31" s="26"/>
      <c r="AF31" s="24"/>
      <c r="AG31" s="25"/>
      <c r="AH31" s="26"/>
      <c r="AI31" s="24"/>
      <c r="AJ31" s="25"/>
      <c r="AK31" s="26"/>
      <c r="AL31" s="24"/>
      <c r="AM31" s="25"/>
      <c r="AN31" s="26"/>
      <c r="AO31" s="24"/>
      <c r="AP31" s="25"/>
      <c r="AQ31" s="26"/>
      <c r="AR31" s="24"/>
      <c r="AS31" s="25"/>
      <c r="AT31" s="26"/>
      <c r="AU31" s="24"/>
      <c r="AV31" s="25"/>
      <c r="AW31" s="26"/>
      <c r="AX31" s="24"/>
      <c r="AY31" s="25"/>
      <c r="AZ31" s="26"/>
      <c r="BA31" s="24"/>
      <c r="BB31" s="25"/>
      <c r="BC31" s="26"/>
      <c r="BD31" s="24"/>
      <c r="BE31" s="24"/>
      <c r="BF31" s="24"/>
      <c r="BG31" s="24"/>
      <c r="BH31" s="25"/>
      <c r="BI31" s="26"/>
      <c r="BJ31" s="26"/>
      <c r="BK31" s="25"/>
      <c r="BL31" s="26"/>
      <c r="BM31" s="26"/>
      <c r="BN31" s="25"/>
      <c r="BO31" s="26"/>
      <c r="BP31" s="26"/>
      <c r="BQ31" s="25"/>
      <c r="BR31" s="26"/>
      <c r="BS31" s="25"/>
      <c r="BT31" s="25"/>
      <c r="BU31" s="26"/>
      <c r="BV31" s="26"/>
      <c r="BW31" s="25"/>
      <c r="BX31" s="26"/>
      <c r="BY31" s="24"/>
    </row>
    <row r="32" spans="1:77" ht="15.75" customHeight="1">
      <c r="A32" s="40"/>
      <c r="B32" s="73"/>
      <c r="C32" s="25"/>
      <c r="D32" s="26"/>
      <c r="E32" s="24"/>
      <c r="F32" s="25"/>
      <c r="G32" s="26"/>
      <c r="H32" s="24"/>
      <c r="I32" s="25"/>
      <c r="J32" s="26"/>
      <c r="K32" s="24"/>
      <c r="L32" s="25"/>
      <c r="M32" s="26"/>
      <c r="N32" s="24"/>
      <c r="O32" s="25"/>
      <c r="P32" s="26"/>
      <c r="Q32" s="24"/>
      <c r="R32" s="25"/>
      <c r="S32" s="26"/>
      <c r="T32" s="24"/>
      <c r="U32" s="25"/>
      <c r="V32" s="26"/>
      <c r="W32" s="24"/>
      <c r="X32" s="25"/>
      <c r="Y32" s="26"/>
      <c r="Z32" s="24"/>
      <c r="AA32" s="25"/>
      <c r="AB32" s="26"/>
      <c r="AC32" s="24"/>
      <c r="AD32" s="25"/>
      <c r="AE32" s="26"/>
      <c r="AF32" s="24"/>
      <c r="AG32" s="25"/>
      <c r="AH32" s="26"/>
      <c r="AI32" s="24"/>
      <c r="AJ32" s="25"/>
      <c r="AK32" s="26"/>
      <c r="AL32" s="24"/>
      <c r="AM32" s="25"/>
      <c r="AN32" s="26"/>
      <c r="AO32" s="24"/>
      <c r="AP32" s="25"/>
      <c r="AQ32" s="26"/>
      <c r="AR32" s="24"/>
      <c r="AS32" s="25"/>
      <c r="AT32" s="26"/>
      <c r="AU32" s="24"/>
      <c r="AV32" s="25"/>
      <c r="AW32" s="26"/>
      <c r="AX32" s="24"/>
      <c r="AY32" s="25"/>
      <c r="AZ32" s="26"/>
      <c r="BA32" s="24"/>
      <c r="BB32" s="25"/>
      <c r="BC32" s="26"/>
      <c r="BD32" s="24"/>
      <c r="BE32" s="24"/>
      <c r="BF32" s="24"/>
      <c r="BG32" s="24"/>
      <c r="BH32" s="25"/>
      <c r="BI32" s="26"/>
      <c r="BJ32" s="26"/>
      <c r="BK32" s="25"/>
      <c r="BL32" s="26"/>
      <c r="BM32" s="26"/>
      <c r="BN32" s="25"/>
      <c r="BO32" s="26"/>
      <c r="BP32" s="26"/>
      <c r="BQ32" s="25"/>
      <c r="BR32" s="26"/>
      <c r="BS32" s="25"/>
      <c r="BT32" s="25"/>
      <c r="BU32" s="26"/>
      <c r="BV32" s="26"/>
      <c r="BW32" s="25"/>
      <c r="BX32" s="26"/>
      <c r="BY32" s="24"/>
    </row>
    <row r="33" spans="1:77" ht="15.75" customHeight="1">
      <c r="A33" s="40"/>
      <c r="B33" s="76"/>
      <c r="C33" s="25"/>
      <c r="D33" s="26"/>
      <c r="E33" s="24"/>
      <c r="F33" s="25"/>
      <c r="G33" s="26"/>
      <c r="H33" s="24"/>
      <c r="I33" s="25"/>
      <c r="J33" s="26"/>
      <c r="K33" s="24"/>
      <c r="L33" s="25"/>
      <c r="M33" s="26"/>
      <c r="N33" s="24"/>
      <c r="O33" s="25"/>
      <c r="P33" s="26"/>
      <c r="Q33" s="24"/>
      <c r="R33" s="25"/>
      <c r="S33" s="26"/>
      <c r="T33" s="24"/>
      <c r="U33" s="25"/>
      <c r="V33" s="26"/>
      <c r="W33" s="24"/>
      <c r="X33" s="25"/>
      <c r="Y33" s="26"/>
      <c r="Z33" s="24"/>
      <c r="AA33" s="25"/>
      <c r="AB33" s="26"/>
      <c r="AC33" s="24"/>
      <c r="AD33" s="25"/>
      <c r="AE33" s="26"/>
      <c r="AF33" s="24"/>
      <c r="AG33" s="25"/>
      <c r="AH33" s="26"/>
      <c r="AI33" s="24"/>
      <c r="AJ33" s="25"/>
      <c r="AK33" s="26"/>
      <c r="AL33" s="24"/>
      <c r="AM33" s="25"/>
      <c r="AN33" s="26"/>
      <c r="AO33" s="24"/>
      <c r="AP33" s="25"/>
      <c r="AQ33" s="26"/>
      <c r="AR33" s="24"/>
      <c r="AS33" s="25"/>
      <c r="AT33" s="26"/>
      <c r="AU33" s="24"/>
      <c r="AV33" s="25"/>
      <c r="AW33" s="26"/>
      <c r="AX33" s="24"/>
      <c r="AY33" s="25"/>
      <c r="AZ33" s="26"/>
      <c r="BA33" s="24"/>
      <c r="BB33" s="25"/>
      <c r="BC33" s="26"/>
      <c r="BD33" s="24"/>
      <c r="BE33" s="24"/>
      <c r="BF33" s="24"/>
      <c r="BG33" s="24"/>
      <c r="BH33" s="25"/>
      <c r="BI33" s="26"/>
      <c r="BJ33" s="26"/>
      <c r="BK33" s="25"/>
      <c r="BL33" s="26"/>
      <c r="BM33" s="26"/>
      <c r="BN33" s="25"/>
      <c r="BO33" s="26"/>
      <c r="BP33" s="26"/>
      <c r="BQ33" s="25"/>
      <c r="BR33" s="26"/>
      <c r="BS33" s="25"/>
      <c r="BT33" s="25"/>
      <c r="BU33" s="26"/>
      <c r="BV33" s="26"/>
      <c r="BW33" s="25"/>
      <c r="BX33" s="26"/>
      <c r="BY33" s="24"/>
    </row>
    <row r="34" spans="1:77" ht="15.75" customHeight="1">
      <c r="A34" s="40"/>
      <c r="B34" s="76"/>
      <c r="C34" s="25"/>
      <c r="D34" s="26"/>
      <c r="E34" s="24"/>
      <c r="F34" s="25"/>
      <c r="G34" s="26"/>
      <c r="H34" s="24"/>
      <c r="I34" s="25"/>
      <c r="J34" s="26"/>
      <c r="K34" s="24"/>
      <c r="L34" s="25"/>
      <c r="M34" s="26"/>
      <c r="N34" s="24"/>
      <c r="O34" s="25"/>
      <c r="P34" s="26"/>
      <c r="Q34" s="24"/>
      <c r="R34" s="25"/>
      <c r="S34" s="26"/>
      <c r="T34" s="64"/>
      <c r="U34" s="25"/>
      <c r="V34" s="26"/>
      <c r="W34" s="24"/>
      <c r="X34" s="25"/>
      <c r="Y34" s="26"/>
      <c r="Z34" s="24"/>
      <c r="AA34" s="25"/>
      <c r="AB34" s="26"/>
      <c r="AC34" s="24"/>
      <c r="AD34" s="25"/>
      <c r="AE34" s="26"/>
      <c r="AF34" s="24"/>
      <c r="AG34" s="25"/>
      <c r="AH34" s="26"/>
      <c r="AI34" s="24"/>
      <c r="AJ34" s="25"/>
      <c r="AK34" s="26"/>
      <c r="AL34" s="24"/>
      <c r="AM34" s="25"/>
      <c r="AN34" s="26"/>
      <c r="AO34" s="24"/>
      <c r="AP34" s="25"/>
      <c r="AQ34" s="26"/>
      <c r="AR34" s="24"/>
      <c r="AS34" s="25"/>
      <c r="AT34" s="26"/>
      <c r="AU34" s="24"/>
      <c r="AV34" s="25"/>
      <c r="AW34" s="26"/>
      <c r="AX34" s="24"/>
      <c r="AY34" s="25"/>
      <c r="AZ34" s="26"/>
      <c r="BA34" s="24"/>
      <c r="BB34" s="25"/>
      <c r="BC34" s="26"/>
      <c r="BD34" s="24"/>
      <c r="BE34" s="24"/>
      <c r="BF34" s="24"/>
      <c r="BG34" s="24"/>
      <c r="BH34" s="25"/>
      <c r="BI34" s="26"/>
      <c r="BJ34" s="26"/>
      <c r="BK34" s="25"/>
      <c r="BL34" s="26"/>
      <c r="BM34" s="26"/>
      <c r="BN34" s="25"/>
      <c r="BO34" s="26"/>
      <c r="BP34" s="26"/>
      <c r="BQ34" s="25"/>
      <c r="BR34" s="26"/>
      <c r="BS34" s="25"/>
      <c r="BT34" s="25"/>
      <c r="BU34" s="26"/>
      <c r="BV34" s="26"/>
      <c r="BW34" s="25"/>
      <c r="BX34" s="26"/>
      <c r="BY34" s="65"/>
    </row>
    <row r="35" spans="1:77" ht="15.75" customHeight="1">
      <c r="A35" s="40"/>
      <c r="B35" s="76"/>
      <c r="C35" s="25"/>
      <c r="D35" s="26"/>
      <c r="E35" s="24"/>
      <c r="F35" s="25"/>
      <c r="G35" s="26"/>
      <c r="H35" s="24"/>
      <c r="I35" s="25"/>
      <c r="J35" s="26"/>
      <c r="K35" s="24"/>
      <c r="L35" s="25"/>
      <c r="M35" s="26"/>
      <c r="N35" s="24"/>
      <c r="O35" s="25"/>
      <c r="P35" s="26"/>
      <c r="Q35" s="24"/>
      <c r="R35" s="25"/>
      <c r="S35" s="26"/>
      <c r="T35" s="24"/>
      <c r="U35" s="25"/>
      <c r="V35" s="26"/>
      <c r="W35" s="24"/>
      <c r="X35" s="25"/>
      <c r="Y35" s="26"/>
      <c r="Z35" s="24"/>
      <c r="AA35" s="25"/>
      <c r="AB35" s="26"/>
      <c r="AC35" s="24"/>
      <c r="AD35" s="25"/>
      <c r="AE35" s="26"/>
      <c r="AF35" s="24"/>
      <c r="AG35" s="25"/>
      <c r="AH35" s="26"/>
      <c r="AI35" s="24"/>
      <c r="AJ35" s="25"/>
      <c r="AK35" s="26"/>
      <c r="AL35" s="24"/>
      <c r="AM35" s="25"/>
      <c r="AN35" s="26"/>
      <c r="AO35" s="24"/>
      <c r="AP35" s="25"/>
      <c r="AQ35" s="26"/>
      <c r="AR35" s="24"/>
      <c r="AS35" s="25"/>
      <c r="AT35" s="26"/>
      <c r="AU35" s="24"/>
      <c r="AV35" s="25"/>
      <c r="AW35" s="26"/>
      <c r="AX35" s="24"/>
      <c r="AY35" s="25"/>
      <c r="AZ35" s="26"/>
      <c r="BA35" s="24"/>
      <c r="BB35" s="25"/>
      <c r="BC35" s="26"/>
      <c r="BD35" s="24"/>
      <c r="BE35" s="24"/>
      <c r="BF35" s="24"/>
      <c r="BG35" s="24"/>
      <c r="BH35" s="25"/>
      <c r="BI35" s="26"/>
      <c r="BJ35" s="26"/>
      <c r="BK35" s="25"/>
      <c r="BL35" s="26"/>
      <c r="BM35" s="26"/>
      <c r="BN35" s="25"/>
      <c r="BO35" s="26"/>
      <c r="BP35" s="26"/>
      <c r="BQ35" s="25"/>
      <c r="BR35" s="26"/>
      <c r="BS35" s="25"/>
      <c r="BT35" s="25"/>
      <c r="BU35" s="26"/>
      <c r="BV35" s="26"/>
      <c r="BW35" s="25"/>
      <c r="BX35" s="26"/>
      <c r="BY35" s="65"/>
    </row>
    <row r="36" spans="1:77" ht="15.75" customHeight="1">
      <c r="A36" s="66"/>
      <c r="B36" s="77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7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66"/>
      <c r="BX36" s="66"/>
      <c r="BY36" s="67"/>
    </row>
    <row r="37" spans="1:77" ht="15.75" customHeight="1">
      <c r="A37" s="57"/>
      <c r="B37" s="7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</row>
    <row r="38" spans="1:77" ht="15.75" customHeight="1">
      <c r="A38" s="57"/>
      <c r="B38" s="7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</row>
    <row r="39" spans="1:77" ht="15.75" customHeight="1">
      <c r="A39" s="57"/>
      <c r="B39" s="7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</row>
    <row r="40" spans="1:77" ht="15.75" customHeight="1">
      <c r="A40" s="57"/>
      <c r="B40" s="7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</row>
    <row r="41" spans="1:77" ht="15.75" customHeight="1">
      <c r="A41" s="57"/>
      <c r="B41" s="78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</row>
    <row r="42" spans="1:77" ht="15.75" customHeight="1">
      <c r="A42" s="57"/>
      <c r="B42" s="7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</row>
    <row r="43" spans="1:77" ht="15.75" customHeight="1">
      <c r="A43" s="57"/>
      <c r="B43" s="7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</row>
    <row r="44" spans="1:77" ht="15.75" customHeight="1">
      <c r="A44" s="57"/>
      <c r="B44" s="7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7" ht="15.75" customHeight="1">
      <c r="A45" s="57"/>
      <c r="B45" s="78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</row>
    <row r="46" spans="1:77" ht="15.75" customHeight="1">
      <c r="A46" s="57"/>
      <c r="B46" s="78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</row>
    <row r="47" spans="1:77" ht="15.75" customHeight="1">
      <c r="A47" s="57"/>
      <c r="B47" s="78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</row>
    <row r="48" spans="1:77" ht="15.75" customHeight="1">
      <c r="A48" s="57"/>
      <c r="B48" s="78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</row>
    <row r="49" spans="1:77" ht="15.75" customHeight="1">
      <c r="A49" s="57"/>
      <c r="B49" s="78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</row>
    <row r="50" spans="1:77" ht="15.75" customHeight="1">
      <c r="A50" s="57"/>
      <c r="B50" s="78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</row>
    <row r="51" spans="1:77" ht="15.75" customHeight="1">
      <c r="A51" s="57"/>
      <c r="B51" s="78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</row>
    <row r="52" spans="1:77" ht="15.75" customHeight="1">
      <c r="A52" s="57"/>
      <c r="B52" s="78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A52"/>
  <sheetViews>
    <sheetView tabSelected="1" zoomScale="70" zoomScaleNormal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15" sqref="F15"/>
    </sheetView>
  </sheetViews>
  <sheetFormatPr defaultColWidth="13.28125" defaultRowHeight="15.75" customHeight="1"/>
  <cols>
    <col min="1" max="1" width="6.28125" style="34" customWidth="1"/>
    <col min="2" max="2" width="30.8515625" style="79" customWidth="1"/>
    <col min="3" max="3" width="25.421875" style="34" customWidth="1"/>
    <col min="4" max="4" width="12.421875" style="34" customWidth="1"/>
    <col min="5" max="5" width="7.57421875" style="34" customWidth="1"/>
    <col min="6" max="6" width="21.57421875" style="34" customWidth="1"/>
    <col min="7" max="7" width="18.421875" style="34" customWidth="1"/>
    <col min="8" max="8" width="6.421875" style="34" customWidth="1"/>
    <col min="9" max="9" width="24.00390625" style="34" customWidth="1"/>
    <col min="10" max="10" width="14.00390625" style="34" customWidth="1"/>
    <col min="11" max="11" width="7.8515625" style="34" customWidth="1"/>
    <col min="12" max="12" width="26.00390625" style="34" customWidth="1"/>
    <col min="13" max="13" width="13.8515625" style="34" customWidth="1"/>
    <col min="14" max="14" width="8.00390625" style="34" customWidth="1"/>
    <col min="15" max="15" width="24.140625" style="34" customWidth="1"/>
    <col min="16" max="16" width="14.00390625" style="34" customWidth="1"/>
    <col min="17" max="17" width="7.00390625" style="34" customWidth="1"/>
    <col min="18" max="18" width="21.7109375" style="34" customWidth="1"/>
    <col min="19" max="19" width="15.00390625" style="34" customWidth="1"/>
    <col min="20" max="20" width="5.57421875" style="34" customWidth="1"/>
    <col min="21" max="21" width="25.7109375" style="34" customWidth="1"/>
    <col min="22" max="22" width="15.8515625" style="34" customWidth="1"/>
    <col min="23" max="23" width="6.7109375" style="34" customWidth="1"/>
    <col min="24" max="24" width="23.00390625" style="34" customWidth="1"/>
    <col min="25" max="25" width="13.8515625" style="34" customWidth="1"/>
    <col min="26" max="26" width="7.140625" style="34" customWidth="1"/>
    <col min="27" max="27" width="24.00390625" style="34" customWidth="1"/>
    <col min="28" max="28" width="15.7109375" style="34" customWidth="1"/>
    <col min="29" max="29" width="7.421875" style="34" customWidth="1"/>
    <col min="30" max="30" width="25.140625" style="34" customWidth="1"/>
    <col min="31" max="31" width="14.00390625" style="34" customWidth="1"/>
    <col min="32" max="32" width="6.7109375" style="34" customWidth="1"/>
    <col min="33" max="33" width="22.7109375" style="34" customWidth="1"/>
    <col min="34" max="34" width="13.421875" style="34" customWidth="1"/>
    <col min="35" max="35" width="8.140625" style="34" customWidth="1"/>
    <col min="36" max="36" width="24.00390625" style="34" customWidth="1"/>
    <col min="37" max="37" width="13.7109375" style="34" customWidth="1"/>
    <col min="38" max="38" width="7.57421875" style="34" customWidth="1"/>
    <col min="39" max="39" width="27.140625" style="34" customWidth="1"/>
    <col min="40" max="40" width="12.421875" style="34" customWidth="1"/>
    <col min="41" max="41" width="9.57421875" style="34" customWidth="1"/>
    <col min="42" max="42" width="21.8515625" style="34" customWidth="1"/>
    <col min="43" max="43" width="14.28125" style="34" customWidth="1"/>
    <col min="44" max="44" width="8.57421875" style="34" customWidth="1"/>
    <col min="45" max="45" width="25.28125" style="34" customWidth="1"/>
    <col min="46" max="46" width="13.421875" style="34" customWidth="1"/>
    <col min="47" max="47" width="7.8515625" style="34" customWidth="1"/>
    <col min="48" max="48" width="22.7109375" style="34" customWidth="1"/>
    <col min="49" max="49" width="14.421875" style="34" customWidth="1"/>
    <col min="50" max="50" width="8.57421875" style="34" customWidth="1"/>
    <col min="51" max="51" width="26.421875" style="34" customWidth="1"/>
    <col min="52" max="52" width="13.140625" style="34" customWidth="1"/>
    <col min="53" max="53" width="9.7109375" style="34" customWidth="1"/>
    <col min="54" max="54" width="25.28125" style="34" customWidth="1"/>
    <col min="55" max="55" width="15.421875" style="34" customWidth="1"/>
    <col min="56" max="56" width="8.57421875" style="34" customWidth="1"/>
    <col min="57" max="57" width="25.28125" style="34" customWidth="1"/>
    <col min="58" max="58" width="12.8515625" style="34" customWidth="1"/>
    <col min="59" max="59" width="8.140625" style="34" customWidth="1"/>
    <col min="60" max="60" width="24.421875" style="34" customWidth="1"/>
    <col min="61" max="61" width="17.00390625" style="34" customWidth="1"/>
    <col min="62" max="62" width="9.421875" style="34" customWidth="1"/>
    <col min="63" max="63" width="23.8515625" style="83" customWidth="1"/>
    <col min="64" max="64" width="17.00390625" style="83" customWidth="1"/>
    <col min="65" max="65" width="7.8515625" style="83" customWidth="1"/>
    <col min="66" max="66" width="27.7109375" style="83" customWidth="1"/>
    <col min="67" max="67" width="14.8515625" style="83" customWidth="1"/>
    <col min="68" max="68" width="8.57421875" style="83" customWidth="1"/>
    <col min="69" max="69" width="24.421875" style="83" customWidth="1"/>
    <col min="70" max="70" width="14.28125" style="83" customWidth="1"/>
    <col min="71" max="71" width="10.7109375" style="83" customWidth="1"/>
    <col min="72" max="72" width="22.57421875" style="83" customWidth="1"/>
    <col min="73" max="73" width="14.140625" style="83" customWidth="1"/>
    <col min="74" max="74" width="9.140625" style="83" customWidth="1"/>
    <col min="75" max="75" width="21.7109375" style="83" customWidth="1"/>
    <col min="76" max="76" width="13.140625" style="83" customWidth="1"/>
    <col min="77" max="105" width="13.28125" style="83" customWidth="1"/>
    <col min="106" max="16384" width="13.28125" style="34" customWidth="1"/>
  </cols>
  <sheetData>
    <row r="1" spans="1:77" ht="15.75" customHeight="1">
      <c r="A1" s="84" t="s">
        <v>0</v>
      </c>
      <c r="B1" s="68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 t="s">
        <v>1</v>
      </c>
      <c r="AC1" s="24"/>
      <c r="AD1" s="24"/>
      <c r="AE1" s="24"/>
      <c r="AF1" s="24"/>
      <c r="AG1" s="24"/>
      <c r="AH1" s="91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67"/>
      <c r="BY1" s="67"/>
    </row>
    <row r="2" spans="1:77" ht="15.75" customHeight="1">
      <c r="A2" s="84"/>
      <c r="B2" s="68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91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67"/>
      <c r="BY2" s="67"/>
    </row>
    <row r="3" spans="1:77" ht="15.75" customHeight="1">
      <c r="A3" s="24"/>
      <c r="B3" s="69" t="s">
        <v>267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67"/>
      <c r="BY3" s="67"/>
    </row>
    <row r="4" spans="1:105" s="104" customFormat="1" ht="15.75" customHeight="1" thickBot="1">
      <c r="A4" s="99" t="s">
        <v>2</v>
      </c>
      <c r="B4" s="100"/>
      <c r="C4" s="101" t="s">
        <v>268</v>
      </c>
      <c r="D4" s="101"/>
      <c r="E4" s="102"/>
      <c r="F4" s="101" t="s">
        <v>269</v>
      </c>
      <c r="G4" s="101"/>
      <c r="H4" s="102"/>
      <c r="I4" s="101" t="s">
        <v>270</v>
      </c>
      <c r="J4" s="101"/>
      <c r="K4" s="101"/>
      <c r="L4" s="101" t="s">
        <v>271</v>
      </c>
      <c r="M4" s="101"/>
      <c r="N4" s="102"/>
      <c r="O4" s="101" t="s">
        <v>272</v>
      </c>
      <c r="P4" s="101"/>
      <c r="Q4" s="102"/>
      <c r="R4" s="101" t="s">
        <v>273</v>
      </c>
      <c r="S4" s="101"/>
      <c r="T4" s="101"/>
      <c r="U4" s="101" t="s">
        <v>274</v>
      </c>
      <c r="V4" s="101"/>
      <c r="W4" s="101"/>
      <c r="X4" s="101" t="s">
        <v>275</v>
      </c>
      <c r="Y4" s="101"/>
      <c r="Z4" s="102"/>
      <c r="AA4" s="101" t="s">
        <v>276</v>
      </c>
      <c r="AB4" s="101"/>
      <c r="AC4" s="102"/>
      <c r="AD4" s="101" t="s">
        <v>277</v>
      </c>
      <c r="AE4" s="101"/>
      <c r="AF4" s="102"/>
      <c r="AG4" s="101" t="s">
        <v>278</v>
      </c>
      <c r="AH4" s="101"/>
      <c r="AI4" s="102"/>
      <c r="AJ4" s="101" t="s">
        <v>279</v>
      </c>
      <c r="AK4" s="101"/>
      <c r="AL4" s="102"/>
      <c r="AM4" s="101" t="s">
        <v>280</v>
      </c>
      <c r="AN4" s="101"/>
      <c r="AO4" s="102"/>
      <c r="AP4" s="101" t="s">
        <v>281</v>
      </c>
      <c r="AQ4" s="101"/>
      <c r="AR4" s="102"/>
      <c r="AS4" s="101" t="s">
        <v>282</v>
      </c>
      <c r="AT4" s="101"/>
      <c r="AU4" s="102"/>
      <c r="AV4" s="101" t="s">
        <v>283</v>
      </c>
      <c r="AW4" s="101"/>
      <c r="AX4" s="102"/>
      <c r="AY4" s="101" t="s">
        <v>284</v>
      </c>
      <c r="AZ4" s="101"/>
      <c r="BA4" s="102"/>
      <c r="BB4" s="101" t="s">
        <v>285</v>
      </c>
      <c r="BC4" s="101"/>
      <c r="BD4" s="102"/>
      <c r="BE4" s="101" t="s">
        <v>286</v>
      </c>
      <c r="BF4" s="103"/>
      <c r="BG4" s="103"/>
      <c r="BH4" s="101" t="s">
        <v>287</v>
      </c>
      <c r="BI4" s="101"/>
      <c r="BJ4" s="101"/>
      <c r="BK4" s="101" t="s">
        <v>3</v>
      </c>
      <c r="BL4" s="101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5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</row>
    <row r="5" spans="1:77" ht="15.75" customHeight="1" thickTop="1">
      <c r="A5" s="24"/>
      <c r="B5" s="70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</row>
    <row r="6" spans="1:77" ht="15" customHeight="1">
      <c r="A6" s="24"/>
      <c r="B6" s="70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</row>
    <row r="7" spans="1:77" ht="15.75" customHeight="1">
      <c r="A7" s="27"/>
      <c r="B7" s="70"/>
      <c r="C7" s="28" t="s">
        <v>4</v>
      </c>
      <c r="D7" s="28" t="s">
        <v>4</v>
      </c>
      <c r="E7" s="28"/>
      <c r="F7" s="28" t="s">
        <v>4</v>
      </c>
      <c r="G7" s="28" t="s">
        <v>4</v>
      </c>
      <c r="H7" s="28"/>
      <c r="I7" s="28" t="s">
        <v>4</v>
      </c>
      <c r="J7" s="28" t="s">
        <v>4</v>
      </c>
      <c r="K7" s="28"/>
      <c r="L7" s="28" t="s">
        <v>4</v>
      </c>
      <c r="M7" s="28" t="s">
        <v>4</v>
      </c>
      <c r="N7" s="28"/>
      <c r="O7" s="28" t="s">
        <v>4</v>
      </c>
      <c r="P7" s="28" t="s">
        <v>4</v>
      </c>
      <c r="Q7" s="28"/>
      <c r="R7" s="28" t="s">
        <v>4</v>
      </c>
      <c r="S7" s="28" t="s">
        <v>4</v>
      </c>
      <c r="T7" s="28"/>
      <c r="U7" s="28" t="s">
        <v>4</v>
      </c>
      <c r="V7" s="28" t="s">
        <v>4</v>
      </c>
      <c r="W7" s="28"/>
      <c r="X7" s="28" t="s">
        <v>4</v>
      </c>
      <c r="Y7" s="28" t="s">
        <v>4</v>
      </c>
      <c r="Z7" s="28"/>
      <c r="AA7" s="28" t="s">
        <v>4</v>
      </c>
      <c r="AB7" s="28" t="s">
        <v>4</v>
      </c>
      <c r="AC7" s="28"/>
      <c r="AD7" s="28" t="s">
        <v>4</v>
      </c>
      <c r="AE7" s="28" t="s">
        <v>4</v>
      </c>
      <c r="AF7" s="28"/>
      <c r="AG7" s="28" t="s">
        <v>4</v>
      </c>
      <c r="AH7" s="28" t="s">
        <v>4</v>
      </c>
      <c r="AI7" s="28"/>
      <c r="AJ7" s="28" t="s">
        <v>4</v>
      </c>
      <c r="AK7" s="28" t="s">
        <v>4</v>
      </c>
      <c r="AL7" s="28"/>
      <c r="AM7" s="28" t="s">
        <v>4</v>
      </c>
      <c r="AN7" s="28" t="s">
        <v>4</v>
      </c>
      <c r="AO7" s="28"/>
      <c r="AP7" s="28" t="s">
        <v>4</v>
      </c>
      <c r="AQ7" s="28" t="s">
        <v>4</v>
      </c>
      <c r="AR7" s="28"/>
      <c r="AS7" s="28" t="s">
        <v>4</v>
      </c>
      <c r="AT7" s="28" t="s">
        <v>4</v>
      </c>
      <c r="AU7" s="28"/>
      <c r="AV7" s="28" t="s">
        <v>4</v>
      </c>
      <c r="AW7" s="28" t="s">
        <v>4</v>
      </c>
      <c r="AX7" s="28"/>
      <c r="AY7" s="28" t="s">
        <v>4</v>
      </c>
      <c r="AZ7" s="28" t="s">
        <v>4</v>
      </c>
      <c r="BA7" s="28"/>
      <c r="BB7" s="28" t="s">
        <v>4</v>
      </c>
      <c r="BC7" s="28" t="s">
        <v>4</v>
      </c>
      <c r="BD7" s="28"/>
      <c r="BE7" s="28" t="s">
        <v>4</v>
      </c>
      <c r="BF7" s="28" t="s">
        <v>4</v>
      </c>
      <c r="BG7" s="28"/>
      <c r="BH7" s="28" t="s">
        <v>4</v>
      </c>
      <c r="BI7" s="28" t="s">
        <v>4</v>
      </c>
      <c r="BJ7" s="28"/>
      <c r="BK7" s="28" t="s">
        <v>5</v>
      </c>
      <c r="BL7" s="28" t="s">
        <v>5</v>
      </c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77" ht="15.75" customHeight="1">
      <c r="A8" s="24"/>
      <c r="B8" s="72" t="s">
        <v>6</v>
      </c>
      <c r="C8" s="28" t="s">
        <v>7</v>
      </c>
      <c r="D8" s="28" t="s">
        <v>7</v>
      </c>
      <c r="E8" s="28"/>
      <c r="F8" s="28" t="s">
        <v>7</v>
      </c>
      <c r="G8" s="28" t="s">
        <v>7</v>
      </c>
      <c r="H8" s="28"/>
      <c r="I8" s="28" t="s">
        <v>7</v>
      </c>
      <c r="J8" s="28" t="s">
        <v>7</v>
      </c>
      <c r="K8" s="28"/>
      <c r="L8" s="28" t="s">
        <v>7</v>
      </c>
      <c r="M8" s="28" t="s">
        <v>7</v>
      </c>
      <c r="N8" s="28"/>
      <c r="O8" s="28" t="s">
        <v>7</v>
      </c>
      <c r="P8" s="28" t="s">
        <v>7</v>
      </c>
      <c r="Q8" s="28"/>
      <c r="R8" s="28" t="s">
        <v>7</v>
      </c>
      <c r="S8" s="28" t="s">
        <v>7</v>
      </c>
      <c r="T8" s="28"/>
      <c r="U8" s="28" t="s">
        <v>7</v>
      </c>
      <c r="V8" s="28" t="s">
        <v>7</v>
      </c>
      <c r="W8" s="28"/>
      <c r="X8" s="28" t="s">
        <v>7</v>
      </c>
      <c r="Y8" s="28" t="s">
        <v>7</v>
      </c>
      <c r="Z8" s="28"/>
      <c r="AA8" s="28" t="s">
        <v>7</v>
      </c>
      <c r="AB8" s="28" t="s">
        <v>7</v>
      </c>
      <c r="AC8" s="28"/>
      <c r="AD8" s="28" t="s">
        <v>7</v>
      </c>
      <c r="AE8" s="28" t="s">
        <v>7</v>
      </c>
      <c r="AF8" s="28"/>
      <c r="AG8" s="28" t="s">
        <v>7</v>
      </c>
      <c r="AH8" s="28" t="s">
        <v>7</v>
      </c>
      <c r="AI8" s="28"/>
      <c r="AJ8" s="28" t="s">
        <v>7</v>
      </c>
      <c r="AK8" s="28" t="s">
        <v>7</v>
      </c>
      <c r="AL8" s="28"/>
      <c r="AM8" s="28" t="s">
        <v>7</v>
      </c>
      <c r="AN8" s="28" t="s">
        <v>7</v>
      </c>
      <c r="AO8" s="28"/>
      <c r="AP8" s="28" t="s">
        <v>7</v>
      </c>
      <c r="AQ8" s="28" t="s">
        <v>7</v>
      </c>
      <c r="AR8" s="28"/>
      <c r="AS8" s="28" t="s">
        <v>7</v>
      </c>
      <c r="AT8" s="28" t="s">
        <v>7</v>
      </c>
      <c r="AU8" s="28"/>
      <c r="AV8" s="28" t="s">
        <v>7</v>
      </c>
      <c r="AW8" s="28" t="s">
        <v>7</v>
      </c>
      <c r="AX8" s="28"/>
      <c r="AY8" s="28" t="s">
        <v>7</v>
      </c>
      <c r="AZ8" s="28" t="s">
        <v>7</v>
      </c>
      <c r="BA8" s="28"/>
      <c r="BB8" s="28" t="s">
        <v>7</v>
      </c>
      <c r="BC8" s="28" t="s">
        <v>7</v>
      </c>
      <c r="BD8" s="28"/>
      <c r="BE8" s="28" t="s">
        <v>7</v>
      </c>
      <c r="BF8" s="28" t="s">
        <v>7</v>
      </c>
      <c r="BG8" s="28"/>
      <c r="BH8" s="28" t="s">
        <v>7</v>
      </c>
      <c r="BI8" s="28" t="s">
        <v>7</v>
      </c>
      <c r="BJ8" s="28"/>
      <c r="BK8" s="28" t="s">
        <v>8</v>
      </c>
      <c r="BL8" s="28" t="s">
        <v>9</v>
      </c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</row>
    <row r="9" spans="1:77" ht="15.75" customHeight="1">
      <c r="A9" s="24"/>
      <c r="B9" s="70"/>
      <c r="C9" s="28" t="s">
        <v>10</v>
      </c>
      <c r="D9" s="28" t="s">
        <v>9</v>
      </c>
      <c r="E9" s="28"/>
      <c r="F9" s="28" t="s">
        <v>10</v>
      </c>
      <c r="G9" s="28" t="s">
        <v>9</v>
      </c>
      <c r="H9" s="28"/>
      <c r="I9" s="28" t="s">
        <v>10</v>
      </c>
      <c r="J9" s="28" t="s">
        <v>9</v>
      </c>
      <c r="K9" s="28"/>
      <c r="L9" s="28" t="s">
        <v>10</v>
      </c>
      <c r="M9" s="28" t="s">
        <v>9</v>
      </c>
      <c r="N9" s="28"/>
      <c r="O9" s="28" t="s">
        <v>10</v>
      </c>
      <c r="P9" s="28" t="s">
        <v>9</v>
      </c>
      <c r="Q9" s="28"/>
      <c r="R9" s="28" t="s">
        <v>10</v>
      </c>
      <c r="S9" s="28" t="s">
        <v>9</v>
      </c>
      <c r="T9" s="28"/>
      <c r="U9" s="28" t="s">
        <v>10</v>
      </c>
      <c r="V9" s="28" t="s">
        <v>9</v>
      </c>
      <c r="W9" s="28"/>
      <c r="X9" s="28" t="s">
        <v>10</v>
      </c>
      <c r="Y9" s="28" t="s">
        <v>9</v>
      </c>
      <c r="Z9" s="28"/>
      <c r="AA9" s="28" t="s">
        <v>10</v>
      </c>
      <c r="AB9" s="28" t="s">
        <v>9</v>
      </c>
      <c r="AC9" s="28"/>
      <c r="AD9" s="28" t="s">
        <v>10</v>
      </c>
      <c r="AE9" s="28" t="s">
        <v>9</v>
      </c>
      <c r="AF9" s="28"/>
      <c r="AG9" s="28" t="s">
        <v>10</v>
      </c>
      <c r="AH9" s="28" t="s">
        <v>9</v>
      </c>
      <c r="AI9" s="28"/>
      <c r="AJ9" s="28" t="s">
        <v>10</v>
      </c>
      <c r="AK9" s="28" t="s">
        <v>9</v>
      </c>
      <c r="AL9" s="28"/>
      <c r="AM9" s="28" t="s">
        <v>10</v>
      </c>
      <c r="AN9" s="28" t="s">
        <v>9</v>
      </c>
      <c r="AO9" s="28"/>
      <c r="AP9" s="28" t="s">
        <v>10</v>
      </c>
      <c r="AQ9" s="28" t="s">
        <v>9</v>
      </c>
      <c r="AR9" s="28"/>
      <c r="AS9" s="28" t="s">
        <v>10</v>
      </c>
      <c r="AT9" s="28" t="s">
        <v>9</v>
      </c>
      <c r="AU9" s="28"/>
      <c r="AV9" s="28" t="s">
        <v>10</v>
      </c>
      <c r="AW9" s="28" t="s">
        <v>9</v>
      </c>
      <c r="AX9" s="28"/>
      <c r="AY9" s="28" t="s">
        <v>10</v>
      </c>
      <c r="AZ9" s="28" t="s">
        <v>9</v>
      </c>
      <c r="BA9" s="28"/>
      <c r="BB9" s="28" t="s">
        <v>10</v>
      </c>
      <c r="BC9" s="28" t="s">
        <v>9</v>
      </c>
      <c r="BD9" s="28"/>
      <c r="BE9" s="28" t="s">
        <v>10</v>
      </c>
      <c r="BF9" s="28" t="s">
        <v>9</v>
      </c>
      <c r="BG9" s="28"/>
      <c r="BH9" s="28" t="s">
        <v>10</v>
      </c>
      <c r="BI9" s="28" t="s">
        <v>9</v>
      </c>
      <c r="BJ9" s="28"/>
      <c r="BK9" s="28" t="s">
        <v>7</v>
      </c>
      <c r="BL9" s="28" t="s">
        <v>11</v>
      </c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</row>
    <row r="10" spans="1:78" s="83" customFormat="1" ht="15.75" customHeight="1">
      <c r="A10" s="24"/>
      <c r="B10" s="70"/>
      <c r="C10" s="24"/>
      <c r="D10" s="28" t="s">
        <v>12</v>
      </c>
      <c r="E10" s="28"/>
      <c r="F10" s="24"/>
      <c r="G10" s="28" t="s">
        <v>12</v>
      </c>
      <c r="H10" s="28"/>
      <c r="I10" s="24"/>
      <c r="J10" s="28" t="s">
        <v>12</v>
      </c>
      <c r="K10" s="24"/>
      <c r="L10" s="24"/>
      <c r="M10" s="28" t="s">
        <v>12</v>
      </c>
      <c r="N10" s="28"/>
      <c r="O10" s="24"/>
      <c r="P10" s="28" t="s">
        <v>12</v>
      </c>
      <c r="Q10" s="28"/>
      <c r="R10" s="24"/>
      <c r="S10" s="28" t="s">
        <v>12</v>
      </c>
      <c r="T10" s="28"/>
      <c r="U10" s="24"/>
      <c r="V10" s="28" t="s">
        <v>12</v>
      </c>
      <c r="W10" s="28"/>
      <c r="X10" s="24"/>
      <c r="Y10" s="28" t="s">
        <v>12</v>
      </c>
      <c r="Z10" s="28"/>
      <c r="AA10" s="24"/>
      <c r="AB10" s="28" t="s">
        <v>12</v>
      </c>
      <c r="AC10" s="28"/>
      <c r="AD10" s="24"/>
      <c r="AE10" s="28" t="s">
        <v>12</v>
      </c>
      <c r="AF10" s="28"/>
      <c r="AG10" s="24"/>
      <c r="AH10" s="28" t="s">
        <v>12</v>
      </c>
      <c r="AI10" s="28"/>
      <c r="AJ10" s="24"/>
      <c r="AK10" s="28" t="s">
        <v>12</v>
      </c>
      <c r="AL10" s="28"/>
      <c r="AM10" s="24"/>
      <c r="AN10" s="28" t="s">
        <v>12</v>
      </c>
      <c r="AO10" s="28"/>
      <c r="AP10" s="24"/>
      <c r="AQ10" s="28" t="s">
        <v>12</v>
      </c>
      <c r="AR10" s="28"/>
      <c r="AS10" s="24"/>
      <c r="AT10" s="28" t="s">
        <v>12</v>
      </c>
      <c r="AU10" s="28"/>
      <c r="AV10" s="24"/>
      <c r="AW10" s="28" t="s">
        <v>12</v>
      </c>
      <c r="AX10" s="28"/>
      <c r="AY10" s="24"/>
      <c r="AZ10" s="28" t="s">
        <v>12</v>
      </c>
      <c r="BA10" s="28"/>
      <c r="BB10" s="24"/>
      <c r="BC10" s="28" t="s">
        <v>12</v>
      </c>
      <c r="BD10" s="28"/>
      <c r="BE10" s="24"/>
      <c r="BF10" s="28" t="s">
        <v>12</v>
      </c>
      <c r="BG10" s="28"/>
      <c r="BH10" s="28"/>
      <c r="BI10" s="28" t="s">
        <v>12</v>
      </c>
      <c r="BJ10" s="28"/>
      <c r="BK10" s="24" t="s">
        <v>10</v>
      </c>
      <c r="BL10" s="28" t="s">
        <v>12</v>
      </c>
      <c r="BM10" s="28"/>
      <c r="BN10" s="24"/>
      <c r="BO10" s="28"/>
      <c r="BP10" s="28"/>
      <c r="BQ10" s="28"/>
      <c r="BR10" s="28"/>
      <c r="BS10" s="24"/>
      <c r="BT10" s="24"/>
      <c r="BU10" s="28"/>
      <c r="BV10" s="28"/>
      <c r="BW10" s="28"/>
      <c r="BX10" s="28"/>
      <c r="BY10" s="28"/>
      <c r="BZ10" s="86"/>
    </row>
    <row r="11" spans="1:105" s="104" customFormat="1" ht="15.75" customHeight="1" thickBot="1">
      <c r="A11" s="29"/>
      <c r="B11" s="100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</row>
    <row r="12" spans="1:77" ht="16.5" customHeight="1" thickTop="1">
      <c r="A12" s="91" t="s">
        <v>2</v>
      </c>
      <c r="B12" s="70"/>
      <c r="C12" s="27"/>
      <c r="D12" s="24"/>
      <c r="E12" s="24"/>
      <c r="F12" s="27"/>
      <c r="G12" s="24"/>
      <c r="H12" s="24"/>
      <c r="I12" s="27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</row>
    <row r="13" spans="1:77" ht="15.75" customHeight="1">
      <c r="A13" s="40">
        <v>1</v>
      </c>
      <c r="B13" s="73" t="s">
        <v>14</v>
      </c>
      <c r="C13" s="25">
        <v>93.17</v>
      </c>
      <c r="D13" s="26">
        <v>104.32</v>
      </c>
      <c r="E13" s="24"/>
      <c r="F13" s="25">
        <v>92.96</v>
      </c>
      <c r="G13" s="26">
        <v>104.72</v>
      </c>
      <c r="H13" s="24"/>
      <c r="I13" s="25">
        <v>92.75</v>
      </c>
      <c r="J13" s="26">
        <v>105.14</v>
      </c>
      <c r="K13" s="24"/>
      <c r="L13" s="25">
        <v>92.16</v>
      </c>
      <c r="M13" s="26">
        <v>104.66</v>
      </c>
      <c r="N13" s="24"/>
      <c r="O13" s="25">
        <v>92.51</v>
      </c>
      <c r="P13" s="26">
        <v>103.32</v>
      </c>
      <c r="Q13" s="24"/>
      <c r="R13" s="25">
        <v>92.64</v>
      </c>
      <c r="S13" s="26">
        <v>102.6</v>
      </c>
      <c r="T13" s="24"/>
      <c r="U13" s="25">
        <v>92.03</v>
      </c>
      <c r="V13" s="26">
        <v>101.91</v>
      </c>
      <c r="W13" s="24"/>
      <c r="X13" s="25">
        <v>90.01</v>
      </c>
      <c r="Y13" s="26">
        <v>102.64</v>
      </c>
      <c r="Z13" s="24"/>
      <c r="AA13" s="25">
        <v>90.84</v>
      </c>
      <c r="AB13" s="26">
        <v>100.69</v>
      </c>
      <c r="AC13" s="24"/>
      <c r="AD13" s="25">
        <v>90.15</v>
      </c>
      <c r="AE13" s="26">
        <v>99.99</v>
      </c>
      <c r="AF13" s="24"/>
      <c r="AG13" s="25">
        <v>88.44</v>
      </c>
      <c r="AH13" s="26">
        <v>98.71</v>
      </c>
      <c r="AI13" s="24"/>
      <c r="AJ13" s="25">
        <v>88.49</v>
      </c>
      <c r="AK13" s="26">
        <v>95.71</v>
      </c>
      <c r="AL13" s="24"/>
      <c r="AM13" s="25">
        <v>88.9</v>
      </c>
      <c r="AN13" s="26">
        <v>98.52</v>
      </c>
      <c r="AO13" s="24"/>
      <c r="AP13" s="25">
        <v>89.76</v>
      </c>
      <c r="AQ13" s="26">
        <v>96.99</v>
      </c>
      <c r="AR13" s="24"/>
      <c r="AS13" s="25">
        <v>90.06</v>
      </c>
      <c r="AT13" s="26">
        <v>97.19</v>
      </c>
      <c r="AU13" s="24"/>
      <c r="AV13" s="25">
        <v>90.43</v>
      </c>
      <c r="AW13" s="26">
        <v>97.12</v>
      </c>
      <c r="AX13" s="24"/>
      <c r="AY13" s="25">
        <v>90.46</v>
      </c>
      <c r="AZ13" s="26">
        <v>97.58</v>
      </c>
      <c r="BA13" s="24"/>
      <c r="BB13" s="25">
        <v>90.42</v>
      </c>
      <c r="BC13" s="26">
        <v>95.85</v>
      </c>
      <c r="BD13" s="24"/>
      <c r="BE13" s="25">
        <v>90.1</v>
      </c>
      <c r="BF13" s="26">
        <v>96.98</v>
      </c>
      <c r="BG13" s="24"/>
      <c r="BH13" s="25">
        <v>90.23</v>
      </c>
      <c r="BI13" s="26">
        <v>97.43</v>
      </c>
      <c r="BJ13" s="26"/>
      <c r="BK13" s="25">
        <f>(C13+F13+I13+L13+O13+R13+U13+X13+AA13+AD13+AG13+AJ13+AM13+AP13+AS13+AV13+AY13+BB13+BE13+BH13)/20</f>
        <v>90.8255</v>
      </c>
      <c r="BL13" s="25">
        <f>(D13+G13+J13+M13+P13+S13+V13+Y13+AB13+AE13+AH13+AK13+AN13+AQ13+AT13+AW13+AZ13+BC13+BF13+BI13)/20</f>
        <v>100.1035</v>
      </c>
      <c r="BM13" s="26"/>
      <c r="BN13" s="25"/>
      <c r="BO13" s="25"/>
      <c r="BP13" s="26"/>
      <c r="BQ13" s="25"/>
      <c r="BR13" s="25"/>
      <c r="BS13" s="25"/>
      <c r="BT13" s="25"/>
      <c r="BU13" s="26"/>
      <c r="BV13" s="26"/>
      <c r="BW13" s="109"/>
      <c r="BX13" s="109"/>
      <c r="BY13" s="24"/>
    </row>
    <row r="14" spans="1:82" s="47" customFormat="1" ht="15.75" customHeight="1">
      <c r="A14" s="40">
        <v>2</v>
      </c>
      <c r="B14" s="73" t="s">
        <v>15</v>
      </c>
      <c r="C14" s="25">
        <v>0.6742</v>
      </c>
      <c r="D14" s="26">
        <v>144.15</v>
      </c>
      <c r="E14" s="24"/>
      <c r="F14" s="25">
        <v>0.68</v>
      </c>
      <c r="G14" s="26">
        <v>143.15</v>
      </c>
      <c r="H14" s="24"/>
      <c r="I14" s="25">
        <v>0.6891</v>
      </c>
      <c r="J14" s="26">
        <v>141.51</v>
      </c>
      <c r="K14" s="24"/>
      <c r="L14" s="25">
        <v>0.6816</v>
      </c>
      <c r="M14" s="26">
        <v>141.51</v>
      </c>
      <c r="N14" s="24"/>
      <c r="O14" s="25">
        <f>1/1.4803</f>
        <v>0.6755387421468622</v>
      </c>
      <c r="P14" s="26">
        <v>141.49</v>
      </c>
      <c r="Q14" s="24"/>
      <c r="R14" s="25">
        <v>0.677</v>
      </c>
      <c r="S14" s="26">
        <v>140.39</v>
      </c>
      <c r="T14" s="24"/>
      <c r="U14" s="25">
        <v>0.6686</v>
      </c>
      <c r="V14" s="26">
        <v>140.27</v>
      </c>
      <c r="W14" s="24"/>
      <c r="X14" s="25">
        <v>0.6691</v>
      </c>
      <c r="Y14" s="26">
        <v>138.09</v>
      </c>
      <c r="Z14" s="24"/>
      <c r="AA14" s="25">
        <v>0.666</v>
      </c>
      <c r="AB14" s="26">
        <v>137.35</v>
      </c>
      <c r="AC14" s="24"/>
      <c r="AD14" s="25">
        <v>0.6575</v>
      </c>
      <c r="AE14" s="26">
        <v>137.11</v>
      </c>
      <c r="AF14" s="24"/>
      <c r="AG14" s="25">
        <v>0.6472</v>
      </c>
      <c r="AH14" s="26">
        <v>134.89</v>
      </c>
      <c r="AI14" s="24"/>
      <c r="AJ14" s="25">
        <v>0.6487</v>
      </c>
      <c r="AK14" s="26">
        <v>130.57</v>
      </c>
      <c r="AL14" s="24"/>
      <c r="AM14" s="25">
        <v>0.6673</v>
      </c>
      <c r="AN14" s="26">
        <v>131.25</v>
      </c>
      <c r="AO14" s="24"/>
      <c r="AP14" s="25">
        <v>0.6739</v>
      </c>
      <c r="AQ14" s="26">
        <v>129.17</v>
      </c>
      <c r="AR14" s="24"/>
      <c r="AS14" s="25">
        <v>0.6764</v>
      </c>
      <c r="AT14" s="26">
        <v>129.41</v>
      </c>
      <c r="AU14" s="24"/>
      <c r="AV14" s="25">
        <v>0.68</v>
      </c>
      <c r="AW14" s="26">
        <v>129.15</v>
      </c>
      <c r="AX14" s="24"/>
      <c r="AY14" s="25">
        <v>0.6788</v>
      </c>
      <c r="AZ14" s="26">
        <v>130.03</v>
      </c>
      <c r="BA14" s="24"/>
      <c r="BB14" s="25">
        <v>0.6825</v>
      </c>
      <c r="BC14" s="26">
        <v>126.98</v>
      </c>
      <c r="BD14" s="24"/>
      <c r="BE14" s="25">
        <v>0.6888</v>
      </c>
      <c r="BF14" s="26">
        <v>126.85</v>
      </c>
      <c r="BG14" s="24"/>
      <c r="BH14" s="25">
        <v>0.6886</v>
      </c>
      <c r="BI14" s="26">
        <v>127.66</v>
      </c>
      <c r="BJ14" s="26"/>
      <c r="BK14" s="25">
        <f aca="true" t="shared" si="0" ref="BK14:BL25">(C14+F14+I14+L14+O14+R14+U14+X14+AA14+AD14+AG14+AJ14+AM14+AP14+AS14+AV14+AY14+BB14+BE14+BH14)/20</f>
        <v>0.673541937107343</v>
      </c>
      <c r="BL14" s="25">
        <f t="shared" si="0"/>
        <v>135.049</v>
      </c>
      <c r="BM14" s="26"/>
      <c r="BN14" s="25"/>
      <c r="BO14" s="25"/>
      <c r="BP14" s="26"/>
      <c r="BQ14" s="25"/>
      <c r="BR14" s="25"/>
      <c r="BS14" s="25"/>
      <c r="BT14" s="25"/>
      <c r="BU14" s="26"/>
      <c r="BV14" s="26"/>
      <c r="BW14" s="109"/>
      <c r="BX14" s="109"/>
      <c r="BY14" s="24"/>
      <c r="BZ14" s="83"/>
      <c r="CA14" s="83"/>
      <c r="CB14" s="83"/>
      <c r="CC14" s="83"/>
      <c r="CD14" s="83"/>
    </row>
    <row r="15" spans="1:77" ht="15.75" customHeight="1">
      <c r="A15" s="40">
        <v>3</v>
      </c>
      <c r="B15" s="73" t="s">
        <v>16</v>
      </c>
      <c r="C15" s="25">
        <v>1.2051</v>
      </c>
      <c r="D15" s="26">
        <v>80.65</v>
      </c>
      <c r="E15" s="24"/>
      <c r="F15" s="25">
        <v>1.2097</v>
      </c>
      <c r="G15" s="26">
        <v>80.47</v>
      </c>
      <c r="H15" s="24"/>
      <c r="I15" s="25">
        <v>1.2164</v>
      </c>
      <c r="J15" s="26">
        <v>80.17</v>
      </c>
      <c r="K15" s="24"/>
      <c r="L15" s="25">
        <v>1.2015</v>
      </c>
      <c r="M15" s="26">
        <v>80.28</v>
      </c>
      <c r="N15" s="24"/>
      <c r="O15" s="25">
        <v>1.2114</v>
      </c>
      <c r="P15" s="26">
        <v>78.9</v>
      </c>
      <c r="Q15" s="24"/>
      <c r="R15" s="25">
        <v>1.206</v>
      </c>
      <c r="S15" s="26">
        <v>78.82</v>
      </c>
      <c r="T15" s="24"/>
      <c r="U15" s="25">
        <v>1.192</v>
      </c>
      <c r="V15" s="26">
        <v>78.68</v>
      </c>
      <c r="W15" s="24"/>
      <c r="X15" s="25">
        <v>1.1785</v>
      </c>
      <c r="Y15" s="26">
        <v>78.4</v>
      </c>
      <c r="Z15" s="24"/>
      <c r="AA15" s="25">
        <v>1.1713</v>
      </c>
      <c r="AB15" s="26">
        <v>78.09</v>
      </c>
      <c r="AC15" s="24"/>
      <c r="AD15" s="25">
        <v>1.1567</v>
      </c>
      <c r="AE15" s="26">
        <v>77.93</v>
      </c>
      <c r="AF15" s="24"/>
      <c r="AG15" s="25">
        <v>1.1098</v>
      </c>
      <c r="AH15" s="26">
        <v>78.66</v>
      </c>
      <c r="AI15" s="24"/>
      <c r="AJ15" s="25">
        <v>1.0507</v>
      </c>
      <c r="AK15" s="26">
        <v>80.61</v>
      </c>
      <c r="AL15" s="24"/>
      <c r="AM15" s="25">
        <v>1.1005</v>
      </c>
      <c r="AN15" s="26">
        <v>79.59</v>
      </c>
      <c r="AO15" s="24"/>
      <c r="AP15" s="25">
        <v>1.0945</v>
      </c>
      <c r="AQ15" s="26">
        <v>79.54</v>
      </c>
      <c r="AR15" s="24"/>
      <c r="AS15" s="25">
        <v>1.0893</v>
      </c>
      <c r="AT15" s="26">
        <v>80.36</v>
      </c>
      <c r="AU15" s="24"/>
      <c r="AV15" s="25">
        <v>1.0797</v>
      </c>
      <c r="AW15" s="26">
        <v>81.34</v>
      </c>
      <c r="AX15" s="24"/>
      <c r="AY15" s="25">
        <v>1.0764</v>
      </c>
      <c r="AZ15" s="26">
        <v>82</v>
      </c>
      <c r="BA15" s="24"/>
      <c r="BB15" s="25">
        <v>1.0471</v>
      </c>
      <c r="BC15" s="26">
        <v>82.77</v>
      </c>
      <c r="BD15" s="24"/>
      <c r="BE15" s="25">
        <v>1.0505</v>
      </c>
      <c r="BF15" s="26">
        <v>83.18</v>
      </c>
      <c r="BG15" s="24"/>
      <c r="BH15" s="25">
        <v>1.0595</v>
      </c>
      <c r="BI15" s="26">
        <v>82.97</v>
      </c>
      <c r="BJ15" s="26"/>
      <c r="BK15" s="25">
        <f t="shared" si="0"/>
        <v>1.1353300000000002</v>
      </c>
      <c r="BL15" s="25">
        <f t="shared" si="0"/>
        <v>80.17049999999999</v>
      </c>
      <c r="BM15" s="26"/>
      <c r="BN15" s="25"/>
      <c r="BO15" s="25"/>
      <c r="BP15" s="26"/>
      <c r="BQ15" s="25"/>
      <c r="BR15" s="25"/>
      <c r="BS15" s="25"/>
      <c r="BT15" s="25"/>
      <c r="BU15" s="26"/>
      <c r="BV15" s="26"/>
      <c r="BW15" s="109"/>
      <c r="BX15" s="109"/>
      <c r="BY15" s="24"/>
    </row>
    <row r="16" spans="1:77" ht="15.75" customHeight="1">
      <c r="A16" s="40">
        <v>4</v>
      </c>
      <c r="B16" s="73" t="s">
        <v>17</v>
      </c>
      <c r="C16" s="25">
        <v>0.7892</v>
      </c>
      <c r="D16" s="26">
        <v>123.11</v>
      </c>
      <c r="E16" s="24"/>
      <c r="F16" s="25">
        <v>0.7917</v>
      </c>
      <c r="G16" s="26">
        <v>123.03</v>
      </c>
      <c r="H16" s="24"/>
      <c r="I16" s="25">
        <v>0.7932</v>
      </c>
      <c r="J16" s="26">
        <v>123.03</v>
      </c>
      <c r="K16" s="24"/>
      <c r="L16" s="25">
        <v>0.7829</v>
      </c>
      <c r="M16" s="26">
        <v>123.14</v>
      </c>
      <c r="N16" s="24"/>
      <c r="O16" s="25">
        <v>0.7774</v>
      </c>
      <c r="P16" s="26">
        <v>122.95</v>
      </c>
      <c r="Q16" s="24"/>
      <c r="R16" s="25">
        <v>0.7738</v>
      </c>
      <c r="S16" s="26">
        <v>122.96</v>
      </c>
      <c r="T16" s="24"/>
      <c r="U16" s="25">
        <v>0.7607</v>
      </c>
      <c r="V16" s="26">
        <v>123.11</v>
      </c>
      <c r="W16" s="24"/>
      <c r="X16" s="25">
        <v>0.7496</v>
      </c>
      <c r="Y16" s="26">
        <v>123.16</v>
      </c>
      <c r="Z16" s="24"/>
      <c r="AA16" s="25">
        <v>0.7419</v>
      </c>
      <c r="AB16" s="26">
        <v>123.22</v>
      </c>
      <c r="AC16" s="24"/>
      <c r="AD16" s="25">
        <v>0.7324</v>
      </c>
      <c r="AE16" s="26">
        <v>123.13</v>
      </c>
      <c r="AF16" s="24"/>
      <c r="AG16" s="25">
        <v>0.7085</v>
      </c>
      <c r="AH16" s="26">
        <v>123.18</v>
      </c>
      <c r="AI16" s="24"/>
      <c r="AJ16" s="25">
        <v>0.6855</v>
      </c>
      <c r="AK16" s="26">
        <v>123.38</v>
      </c>
      <c r="AL16" s="24"/>
      <c r="AM16" s="25">
        <v>0.7137</v>
      </c>
      <c r="AN16" s="26">
        <v>122.92</v>
      </c>
      <c r="AO16" s="24"/>
      <c r="AP16" s="25">
        <v>0.7116</v>
      </c>
      <c r="AQ16" s="26">
        <v>122.5</v>
      </c>
      <c r="AR16" s="24"/>
      <c r="AS16" s="25">
        <v>0.7154</v>
      </c>
      <c r="AT16" s="26">
        <v>122.42</v>
      </c>
      <c r="AU16" s="24"/>
      <c r="AV16" s="25">
        <v>0.715</v>
      </c>
      <c r="AW16" s="26">
        <v>122.88</v>
      </c>
      <c r="AX16" s="24"/>
      <c r="AY16" s="25">
        <v>0.7111</v>
      </c>
      <c r="AZ16" s="26">
        <v>123.9</v>
      </c>
      <c r="BA16" s="24"/>
      <c r="BB16" s="25">
        <v>0.6984</v>
      </c>
      <c r="BC16" s="26">
        <v>123.9</v>
      </c>
      <c r="BD16" s="24"/>
      <c r="BE16" s="25">
        <v>0.7042</v>
      </c>
      <c r="BF16" s="26">
        <v>123.93</v>
      </c>
      <c r="BG16" s="24"/>
      <c r="BH16" s="25">
        <v>0.7103</v>
      </c>
      <c r="BI16" s="26">
        <v>123.8</v>
      </c>
      <c r="BJ16" s="26"/>
      <c r="BK16" s="25">
        <f t="shared" si="0"/>
        <v>0.738325</v>
      </c>
      <c r="BL16" s="25">
        <f t="shared" si="0"/>
        <v>123.18250000000003</v>
      </c>
      <c r="BM16" s="26"/>
      <c r="BN16" s="25"/>
      <c r="BO16" s="25"/>
      <c r="BP16" s="26"/>
      <c r="BQ16" s="25"/>
      <c r="BR16" s="25"/>
      <c r="BS16" s="25"/>
      <c r="BT16" s="25"/>
      <c r="BU16" s="26"/>
      <c r="BV16" s="26"/>
      <c r="BW16" s="109"/>
      <c r="BX16" s="109"/>
      <c r="BY16" s="24"/>
    </row>
    <row r="17" spans="1:77" ht="15.75" customHeight="1">
      <c r="A17" s="40">
        <v>5</v>
      </c>
      <c r="B17" s="73" t="s">
        <v>18</v>
      </c>
      <c r="C17" s="25">
        <v>771.9</v>
      </c>
      <c r="D17" s="94">
        <v>75021.93</v>
      </c>
      <c r="E17" s="24"/>
      <c r="F17" s="25">
        <v>772.5</v>
      </c>
      <c r="G17" s="94">
        <v>75201.43</v>
      </c>
      <c r="H17" s="24"/>
      <c r="I17" s="25">
        <v>771.1</v>
      </c>
      <c r="J17" s="94">
        <v>75194.3</v>
      </c>
      <c r="K17" s="24"/>
      <c r="L17" s="25">
        <v>770.8</v>
      </c>
      <c r="M17" s="94">
        <v>74346.55</v>
      </c>
      <c r="N17" s="24"/>
      <c r="O17" s="25">
        <v>770.5</v>
      </c>
      <c r="P17" s="94">
        <v>73648.24</v>
      </c>
      <c r="Q17" s="24"/>
      <c r="R17" s="25">
        <v>784.55</v>
      </c>
      <c r="S17" s="94">
        <v>74573.93</v>
      </c>
      <c r="T17" s="24"/>
      <c r="U17" s="25">
        <v>820.8</v>
      </c>
      <c r="V17" s="94">
        <v>76978.22</v>
      </c>
      <c r="W17" s="24"/>
      <c r="X17" s="25">
        <v>813.05</v>
      </c>
      <c r="Y17" s="94">
        <v>75118.2</v>
      </c>
      <c r="Z17" s="24"/>
      <c r="AA17" s="25">
        <v>826.9</v>
      </c>
      <c r="AB17" s="94">
        <v>75637.06</v>
      </c>
      <c r="AC17" s="24"/>
      <c r="AD17" s="25">
        <v>832.75</v>
      </c>
      <c r="AE17" s="94">
        <v>75067.21</v>
      </c>
      <c r="AF17" s="24"/>
      <c r="AG17" s="25">
        <v>852.75</v>
      </c>
      <c r="AH17" s="94">
        <v>74443.48</v>
      </c>
      <c r="AI17" s="24"/>
      <c r="AJ17" s="25">
        <v>873</v>
      </c>
      <c r="AK17" s="94">
        <v>73939.28</v>
      </c>
      <c r="AL17" s="24"/>
      <c r="AM17" s="25">
        <v>838.95</v>
      </c>
      <c r="AN17" s="94">
        <v>73478.91</v>
      </c>
      <c r="AO17" s="24"/>
      <c r="AP17" s="25">
        <v>846.05</v>
      </c>
      <c r="AQ17" s="94">
        <v>73651.83</v>
      </c>
      <c r="AR17" s="24"/>
      <c r="AS17" s="25">
        <v>843.9</v>
      </c>
      <c r="AT17" s="94">
        <v>73867.62</v>
      </c>
      <c r="AU17" s="24"/>
      <c r="AV17" s="25">
        <v>836.6</v>
      </c>
      <c r="AW17" s="94">
        <v>73473.35</v>
      </c>
      <c r="AX17" s="24"/>
      <c r="AY17" s="25">
        <v>844.9</v>
      </c>
      <c r="AZ17" s="94">
        <v>74577.21</v>
      </c>
      <c r="BA17" s="24"/>
      <c r="BB17" s="25">
        <v>880.35</v>
      </c>
      <c r="BC17" s="94">
        <v>76297.73</v>
      </c>
      <c r="BD17" s="24"/>
      <c r="BE17" s="25">
        <v>868.95</v>
      </c>
      <c r="BF17" s="94">
        <v>75927.22</v>
      </c>
      <c r="BG17" s="24"/>
      <c r="BH17" s="25">
        <v>868</v>
      </c>
      <c r="BI17" s="26">
        <v>76304.8</v>
      </c>
      <c r="BJ17" s="94"/>
      <c r="BK17" s="25">
        <f t="shared" si="0"/>
        <v>824.4150000000002</v>
      </c>
      <c r="BL17" s="25">
        <f t="shared" si="0"/>
        <v>74837.425</v>
      </c>
      <c r="BM17" s="94"/>
      <c r="BN17" s="25"/>
      <c r="BO17" s="25"/>
      <c r="BP17" s="94"/>
      <c r="BQ17" s="25"/>
      <c r="BR17" s="25"/>
      <c r="BS17" s="25"/>
      <c r="BT17" s="25"/>
      <c r="BU17" s="26"/>
      <c r="BV17" s="94"/>
      <c r="BW17" s="109"/>
      <c r="BX17" s="109"/>
      <c r="BY17" s="24"/>
    </row>
    <row r="18" spans="1:77" ht="15.75" customHeight="1">
      <c r="A18" s="40">
        <v>6</v>
      </c>
      <c r="B18" s="74" t="s">
        <v>19</v>
      </c>
      <c r="C18" s="25">
        <v>9.4</v>
      </c>
      <c r="D18" s="26">
        <v>913.6</v>
      </c>
      <c r="E18" s="24"/>
      <c r="F18" s="25">
        <v>9.4</v>
      </c>
      <c r="G18" s="26">
        <v>915.07</v>
      </c>
      <c r="H18" s="24"/>
      <c r="I18" s="25">
        <v>9.62</v>
      </c>
      <c r="J18" s="26">
        <v>938.1</v>
      </c>
      <c r="K18" s="24"/>
      <c r="L18" s="25">
        <v>9.49</v>
      </c>
      <c r="M18" s="26">
        <v>915.35</v>
      </c>
      <c r="N18" s="24"/>
      <c r="O18" s="25">
        <v>9.96</v>
      </c>
      <c r="P18" s="26">
        <v>952.03</v>
      </c>
      <c r="Q18" s="24"/>
      <c r="R18" s="25">
        <v>9.94</v>
      </c>
      <c r="S18" s="26">
        <v>944.83</v>
      </c>
      <c r="T18" s="24"/>
      <c r="U18" s="25">
        <v>10.39</v>
      </c>
      <c r="V18" s="26">
        <v>974.42</v>
      </c>
      <c r="W18" s="24"/>
      <c r="X18" s="25">
        <v>10.09</v>
      </c>
      <c r="Y18" s="26">
        <v>932.22</v>
      </c>
      <c r="Z18" s="24"/>
      <c r="AA18" s="25">
        <v>10.38</v>
      </c>
      <c r="AB18" s="26">
        <v>949.47</v>
      </c>
      <c r="AC18" s="24"/>
      <c r="AD18" s="25">
        <v>10.57</v>
      </c>
      <c r="AE18" s="26">
        <v>952.82</v>
      </c>
      <c r="AF18" s="24"/>
      <c r="AG18" s="25">
        <v>10.95</v>
      </c>
      <c r="AH18" s="26">
        <v>955.91</v>
      </c>
      <c r="AI18" s="24"/>
      <c r="AJ18" s="25">
        <v>11.39</v>
      </c>
      <c r="AK18" s="26">
        <v>964.68</v>
      </c>
      <c r="AL18" s="24"/>
      <c r="AM18" s="25">
        <v>10.8</v>
      </c>
      <c r="AN18" s="26">
        <v>945.91</v>
      </c>
      <c r="AO18" s="24"/>
      <c r="AP18" s="25">
        <v>10.95</v>
      </c>
      <c r="AQ18" s="26">
        <v>953.24</v>
      </c>
      <c r="AR18" s="24"/>
      <c r="AS18" s="25">
        <v>10.76</v>
      </c>
      <c r="AT18" s="26">
        <v>941.84</v>
      </c>
      <c r="AU18" s="24"/>
      <c r="AV18" s="25">
        <v>10.33</v>
      </c>
      <c r="AW18" s="26">
        <v>907.22</v>
      </c>
      <c r="AX18" s="24"/>
      <c r="AY18" s="25">
        <v>10.35</v>
      </c>
      <c r="AZ18" s="26">
        <v>913.57</v>
      </c>
      <c r="BA18" s="24"/>
      <c r="BB18" s="25">
        <v>10.89</v>
      </c>
      <c r="BC18" s="26">
        <v>943.81</v>
      </c>
      <c r="BD18" s="24"/>
      <c r="BE18" s="25">
        <v>10.72</v>
      </c>
      <c r="BF18" s="26">
        <v>936.69</v>
      </c>
      <c r="BG18" s="24"/>
      <c r="BH18" s="25">
        <v>10.88</v>
      </c>
      <c r="BI18" s="26">
        <v>956.45</v>
      </c>
      <c r="BJ18" s="26"/>
      <c r="BK18" s="25">
        <f t="shared" si="0"/>
        <v>10.363000000000001</v>
      </c>
      <c r="BL18" s="25">
        <f t="shared" si="0"/>
        <v>940.3615</v>
      </c>
      <c r="BM18" s="26"/>
      <c r="BN18" s="25"/>
      <c r="BO18" s="25"/>
      <c r="BP18" s="26"/>
      <c r="BQ18" s="25"/>
      <c r="BR18" s="25"/>
      <c r="BS18" s="25"/>
      <c r="BT18" s="25"/>
      <c r="BU18" s="26"/>
      <c r="BV18" s="26"/>
      <c r="BW18" s="109"/>
      <c r="BX18" s="109"/>
      <c r="BY18" s="24"/>
    </row>
    <row r="19" spans="1:77" ht="15.75" customHeight="1">
      <c r="A19" s="40">
        <v>7</v>
      </c>
      <c r="B19" s="73" t="s">
        <v>20</v>
      </c>
      <c r="C19" s="25">
        <v>1.5482</v>
      </c>
      <c r="D19" s="26">
        <v>62.78</v>
      </c>
      <c r="E19" s="24"/>
      <c r="F19" s="25">
        <v>1.5591</v>
      </c>
      <c r="G19" s="26">
        <v>62.44</v>
      </c>
      <c r="H19" s="24"/>
      <c r="I19" s="25">
        <v>1.5523</v>
      </c>
      <c r="J19" s="26">
        <v>62.82</v>
      </c>
      <c r="K19" s="24"/>
      <c r="L19" s="25">
        <v>1.5504</v>
      </c>
      <c r="M19" s="26">
        <v>62.21</v>
      </c>
      <c r="N19" s="24"/>
      <c r="O19" s="25">
        <f>1/0.6546</f>
        <v>1.527650473571647</v>
      </c>
      <c r="P19" s="26">
        <v>62.57</v>
      </c>
      <c r="Q19" s="24"/>
      <c r="R19" s="25">
        <v>1.52</v>
      </c>
      <c r="S19" s="26">
        <v>62.54</v>
      </c>
      <c r="T19" s="24"/>
      <c r="U19" s="25">
        <v>1.5092</v>
      </c>
      <c r="V19" s="26">
        <v>62.14</v>
      </c>
      <c r="W19" s="24"/>
      <c r="X19" s="25">
        <v>1.5244</v>
      </c>
      <c r="Y19" s="26">
        <v>60.61</v>
      </c>
      <c r="Z19" s="24"/>
      <c r="AA19" s="25">
        <v>1.5063</v>
      </c>
      <c r="AB19" s="26">
        <v>60.73</v>
      </c>
      <c r="AC19" s="24"/>
      <c r="AD19" s="25">
        <v>1.491</v>
      </c>
      <c r="AE19" s="26">
        <v>60.46</v>
      </c>
      <c r="AF19" s="24"/>
      <c r="AG19" s="25">
        <v>1.4411</v>
      </c>
      <c r="AH19" s="26">
        <v>60.58</v>
      </c>
      <c r="AI19" s="24"/>
      <c r="AJ19" s="25">
        <v>1.4132</v>
      </c>
      <c r="AK19" s="26">
        <v>59.93</v>
      </c>
      <c r="AL19" s="24"/>
      <c r="AM19" s="25">
        <v>1.465</v>
      </c>
      <c r="AN19" s="26">
        <v>59.79</v>
      </c>
      <c r="AO19" s="24"/>
      <c r="AP19" s="25">
        <v>1.4588</v>
      </c>
      <c r="AQ19" s="26">
        <v>59.68</v>
      </c>
      <c r="AR19" s="24"/>
      <c r="AS19" s="25">
        <v>1.4654</v>
      </c>
      <c r="AT19" s="26">
        <v>59.83</v>
      </c>
      <c r="AU19" s="24"/>
      <c r="AV19" s="25">
        <v>1.4656</v>
      </c>
      <c r="AW19" s="26">
        <v>59.92</v>
      </c>
      <c r="AX19" s="24"/>
      <c r="AY19" s="25">
        <v>1.4569</v>
      </c>
      <c r="AZ19" s="26">
        <v>60.59</v>
      </c>
      <c r="BA19" s="24"/>
      <c r="BB19" s="25">
        <v>1.4376</v>
      </c>
      <c r="BC19" s="26">
        <v>60.29</v>
      </c>
      <c r="BD19" s="24"/>
      <c r="BE19" s="25">
        <v>1.4455</v>
      </c>
      <c r="BF19" s="26">
        <v>60.45</v>
      </c>
      <c r="BG19" s="65"/>
      <c r="BH19" s="25">
        <v>1.4449</v>
      </c>
      <c r="BI19" s="26">
        <v>60.84</v>
      </c>
      <c r="BJ19" s="26"/>
      <c r="BK19" s="25">
        <f t="shared" si="0"/>
        <v>1.4891275236785821</v>
      </c>
      <c r="BL19" s="25">
        <f t="shared" si="0"/>
        <v>61.05999999999999</v>
      </c>
      <c r="BM19" s="26"/>
      <c r="BN19" s="25"/>
      <c r="BO19" s="25"/>
      <c r="BP19" s="26"/>
      <c r="BQ19" s="25"/>
      <c r="BR19" s="25"/>
      <c r="BS19" s="25"/>
      <c r="BT19" s="25"/>
      <c r="BU19" s="26"/>
      <c r="BV19" s="26"/>
      <c r="BW19" s="109"/>
      <c r="BX19" s="109"/>
      <c r="BY19" s="65"/>
    </row>
    <row r="20" spans="1:77" ht="15.75" customHeight="1">
      <c r="A20" s="40">
        <v>8</v>
      </c>
      <c r="B20" s="73" t="s">
        <v>21</v>
      </c>
      <c r="C20" s="25">
        <v>1.2444</v>
      </c>
      <c r="D20" s="26">
        <v>78.1</v>
      </c>
      <c r="E20" s="24"/>
      <c r="F20" s="25">
        <v>1.2532</v>
      </c>
      <c r="G20" s="26">
        <v>77.68</v>
      </c>
      <c r="H20" s="24"/>
      <c r="I20" s="25">
        <v>1.26</v>
      </c>
      <c r="J20" s="26">
        <v>77.39</v>
      </c>
      <c r="K20" s="24"/>
      <c r="L20" s="25">
        <v>1.2741</v>
      </c>
      <c r="M20" s="26">
        <v>75.7</v>
      </c>
      <c r="N20" s="24"/>
      <c r="O20" s="25">
        <v>1.2567</v>
      </c>
      <c r="P20" s="26">
        <v>76.06</v>
      </c>
      <c r="Q20" s="24"/>
      <c r="R20" s="25">
        <v>1.2587</v>
      </c>
      <c r="S20" s="26">
        <v>75.52</v>
      </c>
      <c r="T20" s="24"/>
      <c r="U20" s="25">
        <v>1.2534</v>
      </c>
      <c r="V20" s="26">
        <v>74.82</v>
      </c>
      <c r="W20" s="24"/>
      <c r="X20" s="25">
        <v>1.2463</v>
      </c>
      <c r="Y20" s="26">
        <v>74.13</v>
      </c>
      <c r="Z20" s="24"/>
      <c r="AA20" s="25">
        <v>1.2351</v>
      </c>
      <c r="AB20" s="26">
        <v>74.06</v>
      </c>
      <c r="AC20" s="24"/>
      <c r="AD20" s="25">
        <v>1.2329</v>
      </c>
      <c r="AE20" s="26">
        <v>73.12</v>
      </c>
      <c r="AF20" s="24"/>
      <c r="AG20" s="25">
        <v>1.2074</v>
      </c>
      <c r="AH20" s="26">
        <v>72.3</v>
      </c>
      <c r="AI20" s="24"/>
      <c r="AJ20" s="25">
        <v>1.1865</v>
      </c>
      <c r="AK20" s="26">
        <v>71.38</v>
      </c>
      <c r="AL20" s="24"/>
      <c r="AM20" s="25">
        <v>1.233</v>
      </c>
      <c r="AN20" s="26">
        <v>71.03</v>
      </c>
      <c r="AO20" s="24"/>
      <c r="AP20" s="25">
        <v>1.2117</v>
      </c>
      <c r="AQ20" s="26">
        <v>71.84</v>
      </c>
      <c r="AR20" s="24"/>
      <c r="AS20" s="25">
        <v>1.2222</v>
      </c>
      <c r="AT20" s="26">
        <v>71.62</v>
      </c>
      <c r="AU20" s="24"/>
      <c r="AV20" s="25">
        <v>1.2138</v>
      </c>
      <c r="AW20" s="26">
        <v>72.35</v>
      </c>
      <c r="AX20" s="24"/>
      <c r="AY20" s="25">
        <v>1.2176</v>
      </c>
      <c r="AZ20" s="26">
        <v>72.49</v>
      </c>
      <c r="BA20" s="24"/>
      <c r="BB20" s="25">
        <v>1.2185</v>
      </c>
      <c r="BC20" s="26">
        <v>71.13</v>
      </c>
      <c r="BD20" s="24"/>
      <c r="BE20" s="25">
        <v>1.2286</v>
      </c>
      <c r="BF20" s="26">
        <v>71.12</v>
      </c>
      <c r="BG20" s="24"/>
      <c r="BH20" s="25">
        <v>1.2172</v>
      </c>
      <c r="BI20" s="26">
        <v>72.22</v>
      </c>
      <c r="BJ20" s="26"/>
      <c r="BK20" s="25">
        <f t="shared" si="0"/>
        <v>1.233565</v>
      </c>
      <c r="BL20" s="25">
        <f t="shared" si="0"/>
        <v>73.70299999999999</v>
      </c>
      <c r="BM20" s="26"/>
      <c r="BN20" s="25"/>
      <c r="BO20" s="25"/>
      <c r="BP20" s="26"/>
      <c r="BQ20" s="25"/>
      <c r="BR20" s="25"/>
      <c r="BS20" s="25"/>
      <c r="BT20" s="25"/>
      <c r="BU20" s="26"/>
      <c r="BV20" s="26"/>
      <c r="BW20" s="109"/>
      <c r="BX20" s="109"/>
      <c r="BY20" s="24"/>
    </row>
    <row r="21" spans="1:77" ht="15.75" customHeight="1">
      <c r="A21" s="40">
        <v>9</v>
      </c>
      <c r="B21" s="73" t="s">
        <v>22</v>
      </c>
      <c r="C21" s="25">
        <v>8.3145</v>
      </c>
      <c r="D21" s="26">
        <v>11.69</v>
      </c>
      <c r="E21" s="24"/>
      <c r="F21" s="25">
        <v>8.2824</v>
      </c>
      <c r="G21" s="26">
        <v>11.75</v>
      </c>
      <c r="H21" s="24"/>
      <c r="I21" s="25">
        <v>8.37</v>
      </c>
      <c r="J21" s="26">
        <v>11.65</v>
      </c>
      <c r="K21" s="24"/>
      <c r="L21" s="25">
        <v>8.2686</v>
      </c>
      <c r="M21" s="26">
        <v>11.67</v>
      </c>
      <c r="N21" s="24"/>
      <c r="O21" s="25">
        <v>8.1475</v>
      </c>
      <c r="P21" s="26">
        <v>11.73</v>
      </c>
      <c r="Q21" s="24"/>
      <c r="R21" s="25">
        <v>8.1759</v>
      </c>
      <c r="S21" s="26">
        <v>11.63</v>
      </c>
      <c r="T21" s="24"/>
      <c r="U21" s="25">
        <v>8.0289</v>
      </c>
      <c r="V21" s="26">
        <v>11.68</v>
      </c>
      <c r="W21" s="24"/>
      <c r="X21" s="25">
        <v>7.9487</v>
      </c>
      <c r="Y21" s="26">
        <v>11.62</v>
      </c>
      <c r="Z21" s="24"/>
      <c r="AA21" s="25">
        <v>7.9278</v>
      </c>
      <c r="AB21" s="26">
        <v>11.54</v>
      </c>
      <c r="AC21" s="24"/>
      <c r="AD21" s="25">
        <v>8.0111</v>
      </c>
      <c r="AE21" s="26">
        <v>11.25</v>
      </c>
      <c r="AF21" s="24"/>
      <c r="AG21" s="25">
        <v>7.7957</v>
      </c>
      <c r="AH21" s="26">
        <v>11.2</v>
      </c>
      <c r="AI21" s="24"/>
      <c r="AJ21" s="25">
        <v>7.6319</v>
      </c>
      <c r="AK21" s="26">
        <v>11.1</v>
      </c>
      <c r="AL21" s="24"/>
      <c r="AM21" s="25">
        <v>7.812</v>
      </c>
      <c r="AN21" s="26">
        <v>11.21</v>
      </c>
      <c r="AO21" s="24"/>
      <c r="AP21" s="25">
        <v>7.7709</v>
      </c>
      <c r="AQ21" s="26">
        <v>11.2</v>
      </c>
      <c r="AR21" s="24"/>
      <c r="AS21" s="25">
        <v>7.831</v>
      </c>
      <c r="AT21" s="26">
        <v>11.18</v>
      </c>
      <c r="AU21" s="24"/>
      <c r="AV21" s="25">
        <v>8.0325</v>
      </c>
      <c r="AW21" s="26">
        <v>10.93</v>
      </c>
      <c r="AX21" s="24"/>
      <c r="AY21" s="25">
        <v>7.9705</v>
      </c>
      <c r="AZ21" s="26">
        <v>11.07</v>
      </c>
      <c r="BA21" s="24"/>
      <c r="BB21" s="25">
        <v>7.675</v>
      </c>
      <c r="BC21" s="26">
        <v>11.29</v>
      </c>
      <c r="BD21" s="24"/>
      <c r="BE21" s="25">
        <v>7.6875</v>
      </c>
      <c r="BF21" s="26">
        <v>11.37</v>
      </c>
      <c r="BG21" s="24"/>
      <c r="BH21" s="25">
        <v>7.7699</v>
      </c>
      <c r="BI21" s="26">
        <v>11.31</v>
      </c>
      <c r="BJ21" s="26"/>
      <c r="BK21" s="25">
        <f t="shared" si="0"/>
        <v>7.972615</v>
      </c>
      <c r="BL21" s="25">
        <f t="shared" si="0"/>
        <v>11.4035</v>
      </c>
      <c r="BM21" s="26"/>
      <c r="BN21" s="25"/>
      <c r="BO21" s="25"/>
      <c r="BP21" s="26"/>
      <c r="BQ21" s="25"/>
      <c r="BR21" s="25"/>
      <c r="BS21" s="25"/>
      <c r="BT21" s="25"/>
      <c r="BU21" s="26"/>
      <c r="BV21" s="26"/>
      <c r="BW21" s="109"/>
      <c r="BX21" s="109"/>
      <c r="BY21" s="24"/>
    </row>
    <row r="22" spans="1:77" ht="15.75" customHeight="1">
      <c r="A22" s="40">
        <v>10</v>
      </c>
      <c r="B22" s="73" t="s">
        <v>23</v>
      </c>
      <c r="C22" s="25">
        <v>7.0955</v>
      </c>
      <c r="D22" s="26">
        <v>13.7</v>
      </c>
      <c r="E22" s="24"/>
      <c r="F22" s="25">
        <v>7.1123</v>
      </c>
      <c r="G22" s="26">
        <v>13.69</v>
      </c>
      <c r="H22" s="24"/>
      <c r="I22" s="25">
        <v>7.189</v>
      </c>
      <c r="J22" s="26">
        <v>13.56</v>
      </c>
      <c r="K22" s="24"/>
      <c r="L22" s="25">
        <v>7.1547</v>
      </c>
      <c r="M22" s="26">
        <v>13.48</v>
      </c>
      <c r="N22" s="24"/>
      <c r="O22" s="25">
        <v>7.1186</v>
      </c>
      <c r="P22" s="26">
        <v>13.43</v>
      </c>
      <c r="Q22" s="24"/>
      <c r="R22" s="25">
        <v>7.075</v>
      </c>
      <c r="S22" s="26">
        <v>13.44</v>
      </c>
      <c r="T22" s="24"/>
      <c r="U22" s="25">
        <v>6.9705</v>
      </c>
      <c r="V22" s="26">
        <v>13.45</v>
      </c>
      <c r="W22" s="24"/>
      <c r="X22" s="25">
        <v>6.8831</v>
      </c>
      <c r="Y22" s="26">
        <v>13.42</v>
      </c>
      <c r="Z22" s="24"/>
      <c r="AA22" s="25">
        <v>6.8679</v>
      </c>
      <c r="AB22" s="26">
        <v>13.32</v>
      </c>
      <c r="AC22" s="24"/>
      <c r="AD22" s="25">
        <v>6.9266</v>
      </c>
      <c r="AE22" s="26">
        <v>13.01</v>
      </c>
      <c r="AF22" s="24"/>
      <c r="AG22" s="25">
        <v>6.7275</v>
      </c>
      <c r="AH22" s="26">
        <v>12.98</v>
      </c>
      <c r="AI22" s="24"/>
      <c r="AJ22" s="25">
        <v>6.6883</v>
      </c>
      <c r="AK22" s="26">
        <v>12.66</v>
      </c>
      <c r="AL22" s="24"/>
      <c r="AM22" s="25">
        <v>6.991</v>
      </c>
      <c r="AN22" s="26">
        <v>12.53</v>
      </c>
      <c r="AO22" s="24"/>
      <c r="AP22" s="25">
        <v>7.0092</v>
      </c>
      <c r="AQ22" s="26">
        <v>12.42</v>
      </c>
      <c r="AR22" s="24"/>
      <c r="AS22" s="25">
        <v>7.0008</v>
      </c>
      <c r="AT22" s="26">
        <v>12.5</v>
      </c>
      <c r="AU22" s="24"/>
      <c r="AV22" s="25">
        <v>7.153</v>
      </c>
      <c r="AW22" s="26">
        <v>12.28</v>
      </c>
      <c r="AX22" s="24"/>
      <c r="AY22" s="25">
        <v>7.1069</v>
      </c>
      <c r="AZ22" s="26">
        <v>12.42</v>
      </c>
      <c r="BA22" s="24"/>
      <c r="BB22" s="25">
        <v>6.946</v>
      </c>
      <c r="BC22" s="26">
        <v>12.48</v>
      </c>
      <c r="BD22" s="24"/>
      <c r="BE22" s="25">
        <v>6.9421</v>
      </c>
      <c r="BF22" s="26">
        <v>12.59</v>
      </c>
      <c r="BG22" s="24"/>
      <c r="BH22" s="25">
        <v>6.9838</v>
      </c>
      <c r="BI22" s="26">
        <v>12.59</v>
      </c>
      <c r="BJ22" s="26"/>
      <c r="BK22" s="25">
        <f t="shared" si="0"/>
        <v>6.99709</v>
      </c>
      <c r="BL22" s="25">
        <f t="shared" si="0"/>
        <v>12.997499999999997</v>
      </c>
      <c r="BM22" s="26"/>
      <c r="BN22" s="25"/>
      <c r="BO22" s="25"/>
      <c r="BP22" s="26"/>
      <c r="BQ22" s="25"/>
      <c r="BR22" s="25"/>
      <c r="BS22" s="25"/>
      <c r="BT22" s="25"/>
      <c r="BU22" s="26"/>
      <c r="BV22" s="26"/>
      <c r="BW22" s="109"/>
      <c r="BX22" s="109"/>
      <c r="BY22" s="24"/>
    </row>
    <row r="23" spans="1:77" ht="15.75" customHeight="1">
      <c r="A23" s="40">
        <v>11</v>
      </c>
      <c r="B23" s="73" t="s">
        <v>24</v>
      </c>
      <c r="C23" s="25">
        <v>5.8753</v>
      </c>
      <c r="D23" s="26">
        <v>16.54</v>
      </c>
      <c r="E23" s="24"/>
      <c r="F23" s="25">
        <v>5.8963</v>
      </c>
      <c r="G23" s="26">
        <v>16.51</v>
      </c>
      <c r="H23" s="24"/>
      <c r="I23" s="25">
        <v>5.9065</v>
      </c>
      <c r="J23" s="26">
        <v>16.51</v>
      </c>
      <c r="K23" s="24"/>
      <c r="L23" s="25">
        <v>5.8303</v>
      </c>
      <c r="M23" s="26">
        <v>16.54</v>
      </c>
      <c r="N23" s="24"/>
      <c r="O23" s="25">
        <v>5.7886</v>
      </c>
      <c r="P23" s="26">
        <v>16.51</v>
      </c>
      <c r="Q23" s="24"/>
      <c r="R23" s="25">
        <v>5.7637</v>
      </c>
      <c r="S23" s="26">
        <v>16.49</v>
      </c>
      <c r="T23" s="24"/>
      <c r="U23" s="25">
        <v>5.6662</v>
      </c>
      <c r="V23" s="26">
        <v>16.55</v>
      </c>
      <c r="W23" s="24"/>
      <c r="X23" s="25">
        <v>5.5831</v>
      </c>
      <c r="Y23" s="26">
        <v>16.55</v>
      </c>
      <c r="Z23" s="24"/>
      <c r="AA23" s="25">
        <v>5.5248</v>
      </c>
      <c r="AB23" s="26">
        <v>16.56</v>
      </c>
      <c r="AC23" s="24"/>
      <c r="AD23" s="25">
        <v>5.4546</v>
      </c>
      <c r="AE23" s="26">
        <v>16.53</v>
      </c>
      <c r="AF23" s="24"/>
      <c r="AG23" s="25">
        <v>5.2759</v>
      </c>
      <c r="AH23" s="26">
        <v>16.55</v>
      </c>
      <c r="AI23" s="24"/>
      <c r="AJ23" s="25">
        <v>5.108</v>
      </c>
      <c r="AK23" s="26">
        <v>16.58</v>
      </c>
      <c r="AL23" s="24"/>
      <c r="AM23" s="25">
        <v>5.3159</v>
      </c>
      <c r="AN23" s="26">
        <v>16.48</v>
      </c>
      <c r="AO23" s="24"/>
      <c r="AP23" s="25">
        <v>5.3003</v>
      </c>
      <c r="AQ23" s="26">
        <v>16.42</v>
      </c>
      <c r="AR23" s="24"/>
      <c r="AS23" s="25">
        <v>5.3321</v>
      </c>
      <c r="AT23" s="26">
        <v>16.42</v>
      </c>
      <c r="AU23" s="24"/>
      <c r="AV23" s="25">
        <v>5.3263</v>
      </c>
      <c r="AW23" s="26">
        <v>16.49</v>
      </c>
      <c r="AX23" s="24"/>
      <c r="AY23" s="25">
        <v>5.2939</v>
      </c>
      <c r="AZ23" s="26">
        <v>16.67</v>
      </c>
      <c r="BA23" s="24"/>
      <c r="BB23" s="25">
        <v>5.2017</v>
      </c>
      <c r="BC23" s="26">
        <v>16.66</v>
      </c>
      <c r="BD23" s="24"/>
      <c r="BE23" s="25">
        <v>5.2439</v>
      </c>
      <c r="BF23" s="26">
        <v>16.66</v>
      </c>
      <c r="BG23" s="24"/>
      <c r="BH23" s="25">
        <v>5.2911</v>
      </c>
      <c r="BI23" s="26">
        <v>16.61</v>
      </c>
      <c r="BJ23" s="26"/>
      <c r="BK23" s="25">
        <f t="shared" si="0"/>
        <v>5.498925</v>
      </c>
      <c r="BL23" s="25">
        <f t="shared" si="0"/>
        <v>16.541500000000006</v>
      </c>
      <c r="BM23" s="26"/>
      <c r="BN23" s="25"/>
      <c r="BO23" s="25"/>
      <c r="BP23" s="26"/>
      <c r="BQ23" s="25"/>
      <c r="BR23" s="25"/>
      <c r="BS23" s="25"/>
      <c r="BT23" s="25"/>
      <c r="BU23" s="26"/>
      <c r="BV23" s="26"/>
      <c r="BW23" s="109"/>
      <c r="BX23" s="109"/>
      <c r="BY23" s="24"/>
    </row>
    <row r="24" spans="1:77" ht="15.75" customHeight="1">
      <c r="A24" s="40">
        <v>12</v>
      </c>
      <c r="B24" s="73" t="s">
        <v>25</v>
      </c>
      <c r="C24" s="25">
        <v>0.67413</v>
      </c>
      <c r="D24" s="26">
        <v>144.17</v>
      </c>
      <c r="E24" s="24"/>
      <c r="F24" s="25">
        <v>0.67501</v>
      </c>
      <c r="G24" s="26">
        <v>144.22</v>
      </c>
      <c r="H24" s="24"/>
      <c r="I24" s="25">
        <v>0.67521</v>
      </c>
      <c r="J24" s="26">
        <v>144.42</v>
      </c>
      <c r="K24" s="24"/>
      <c r="L24" s="25">
        <v>0.67592</v>
      </c>
      <c r="M24" s="26">
        <v>142.7</v>
      </c>
      <c r="N24" s="24"/>
      <c r="O24" s="25">
        <v>0.67063</v>
      </c>
      <c r="P24" s="26">
        <v>142.53</v>
      </c>
      <c r="Q24" s="24"/>
      <c r="R24" s="25">
        <v>0.67108</v>
      </c>
      <c r="S24" s="26">
        <v>141.64</v>
      </c>
      <c r="T24" s="24"/>
      <c r="U24" s="25">
        <v>0.66918</v>
      </c>
      <c r="V24" s="26">
        <v>140.15</v>
      </c>
      <c r="W24" s="24"/>
      <c r="X24" s="25">
        <v>0.66329</v>
      </c>
      <c r="Y24" s="26">
        <v>139.29</v>
      </c>
      <c r="Z24" s="24"/>
      <c r="AA24" s="25">
        <v>0.65921</v>
      </c>
      <c r="AB24" s="26">
        <v>138.76</v>
      </c>
      <c r="AC24" s="24"/>
      <c r="AD24" s="25">
        <v>0.65689</v>
      </c>
      <c r="AE24" s="26">
        <v>137.23</v>
      </c>
      <c r="AF24" s="24"/>
      <c r="AG24" s="25">
        <v>0.65177</v>
      </c>
      <c r="AH24" s="26">
        <v>133.94</v>
      </c>
      <c r="AI24" s="24"/>
      <c r="AJ24" s="25">
        <v>0.6421</v>
      </c>
      <c r="AK24" s="26">
        <v>131.9</v>
      </c>
      <c r="AL24" s="24"/>
      <c r="AM24" s="25">
        <v>0.63316</v>
      </c>
      <c r="AN24" s="26">
        <v>138.33</v>
      </c>
      <c r="AO24" s="24"/>
      <c r="AP24" s="25">
        <v>0.64725</v>
      </c>
      <c r="AQ24" s="26">
        <v>134.5</v>
      </c>
      <c r="AR24" s="24"/>
      <c r="AS24" s="25">
        <v>0.64789</v>
      </c>
      <c r="AT24" s="26">
        <v>135.1</v>
      </c>
      <c r="AU24" s="24"/>
      <c r="AV24" s="25">
        <v>0.64797</v>
      </c>
      <c r="AW24" s="26">
        <v>135.54</v>
      </c>
      <c r="AX24" s="24"/>
      <c r="AY24" s="25">
        <v>0.64783</v>
      </c>
      <c r="AZ24" s="26">
        <v>136.25</v>
      </c>
      <c r="BA24" s="24"/>
      <c r="BB24" s="25">
        <v>0.64783</v>
      </c>
      <c r="BC24" s="26">
        <v>133.78</v>
      </c>
      <c r="BD24" s="24"/>
      <c r="BE24" s="25">
        <v>0.64241</v>
      </c>
      <c r="BF24" s="26">
        <v>136.02</v>
      </c>
      <c r="BG24" s="24"/>
      <c r="BH24" s="25">
        <v>0.64607</v>
      </c>
      <c r="BI24" s="26">
        <v>136.07</v>
      </c>
      <c r="BJ24" s="26"/>
      <c r="BK24" s="25">
        <f t="shared" si="0"/>
        <v>0.6572415000000001</v>
      </c>
      <c r="BL24" s="25">
        <f t="shared" si="0"/>
        <v>138.32700000000003</v>
      </c>
      <c r="BM24" s="26"/>
      <c r="BN24" s="25"/>
      <c r="BO24" s="25"/>
      <c r="BP24" s="26"/>
      <c r="BQ24" s="25"/>
      <c r="BR24" s="25"/>
      <c r="BS24" s="25"/>
      <c r="BT24" s="25"/>
      <c r="BU24" s="26"/>
      <c r="BV24" s="26"/>
      <c r="BW24" s="109"/>
      <c r="BX24" s="109"/>
      <c r="BY24" s="24"/>
    </row>
    <row r="25" spans="1:105" s="104" customFormat="1" ht="15.75" customHeight="1" thickBot="1">
      <c r="A25" s="105">
        <v>13</v>
      </c>
      <c r="B25" s="106" t="s">
        <v>26</v>
      </c>
      <c r="C25" s="107">
        <v>1</v>
      </c>
      <c r="D25" s="108">
        <v>97.19</v>
      </c>
      <c r="E25" s="29"/>
      <c r="F25" s="107">
        <v>1</v>
      </c>
      <c r="G25" s="108">
        <v>97.35</v>
      </c>
      <c r="H25" s="29"/>
      <c r="I25" s="107">
        <v>1</v>
      </c>
      <c r="J25" s="108">
        <v>97.52</v>
      </c>
      <c r="K25" s="29"/>
      <c r="L25" s="107">
        <v>1</v>
      </c>
      <c r="M25" s="108">
        <v>96.45</v>
      </c>
      <c r="N25" s="29"/>
      <c r="O25" s="107">
        <v>1</v>
      </c>
      <c r="P25" s="108">
        <v>95.59</v>
      </c>
      <c r="Q25" s="29"/>
      <c r="R25" s="107">
        <v>1</v>
      </c>
      <c r="S25" s="108">
        <v>95.05</v>
      </c>
      <c r="T25" s="29"/>
      <c r="U25" s="107">
        <v>1</v>
      </c>
      <c r="V25" s="108">
        <v>93.78</v>
      </c>
      <c r="W25" s="29"/>
      <c r="X25" s="107">
        <v>1</v>
      </c>
      <c r="Y25" s="108">
        <v>92.39</v>
      </c>
      <c r="Z25" s="29"/>
      <c r="AA25" s="107">
        <v>1</v>
      </c>
      <c r="AB25" s="108">
        <v>91.47</v>
      </c>
      <c r="AC25" s="29"/>
      <c r="AD25" s="107">
        <v>1</v>
      </c>
      <c r="AE25" s="108">
        <v>90.14</v>
      </c>
      <c r="AF25" s="29"/>
      <c r="AG25" s="107">
        <v>1</v>
      </c>
      <c r="AH25" s="108">
        <v>87.3</v>
      </c>
      <c r="AI25" s="29"/>
      <c r="AJ25" s="107">
        <v>1</v>
      </c>
      <c r="AK25" s="108">
        <v>84.7</v>
      </c>
      <c r="AL25" s="29"/>
      <c r="AM25" s="107">
        <v>1</v>
      </c>
      <c r="AN25" s="108">
        <v>87.58</v>
      </c>
      <c r="AO25" s="29"/>
      <c r="AP25" s="107">
        <v>1</v>
      </c>
      <c r="AQ25" s="108">
        <v>87.05</v>
      </c>
      <c r="AR25" s="29"/>
      <c r="AS25" s="107">
        <v>1</v>
      </c>
      <c r="AT25" s="108">
        <v>87.53</v>
      </c>
      <c r="AU25" s="29"/>
      <c r="AV25" s="107">
        <v>1</v>
      </c>
      <c r="AW25" s="108">
        <v>87.82</v>
      </c>
      <c r="AX25" s="29"/>
      <c r="AY25" s="107">
        <v>1</v>
      </c>
      <c r="AZ25" s="108">
        <v>88.27</v>
      </c>
      <c r="BA25" s="29"/>
      <c r="BB25" s="107">
        <v>1</v>
      </c>
      <c r="BC25" s="108">
        <v>86.67</v>
      </c>
      <c r="BD25" s="29"/>
      <c r="BE25" s="107">
        <v>1</v>
      </c>
      <c r="BF25" s="108">
        <v>87.38</v>
      </c>
      <c r="BG25" s="29"/>
      <c r="BH25" s="108">
        <v>1</v>
      </c>
      <c r="BI25" s="108">
        <v>87.91</v>
      </c>
      <c r="BJ25" s="108"/>
      <c r="BK25" s="108">
        <f t="shared" si="0"/>
        <v>1</v>
      </c>
      <c r="BL25" s="108">
        <f t="shared" si="0"/>
        <v>90.95700000000001</v>
      </c>
      <c r="BM25" s="26"/>
      <c r="BN25" s="25"/>
      <c r="BO25" s="25"/>
      <c r="BP25" s="25"/>
      <c r="BQ25" s="25"/>
      <c r="BR25" s="25"/>
      <c r="BS25" s="25"/>
      <c r="BT25" s="25"/>
      <c r="BU25" s="26"/>
      <c r="BV25" s="25"/>
      <c r="BW25" s="109"/>
      <c r="BX25" s="109"/>
      <c r="BY25" s="24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</row>
    <row r="26" spans="1:77" ht="15.75" customHeight="1" thickTop="1">
      <c r="A26" s="40"/>
      <c r="B26" s="73"/>
      <c r="C26" s="25"/>
      <c r="D26" s="26"/>
      <c r="E26" s="24"/>
      <c r="F26" s="25"/>
      <c r="G26" s="26"/>
      <c r="H26" s="24"/>
      <c r="I26" s="25"/>
      <c r="J26" s="26"/>
      <c r="K26" s="24"/>
      <c r="L26" s="25"/>
      <c r="M26" s="26"/>
      <c r="N26" s="24"/>
      <c r="O26" s="25"/>
      <c r="P26" s="26"/>
      <c r="Q26" s="24"/>
      <c r="R26" s="25"/>
      <c r="S26" s="26"/>
      <c r="T26" s="24"/>
      <c r="U26" s="25"/>
      <c r="V26" s="26"/>
      <c r="W26" s="24"/>
      <c r="X26" s="25"/>
      <c r="Y26" s="26"/>
      <c r="Z26" s="24"/>
      <c r="AA26" s="25"/>
      <c r="AB26" s="26"/>
      <c r="AC26" s="24"/>
      <c r="AD26" s="25"/>
      <c r="AE26" s="26"/>
      <c r="AF26" s="24"/>
      <c r="AG26" s="25"/>
      <c r="AH26" s="26"/>
      <c r="AI26" s="24"/>
      <c r="AJ26" s="25"/>
      <c r="AK26" s="26"/>
      <c r="AL26" s="24"/>
      <c r="AM26" s="25"/>
      <c r="AN26" s="26"/>
      <c r="AO26" s="24"/>
      <c r="AP26" s="25"/>
      <c r="AQ26" s="26"/>
      <c r="AR26" s="24"/>
      <c r="AS26" s="25"/>
      <c r="AT26" s="26"/>
      <c r="AU26" s="24"/>
      <c r="AV26" s="25"/>
      <c r="AW26" s="26"/>
      <c r="AX26" s="24"/>
      <c r="AY26" s="25"/>
      <c r="AZ26" s="26"/>
      <c r="BA26" s="24"/>
      <c r="BB26" s="25"/>
      <c r="BC26" s="26"/>
      <c r="BD26" s="24"/>
      <c r="BE26" s="24"/>
      <c r="BF26" s="24"/>
      <c r="BG26" s="24"/>
      <c r="BH26" s="25"/>
      <c r="BI26" s="26"/>
      <c r="BJ26" s="26"/>
      <c r="BK26" s="25"/>
      <c r="BL26" s="26"/>
      <c r="BM26" s="26"/>
      <c r="BN26" s="25"/>
      <c r="BO26" s="26"/>
      <c r="BP26" s="26"/>
      <c r="BQ26" s="25"/>
      <c r="BR26" s="26"/>
      <c r="BS26" s="25"/>
      <c r="BT26" s="25"/>
      <c r="BU26" s="26"/>
      <c r="BV26" s="26"/>
      <c r="BW26" s="25"/>
      <c r="BX26" s="26"/>
      <c r="BY26" s="24"/>
    </row>
    <row r="27" spans="1:77" ht="15.75" customHeight="1">
      <c r="A27" s="40"/>
      <c r="B27" s="73"/>
      <c r="C27" s="25"/>
      <c r="D27" s="26"/>
      <c r="E27" s="24"/>
      <c r="F27" s="25"/>
      <c r="G27" s="26"/>
      <c r="H27" s="24"/>
      <c r="I27" s="25"/>
      <c r="J27" s="26"/>
      <c r="K27" s="24"/>
      <c r="L27" s="25"/>
      <c r="M27" s="26"/>
      <c r="N27" s="24"/>
      <c r="O27" s="25"/>
      <c r="P27" s="26"/>
      <c r="Q27" s="24"/>
      <c r="R27" s="25"/>
      <c r="S27" s="26"/>
      <c r="T27" s="24"/>
      <c r="U27" s="25"/>
      <c r="V27" s="26"/>
      <c r="W27" s="24"/>
      <c r="X27" s="25"/>
      <c r="Y27" s="26"/>
      <c r="Z27" s="24"/>
      <c r="AA27" s="25"/>
      <c r="AB27" s="26"/>
      <c r="AC27" s="24"/>
      <c r="AD27" s="25"/>
      <c r="AE27" s="26"/>
      <c r="AF27" s="24"/>
      <c r="AG27" s="25"/>
      <c r="AH27" s="26"/>
      <c r="AI27" s="24"/>
      <c r="AJ27" s="25"/>
      <c r="AK27" s="26"/>
      <c r="AL27" s="24"/>
      <c r="AM27" s="25"/>
      <c r="AN27" s="26"/>
      <c r="AO27" s="24"/>
      <c r="AP27" s="25"/>
      <c r="AQ27" s="26"/>
      <c r="AR27" s="24"/>
      <c r="AS27" s="25"/>
      <c r="AT27" s="26"/>
      <c r="AU27" s="24"/>
      <c r="AV27" s="25"/>
      <c r="AW27" s="26"/>
      <c r="AX27" s="24"/>
      <c r="AY27" s="25"/>
      <c r="AZ27" s="26"/>
      <c r="BA27" s="24"/>
      <c r="BB27" s="25"/>
      <c r="BC27" s="26"/>
      <c r="BD27" s="24"/>
      <c r="BE27" s="24"/>
      <c r="BF27" s="24"/>
      <c r="BG27" s="24"/>
      <c r="BH27" s="25"/>
      <c r="BI27" s="26"/>
      <c r="BJ27" s="26"/>
      <c r="BK27" s="25"/>
      <c r="BL27" s="26"/>
      <c r="BM27" s="26"/>
      <c r="BN27" s="25"/>
      <c r="BO27" s="26"/>
      <c r="BP27" s="26"/>
      <c r="BQ27" s="25"/>
      <c r="BR27" s="26"/>
      <c r="BS27" s="25"/>
      <c r="BT27" s="25"/>
      <c r="BU27" s="26"/>
      <c r="BV27" s="26"/>
      <c r="BW27" s="25"/>
      <c r="BX27" s="26"/>
      <c r="BY27" s="24"/>
    </row>
    <row r="28" spans="1:77" ht="15.75" customHeight="1">
      <c r="A28" s="40"/>
      <c r="B28" s="73"/>
      <c r="C28" s="25"/>
      <c r="D28" s="26"/>
      <c r="E28" s="24"/>
      <c r="F28" s="25"/>
      <c r="G28" s="26"/>
      <c r="H28" s="24"/>
      <c r="I28" s="25"/>
      <c r="J28" s="26"/>
      <c r="K28" s="24"/>
      <c r="L28" s="25"/>
      <c r="M28" s="26"/>
      <c r="N28" s="24"/>
      <c r="O28" s="25"/>
      <c r="P28" s="26"/>
      <c r="Q28" s="24"/>
      <c r="R28" s="25"/>
      <c r="S28" s="26"/>
      <c r="T28" s="24"/>
      <c r="U28" s="25"/>
      <c r="V28" s="26"/>
      <c r="W28" s="24"/>
      <c r="X28" s="25"/>
      <c r="Y28" s="26"/>
      <c r="Z28" s="24"/>
      <c r="AA28" s="25"/>
      <c r="AB28" s="26"/>
      <c r="AC28" s="24"/>
      <c r="AD28" s="25"/>
      <c r="AE28" s="26"/>
      <c r="AF28" s="24"/>
      <c r="AG28" s="25"/>
      <c r="AH28" s="26"/>
      <c r="AI28" s="24"/>
      <c r="AJ28" s="25"/>
      <c r="AK28" s="26"/>
      <c r="AL28" s="24"/>
      <c r="AM28" s="25"/>
      <c r="AN28" s="26"/>
      <c r="AO28" s="24"/>
      <c r="AP28" s="25"/>
      <c r="AQ28" s="26"/>
      <c r="AR28" s="24"/>
      <c r="AS28" s="25"/>
      <c r="AT28" s="26"/>
      <c r="AU28" s="24"/>
      <c r="AV28" s="25"/>
      <c r="AW28" s="26"/>
      <c r="AX28" s="24"/>
      <c r="AY28" s="25"/>
      <c r="AZ28" s="26"/>
      <c r="BA28" s="24"/>
      <c r="BB28" s="25"/>
      <c r="BC28" s="26"/>
      <c r="BD28" s="24"/>
      <c r="BE28" s="24"/>
      <c r="BF28" s="24"/>
      <c r="BG28" s="24"/>
      <c r="BH28" s="25"/>
      <c r="BI28" s="26"/>
      <c r="BJ28" s="26"/>
      <c r="BK28" s="25"/>
      <c r="BL28" s="26"/>
      <c r="BM28" s="26"/>
      <c r="BN28" s="25"/>
      <c r="BO28" s="26"/>
      <c r="BP28" s="26"/>
      <c r="BQ28" s="25"/>
      <c r="BR28" s="26"/>
      <c r="BS28" s="25"/>
      <c r="BT28" s="25"/>
      <c r="BU28" s="26"/>
      <c r="BV28" s="26"/>
      <c r="BW28" s="25"/>
      <c r="BX28" s="26"/>
      <c r="BY28" s="24"/>
    </row>
    <row r="29" spans="1:77" ht="15.75" customHeight="1">
      <c r="A29" s="40"/>
      <c r="B29" s="73"/>
      <c r="C29" s="25"/>
      <c r="D29" s="26"/>
      <c r="E29" s="24"/>
      <c r="F29" s="25"/>
      <c r="G29" s="26"/>
      <c r="H29" s="24"/>
      <c r="I29" s="25"/>
      <c r="J29" s="26"/>
      <c r="K29" s="24"/>
      <c r="L29" s="25"/>
      <c r="M29" s="26"/>
      <c r="N29" s="24"/>
      <c r="O29" s="25"/>
      <c r="P29" s="26"/>
      <c r="Q29" s="24"/>
      <c r="R29" s="25"/>
      <c r="S29" s="26"/>
      <c r="T29" s="24"/>
      <c r="U29" s="25"/>
      <c r="V29" s="26"/>
      <c r="W29" s="24"/>
      <c r="X29" s="25"/>
      <c r="Y29" s="26"/>
      <c r="Z29" s="24"/>
      <c r="AA29" s="25"/>
      <c r="AB29" s="26"/>
      <c r="AC29" s="24"/>
      <c r="AD29" s="25"/>
      <c r="AE29" s="26"/>
      <c r="AF29" s="24"/>
      <c r="AG29" s="25"/>
      <c r="AH29" s="26"/>
      <c r="AI29" s="24"/>
      <c r="AJ29" s="25"/>
      <c r="AK29" s="26"/>
      <c r="AL29" s="24"/>
      <c r="AM29" s="25"/>
      <c r="AN29" s="26"/>
      <c r="AO29" s="24"/>
      <c r="AP29" s="25"/>
      <c r="AQ29" s="26"/>
      <c r="AR29" s="24"/>
      <c r="AS29" s="25"/>
      <c r="AT29" s="26"/>
      <c r="AU29" s="24"/>
      <c r="AV29" s="25"/>
      <c r="AW29" s="26"/>
      <c r="AX29" s="24"/>
      <c r="AY29" s="25"/>
      <c r="AZ29" s="26"/>
      <c r="BA29" s="24"/>
      <c r="BB29" s="25"/>
      <c r="BC29" s="26"/>
      <c r="BD29" s="24"/>
      <c r="BE29" s="24"/>
      <c r="BF29" s="24"/>
      <c r="BG29" s="24"/>
      <c r="BH29" s="25"/>
      <c r="BI29" s="26"/>
      <c r="BJ29" s="26"/>
      <c r="BK29" s="25"/>
      <c r="BL29" s="26"/>
      <c r="BM29" s="26"/>
      <c r="BN29" s="25"/>
      <c r="BO29" s="26"/>
      <c r="BP29" s="26"/>
      <c r="BQ29" s="25"/>
      <c r="BR29" s="26"/>
      <c r="BS29" s="25"/>
      <c r="BT29" s="25"/>
      <c r="BU29" s="26"/>
      <c r="BV29" s="26"/>
      <c r="BW29" s="25"/>
      <c r="BX29" s="26"/>
      <c r="BY29" s="24"/>
    </row>
    <row r="30" spans="1:77" ht="15.75" customHeight="1">
      <c r="A30" s="40"/>
      <c r="B30" s="73"/>
      <c r="C30" s="25"/>
      <c r="D30" s="26"/>
      <c r="E30" s="24"/>
      <c r="F30" s="25"/>
      <c r="G30" s="26"/>
      <c r="H30" s="24"/>
      <c r="I30" s="25"/>
      <c r="J30" s="26"/>
      <c r="K30" s="24"/>
      <c r="L30" s="25"/>
      <c r="M30" s="26"/>
      <c r="N30" s="24"/>
      <c r="O30" s="25"/>
      <c r="P30" s="26"/>
      <c r="Q30" s="24"/>
      <c r="R30" s="25"/>
      <c r="S30" s="26"/>
      <c r="T30" s="24"/>
      <c r="U30" s="25"/>
      <c r="V30" s="26"/>
      <c r="W30" s="24"/>
      <c r="X30" s="25"/>
      <c r="Y30" s="26"/>
      <c r="Z30" s="24"/>
      <c r="AA30" s="25"/>
      <c r="AB30" s="26"/>
      <c r="AC30" s="24"/>
      <c r="AD30" s="25"/>
      <c r="AE30" s="26"/>
      <c r="AF30" s="24"/>
      <c r="AG30" s="25"/>
      <c r="AH30" s="26"/>
      <c r="AI30" s="24"/>
      <c r="AJ30" s="25"/>
      <c r="AK30" s="26"/>
      <c r="AL30" s="24"/>
      <c r="AM30" s="25"/>
      <c r="AN30" s="26"/>
      <c r="AO30" s="24"/>
      <c r="AP30" s="25"/>
      <c r="AQ30" s="26"/>
      <c r="AR30" s="24"/>
      <c r="AS30" s="25"/>
      <c r="AT30" s="26"/>
      <c r="AU30" s="24"/>
      <c r="AV30" s="25"/>
      <c r="AW30" s="26"/>
      <c r="AX30" s="24"/>
      <c r="AY30" s="25"/>
      <c r="AZ30" s="26"/>
      <c r="BA30" s="24"/>
      <c r="BB30" s="25"/>
      <c r="BC30" s="26"/>
      <c r="BD30" s="24"/>
      <c r="BE30" s="24"/>
      <c r="BF30" s="24"/>
      <c r="BG30" s="24"/>
      <c r="BH30" s="25"/>
      <c r="BI30" s="26"/>
      <c r="BJ30" s="26"/>
      <c r="BK30" s="25"/>
      <c r="BL30" s="26"/>
      <c r="BM30" s="26"/>
      <c r="BN30" s="25"/>
      <c r="BO30" s="26"/>
      <c r="BP30" s="26"/>
      <c r="BQ30" s="25"/>
      <c r="BR30" s="26"/>
      <c r="BS30" s="25"/>
      <c r="BT30" s="25"/>
      <c r="BU30" s="26"/>
      <c r="BV30" s="26"/>
      <c r="BW30" s="25"/>
      <c r="BX30" s="26"/>
      <c r="BY30" s="24"/>
    </row>
    <row r="31" spans="1:77" ht="15.75" customHeight="1">
      <c r="A31" s="40"/>
      <c r="B31" s="73"/>
      <c r="C31" s="25"/>
      <c r="D31" s="26"/>
      <c r="E31" s="24"/>
      <c r="F31" s="25"/>
      <c r="G31" s="26"/>
      <c r="H31" s="24"/>
      <c r="I31" s="25"/>
      <c r="J31" s="26"/>
      <c r="K31" s="24"/>
      <c r="L31" s="25"/>
      <c r="M31" s="26"/>
      <c r="N31" s="24"/>
      <c r="O31" s="25"/>
      <c r="P31" s="26"/>
      <c r="Q31" s="24"/>
      <c r="R31" s="25"/>
      <c r="S31" s="26"/>
      <c r="T31" s="24"/>
      <c r="U31" s="25"/>
      <c r="V31" s="26"/>
      <c r="W31" s="24"/>
      <c r="X31" s="25"/>
      <c r="Y31" s="26"/>
      <c r="Z31" s="24"/>
      <c r="AA31" s="25"/>
      <c r="AB31" s="26"/>
      <c r="AC31" s="24"/>
      <c r="AD31" s="25"/>
      <c r="AE31" s="26"/>
      <c r="AF31" s="24"/>
      <c r="AG31" s="25"/>
      <c r="AH31" s="26"/>
      <c r="AI31" s="24"/>
      <c r="AJ31" s="25"/>
      <c r="AK31" s="26"/>
      <c r="AL31" s="24"/>
      <c r="AM31" s="25"/>
      <c r="AN31" s="26"/>
      <c r="AO31" s="24"/>
      <c r="AP31" s="25"/>
      <c r="AQ31" s="26"/>
      <c r="AR31" s="24"/>
      <c r="AS31" s="25"/>
      <c r="AT31" s="26"/>
      <c r="AU31" s="24"/>
      <c r="AV31" s="25"/>
      <c r="AW31" s="26"/>
      <c r="AX31" s="24"/>
      <c r="AY31" s="25"/>
      <c r="AZ31" s="26"/>
      <c r="BA31" s="24"/>
      <c r="BB31" s="25"/>
      <c r="BC31" s="26"/>
      <c r="BD31" s="24"/>
      <c r="BE31" s="24"/>
      <c r="BF31" s="24"/>
      <c r="BG31" s="24"/>
      <c r="BH31" s="25"/>
      <c r="BI31" s="26"/>
      <c r="BJ31" s="26"/>
      <c r="BK31" s="25"/>
      <c r="BL31" s="26"/>
      <c r="BM31" s="26"/>
      <c r="BN31" s="25"/>
      <c r="BO31" s="26"/>
      <c r="BP31" s="26"/>
      <c r="BQ31" s="25"/>
      <c r="BR31" s="26"/>
      <c r="BS31" s="25"/>
      <c r="BT31" s="25"/>
      <c r="BU31" s="26"/>
      <c r="BV31" s="26"/>
      <c r="BW31" s="25"/>
      <c r="BX31" s="26"/>
      <c r="BY31" s="24"/>
    </row>
    <row r="32" spans="1:77" ht="15.75" customHeight="1">
      <c r="A32" s="40"/>
      <c r="B32" s="73"/>
      <c r="C32" s="25"/>
      <c r="D32" s="26"/>
      <c r="E32" s="24"/>
      <c r="F32" s="25"/>
      <c r="G32" s="26"/>
      <c r="H32" s="24"/>
      <c r="I32" s="25"/>
      <c r="J32" s="26"/>
      <c r="K32" s="24"/>
      <c r="L32" s="25"/>
      <c r="M32" s="26"/>
      <c r="N32" s="24"/>
      <c r="O32" s="25"/>
      <c r="P32" s="26"/>
      <c r="Q32" s="24"/>
      <c r="R32" s="25"/>
      <c r="S32" s="26"/>
      <c r="T32" s="24"/>
      <c r="U32" s="25"/>
      <c r="V32" s="26"/>
      <c r="W32" s="24"/>
      <c r="X32" s="25"/>
      <c r="Y32" s="26"/>
      <c r="Z32" s="24"/>
      <c r="AA32" s="25"/>
      <c r="AB32" s="26"/>
      <c r="AC32" s="24"/>
      <c r="AD32" s="25"/>
      <c r="AE32" s="26"/>
      <c r="AF32" s="24"/>
      <c r="AG32" s="25"/>
      <c r="AH32" s="26"/>
      <c r="AI32" s="24"/>
      <c r="AJ32" s="25"/>
      <c r="AK32" s="26"/>
      <c r="AL32" s="24"/>
      <c r="AM32" s="25"/>
      <c r="AN32" s="26"/>
      <c r="AO32" s="24"/>
      <c r="AP32" s="25"/>
      <c r="AQ32" s="26"/>
      <c r="AR32" s="24"/>
      <c r="AS32" s="25"/>
      <c r="AT32" s="26"/>
      <c r="AU32" s="24"/>
      <c r="AV32" s="25"/>
      <c r="AW32" s="26"/>
      <c r="AX32" s="24"/>
      <c r="AY32" s="25"/>
      <c r="AZ32" s="26"/>
      <c r="BA32" s="24"/>
      <c r="BB32" s="25"/>
      <c r="BC32" s="26"/>
      <c r="BD32" s="24"/>
      <c r="BE32" s="24"/>
      <c r="BF32" s="24"/>
      <c r="BG32" s="24"/>
      <c r="BH32" s="25"/>
      <c r="BI32" s="26"/>
      <c r="BJ32" s="26"/>
      <c r="BK32" s="25"/>
      <c r="BL32" s="26"/>
      <c r="BM32" s="26"/>
      <c r="BN32" s="25"/>
      <c r="BO32" s="26"/>
      <c r="BP32" s="26"/>
      <c r="BQ32" s="25"/>
      <c r="BR32" s="26"/>
      <c r="BS32" s="25"/>
      <c r="BT32" s="25"/>
      <c r="BU32" s="26"/>
      <c r="BV32" s="26"/>
      <c r="BW32" s="25"/>
      <c r="BX32" s="26"/>
      <c r="BY32" s="24"/>
    </row>
    <row r="33" spans="1:77" ht="15.75" customHeight="1">
      <c r="A33" s="40"/>
      <c r="B33" s="76"/>
      <c r="C33" s="25"/>
      <c r="D33" s="26"/>
      <c r="E33" s="24"/>
      <c r="F33" s="25"/>
      <c r="G33" s="26"/>
      <c r="H33" s="24"/>
      <c r="I33" s="25"/>
      <c r="J33" s="26"/>
      <c r="K33" s="24"/>
      <c r="L33" s="25"/>
      <c r="M33" s="26"/>
      <c r="N33" s="24"/>
      <c r="O33" s="25"/>
      <c r="P33" s="26"/>
      <c r="Q33" s="24"/>
      <c r="R33" s="25"/>
      <c r="S33" s="26"/>
      <c r="T33" s="24"/>
      <c r="U33" s="25"/>
      <c r="V33" s="26"/>
      <c r="W33" s="24"/>
      <c r="X33" s="25"/>
      <c r="Y33" s="26"/>
      <c r="Z33" s="24"/>
      <c r="AA33" s="25"/>
      <c r="AB33" s="26"/>
      <c r="AC33" s="24"/>
      <c r="AD33" s="25"/>
      <c r="AE33" s="26"/>
      <c r="AF33" s="24"/>
      <c r="AG33" s="25"/>
      <c r="AH33" s="26"/>
      <c r="AI33" s="24"/>
      <c r="AJ33" s="25"/>
      <c r="AK33" s="26"/>
      <c r="AL33" s="24"/>
      <c r="AM33" s="25"/>
      <c r="AN33" s="26"/>
      <c r="AO33" s="24"/>
      <c r="AP33" s="25"/>
      <c r="AQ33" s="26"/>
      <c r="AR33" s="24"/>
      <c r="AS33" s="25"/>
      <c r="AT33" s="26"/>
      <c r="AU33" s="24"/>
      <c r="AV33" s="25"/>
      <c r="AW33" s="26"/>
      <c r="AX33" s="24"/>
      <c r="AY33" s="25"/>
      <c r="AZ33" s="26"/>
      <c r="BA33" s="24"/>
      <c r="BB33" s="25"/>
      <c r="BC33" s="26"/>
      <c r="BD33" s="24"/>
      <c r="BE33" s="24"/>
      <c r="BF33" s="24"/>
      <c r="BG33" s="24"/>
      <c r="BH33" s="25"/>
      <c r="BI33" s="26"/>
      <c r="BJ33" s="26"/>
      <c r="BK33" s="25"/>
      <c r="BL33" s="26"/>
      <c r="BM33" s="26"/>
      <c r="BN33" s="25"/>
      <c r="BO33" s="26"/>
      <c r="BP33" s="26"/>
      <c r="BQ33" s="25"/>
      <c r="BR33" s="26"/>
      <c r="BS33" s="25"/>
      <c r="BT33" s="25"/>
      <c r="BU33" s="26"/>
      <c r="BV33" s="26"/>
      <c r="BW33" s="25"/>
      <c r="BX33" s="26"/>
      <c r="BY33" s="24"/>
    </row>
    <row r="34" spans="1:77" ht="15.75" customHeight="1">
      <c r="A34" s="40"/>
      <c r="B34" s="76"/>
      <c r="C34" s="25"/>
      <c r="D34" s="26"/>
      <c r="E34" s="24"/>
      <c r="F34" s="25"/>
      <c r="G34" s="26"/>
      <c r="H34" s="24"/>
      <c r="I34" s="25"/>
      <c r="J34" s="26"/>
      <c r="K34" s="24"/>
      <c r="L34" s="25"/>
      <c r="M34" s="26"/>
      <c r="N34" s="24"/>
      <c r="O34" s="25"/>
      <c r="P34" s="26"/>
      <c r="Q34" s="24"/>
      <c r="R34" s="25"/>
      <c r="S34" s="26"/>
      <c r="T34" s="64"/>
      <c r="U34" s="25"/>
      <c r="V34" s="26"/>
      <c r="W34" s="24"/>
      <c r="X34" s="25"/>
      <c r="Y34" s="26"/>
      <c r="Z34" s="24"/>
      <c r="AA34" s="25"/>
      <c r="AB34" s="26"/>
      <c r="AC34" s="24"/>
      <c r="AD34" s="25"/>
      <c r="AE34" s="26"/>
      <c r="AF34" s="24"/>
      <c r="AG34" s="25"/>
      <c r="AH34" s="26"/>
      <c r="AI34" s="24"/>
      <c r="AJ34" s="25"/>
      <c r="AK34" s="26"/>
      <c r="AL34" s="24"/>
      <c r="AM34" s="25"/>
      <c r="AN34" s="26"/>
      <c r="AO34" s="24"/>
      <c r="AP34" s="25"/>
      <c r="AQ34" s="26"/>
      <c r="AR34" s="24"/>
      <c r="AS34" s="25"/>
      <c r="AT34" s="26"/>
      <c r="AU34" s="24"/>
      <c r="AV34" s="25"/>
      <c r="AW34" s="26"/>
      <c r="AX34" s="24"/>
      <c r="AY34" s="25"/>
      <c r="AZ34" s="26"/>
      <c r="BA34" s="24"/>
      <c r="BB34" s="25"/>
      <c r="BC34" s="26"/>
      <c r="BD34" s="24"/>
      <c r="BE34" s="24"/>
      <c r="BF34" s="24"/>
      <c r="BG34" s="24"/>
      <c r="BH34" s="25"/>
      <c r="BI34" s="26"/>
      <c r="BJ34" s="26"/>
      <c r="BK34" s="25"/>
      <c r="BL34" s="26"/>
      <c r="BM34" s="26"/>
      <c r="BN34" s="25"/>
      <c r="BO34" s="26"/>
      <c r="BP34" s="26"/>
      <c r="BQ34" s="25"/>
      <c r="BR34" s="26"/>
      <c r="BS34" s="25"/>
      <c r="BT34" s="25"/>
      <c r="BU34" s="26"/>
      <c r="BV34" s="26"/>
      <c r="BW34" s="25"/>
      <c r="BX34" s="26"/>
      <c r="BY34" s="65"/>
    </row>
    <row r="35" spans="1:77" ht="15.75" customHeight="1">
      <c r="A35" s="40"/>
      <c r="B35" s="76"/>
      <c r="C35" s="25"/>
      <c r="D35" s="26"/>
      <c r="E35" s="24"/>
      <c r="F35" s="25"/>
      <c r="G35" s="26"/>
      <c r="H35" s="24"/>
      <c r="I35" s="25"/>
      <c r="J35" s="26"/>
      <c r="K35" s="24"/>
      <c r="L35" s="25"/>
      <c r="M35" s="26"/>
      <c r="N35" s="24"/>
      <c r="O35" s="25"/>
      <c r="P35" s="26"/>
      <c r="Q35" s="24"/>
      <c r="R35" s="25"/>
      <c r="S35" s="26"/>
      <c r="T35" s="24"/>
      <c r="U35" s="25"/>
      <c r="V35" s="26"/>
      <c r="W35" s="24"/>
      <c r="X35" s="25"/>
      <c r="Y35" s="26"/>
      <c r="Z35" s="24"/>
      <c r="AA35" s="25"/>
      <c r="AB35" s="26"/>
      <c r="AC35" s="24"/>
      <c r="AD35" s="25"/>
      <c r="AE35" s="26"/>
      <c r="AF35" s="24"/>
      <c r="AG35" s="25"/>
      <c r="AH35" s="26"/>
      <c r="AI35" s="24"/>
      <c r="AJ35" s="25"/>
      <c r="AK35" s="26"/>
      <c r="AL35" s="24"/>
      <c r="AM35" s="25"/>
      <c r="AN35" s="26"/>
      <c r="AO35" s="24"/>
      <c r="AP35" s="25"/>
      <c r="AQ35" s="26"/>
      <c r="AR35" s="24"/>
      <c r="AS35" s="25"/>
      <c r="AT35" s="26"/>
      <c r="AU35" s="24"/>
      <c r="AV35" s="25"/>
      <c r="AW35" s="26"/>
      <c r="AX35" s="24"/>
      <c r="AY35" s="25"/>
      <c r="AZ35" s="26"/>
      <c r="BA35" s="24"/>
      <c r="BB35" s="25"/>
      <c r="BC35" s="26"/>
      <c r="BD35" s="24"/>
      <c r="BE35" s="24"/>
      <c r="BF35" s="24"/>
      <c r="BG35" s="24"/>
      <c r="BH35" s="25"/>
      <c r="BI35" s="26"/>
      <c r="BJ35" s="26"/>
      <c r="BK35" s="25"/>
      <c r="BL35" s="26"/>
      <c r="BM35" s="26"/>
      <c r="BN35" s="25"/>
      <c r="BO35" s="26"/>
      <c r="BP35" s="26"/>
      <c r="BQ35" s="25"/>
      <c r="BR35" s="26"/>
      <c r="BS35" s="25"/>
      <c r="BT35" s="25"/>
      <c r="BU35" s="26"/>
      <c r="BV35" s="26"/>
      <c r="BW35" s="25"/>
      <c r="BX35" s="26"/>
      <c r="BY35" s="65"/>
    </row>
    <row r="36" spans="1:77" ht="15.75" customHeight="1">
      <c r="A36" s="66"/>
      <c r="B36" s="77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7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66"/>
      <c r="BX36" s="66"/>
      <c r="BY36" s="67"/>
    </row>
    <row r="37" spans="1:77" ht="15.75" customHeight="1">
      <c r="A37" s="57"/>
      <c r="B37" s="7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</row>
    <row r="38" spans="1:77" ht="15.75" customHeight="1">
      <c r="A38" s="57"/>
      <c r="B38" s="7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</row>
    <row r="39" spans="1:77" ht="15.75" customHeight="1">
      <c r="A39" s="57"/>
      <c r="B39" s="7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</row>
    <row r="40" spans="1:77" ht="15.75" customHeight="1">
      <c r="A40" s="57"/>
      <c r="B40" s="7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</row>
    <row r="41" spans="1:77" ht="15.75" customHeight="1">
      <c r="A41" s="57"/>
      <c r="B41" s="78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</row>
    <row r="42" spans="1:77" ht="15.75" customHeight="1">
      <c r="A42" s="57"/>
      <c r="B42" s="7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</row>
    <row r="43" spans="1:77" ht="15.75" customHeight="1">
      <c r="A43" s="57"/>
      <c r="B43" s="7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</row>
    <row r="44" spans="1:77" ht="15.75" customHeight="1">
      <c r="A44" s="57"/>
      <c r="B44" s="7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7" ht="15.75" customHeight="1">
      <c r="A45" s="57"/>
      <c r="B45" s="78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</row>
    <row r="46" spans="1:77" ht="15.75" customHeight="1">
      <c r="A46" s="57"/>
      <c r="B46" s="78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</row>
    <row r="47" spans="1:77" ht="15.75" customHeight="1">
      <c r="A47" s="57"/>
      <c r="B47" s="78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</row>
    <row r="48" spans="1:77" ht="15.75" customHeight="1">
      <c r="A48" s="57"/>
      <c r="B48" s="78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</row>
    <row r="49" spans="1:77" ht="15.75" customHeight="1">
      <c r="A49" s="57"/>
      <c r="B49" s="78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</row>
    <row r="50" spans="1:77" ht="15.75" customHeight="1">
      <c r="A50" s="57"/>
      <c r="B50" s="78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</row>
    <row r="51" spans="1:77" ht="15.75" customHeight="1">
      <c r="A51" s="57"/>
      <c r="B51" s="78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</row>
    <row r="52" spans="1:77" ht="15.75" customHeight="1">
      <c r="A52" s="57"/>
      <c r="B52" s="78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2"/>
  <sheetViews>
    <sheetView zoomScale="75" zoomScaleNormal="75" zoomScalePageLayoutView="0" workbookViewId="0" topLeftCell="A1">
      <pane xSplit="2" ySplit="11" topLeftCell="BK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:IV16384"/>
    </sheetView>
  </sheetViews>
  <sheetFormatPr defaultColWidth="13.28125" defaultRowHeight="15.75" customHeight="1"/>
  <cols>
    <col min="1" max="1" width="6.28125" style="34" customWidth="1"/>
    <col min="2" max="2" width="30.8515625" style="34" bestFit="1" customWidth="1"/>
    <col min="3" max="3" width="21.421875" style="34" bestFit="1" customWidth="1"/>
    <col min="4" max="4" width="10.57421875" style="34" bestFit="1" customWidth="1"/>
    <col min="5" max="5" width="5.7109375" style="34" customWidth="1"/>
    <col min="6" max="6" width="15.7109375" style="34" customWidth="1"/>
    <col min="7" max="7" width="10.57421875" style="34" bestFit="1" customWidth="1"/>
    <col min="8" max="8" width="6.421875" style="34" customWidth="1"/>
    <col min="9" max="9" width="16.421875" style="34" customWidth="1"/>
    <col min="10" max="10" width="10.57421875" style="34" bestFit="1" customWidth="1"/>
    <col min="11" max="11" width="6.28125" style="34" customWidth="1"/>
    <col min="12" max="12" width="16.140625" style="34" customWidth="1"/>
    <col min="13" max="13" width="13.8515625" style="34" customWidth="1"/>
    <col min="14" max="14" width="5.421875" style="34" customWidth="1"/>
    <col min="15" max="15" width="16.28125" style="34" customWidth="1"/>
    <col min="16" max="16" width="14.00390625" style="34" customWidth="1"/>
    <col min="17" max="17" width="5.7109375" style="34" customWidth="1"/>
    <col min="18" max="18" width="16.421875" style="34" customWidth="1"/>
    <col min="19" max="19" width="15.00390625" style="34" customWidth="1"/>
    <col min="20" max="20" width="5.57421875" style="34" customWidth="1"/>
    <col min="21" max="21" width="17.00390625" style="34" customWidth="1"/>
    <col min="22" max="22" width="15.8515625" style="34" customWidth="1"/>
    <col min="23" max="23" width="5.7109375" style="34" customWidth="1"/>
    <col min="24" max="24" width="14.140625" style="34" customWidth="1"/>
    <col min="25" max="25" width="13.8515625" style="34" customWidth="1"/>
    <col min="26" max="26" width="5.28125" style="34" customWidth="1"/>
    <col min="27" max="27" width="16.140625" style="34" customWidth="1"/>
    <col min="28" max="28" width="15.7109375" style="34" customWidth="1"/>
    <col min="29" max="29" width="5.7109375" style="34" customWidth="1"/>
    <col min="30" max="30" width="21.421875" style="34" bestFit="1" customWidth="1"/>
    <col min="31" max="31" width="10.57421875" style="34" bestFit="1" customWidth="1"/>
    <col min="32" max="32" width="5.7109375" style="34" customWidth="1"/>
    <col min="33" max="33" width="16.140625" style="34" customWidth="1"/>
    <col min="34" max="34" width="10.57421875" style="34" bestFit="1" customWidth="1"/>
    <col min="35" max="35" width="5.7109375" style="34" customWidth="1"/>
    <col min="36" max="36" width="14.00390625" style="34" customWidth="1"/>
    <col min="37" max="37" width="12.421875" style="34" customWidth="1"/>
    <col min="38" max="38" width="5.7109375" style="34" customWidth="1"/>
    <col min="39" max="39" width="21.421875" style="34" bestFit="1" customWidth="1"/>
    <col min="40" max="40" width="10.57421875" style="34" bestFit="1" customWidth="1"/>
    <col min="41" max="41" width="5.7109375" style="34" customWidth="1"/>
    <col min="42" max="42" width="21.421875" style="34" bestFit="1" customWidth="1"/>
    <col min="43" max="43" width="10.57421875" style="34" bestFit="1" customWidth="1"/>
    <col min="44" max="44" width="5.7109375" style="34" customWidth="1"/>
    <col min="45" max="45" width="21.421875" style="34" bestFit="1" customWidth="1"/>
    <col min="46" max="46" width="14.28125" style="34" customWidth="1"/>
    <col min="47" max="47" width="5.7109375" style="34" customWidth="1"/>
    <col min="48" max="48" width="21.421875" style="34" bestFit="1" customWidth="1"/>
    <col min="49" max="49" width="10.57421875" style="34" bestFit="1" customWidth="1"/>
    <col min="50" max="50" width="5.7109375" style="34" customWidth="1"/>
    <col min="51" max="51" width="21.421875" style="34" bestFit="1" customWidth="1"/>
    <col min="52" max="52" width="10.57421875" style="34" bestFit="1" customWidth="1"/>
    <col min="53" max="53" width="5.7109375" style="34" customWidth="1"/>
    <col min="54" max="54" width="21.421875" style="34" bestFit="1" customWidth="1"/>
    <col min="55" max="55" width="17.57421875" style="34" customWidth="1"/>
    <col min="56" max="56" width="5.7109375" style="34" customWidth="1"/>
    <col min="57" max="57" width="21.421875" style="34" bestFit="1" customWidth="1"/>
    <col min="58" max="58" width="10.57421875" style="34" bestFit="1" customWidth="1"/>
    <col min="59" max="59" width="3.421875" style="34" customWidth="1"/>
    <col min="60" max="60" width="21.421875" style="34" bestFit="1" customWidth="1"/>
    <col min="61" max="61" width="10.57421875" style="34" bestFit="1" customWidth="1"/>
    <col min="62" max="62" width="6.7109375" style="34" customWidth="1"/>
    <col min="63" max="63" width="23.140625" style="34" customWidth="1"/>
    <col min="64" max="64" width="14.140625" style="34" customWidth="1"/>
    <col min="65" max="65" width="7.7109375" style="34" customWidth="1"/>
    <col min="66" max="66" width="28.7109375" style="34" customWidth="1"/>
    <col min="67" max="67" width="13.140625" style="34" customWidth="1"/>
    <col min="68" max="16384" width="13.28125" style="34" customWidth="1"/>
  </cols>
  <sheetData>
    <row r="1" spans="1:68" ht="15.75" customHeight="1">
      <c r="A1" s="53" t="s">
        <v>0</v>
      </c>
      <c r="B1" s="54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55" t="s">
        <v>1</v>
      </c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56"/>
      <c r="BI1" s="56"/>
      <c r="BJ1" s="56"/>
      <c r="BK1" s="56"/>
      <c r="BL1" s="56"/>
      <c r="BM1" s="56"/>
      <c r="BN1" s="56"/>
      <c r="BO1" s="57"/>
      <c r="BP1" s="57"/>
    </row>
    <row r="2" spans="1:68" ht="15.75" customHeight="1">
      <c r="A2" s="53"/>
      <c r="B2" s="5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55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56"/>
      <c r="BI2" s="56"/>
      <c r="BJ2" s="56"/>
      <c r="BK2" s="56"/>
      <c r="BL2" s="56"/>
      <c r="BM2" s="56"/>
      <c r="BN2" s="56"/>
      <c r="BO2" s="57"/>
      <c r="BP2" s="57"/>
    </row>
    <row r="3" spans="1:68" ht="15.75" customHeight="1">
      <c r="A3" s="39"/>
      <c r="B3" s="58" t="s">
        <v>49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24"/>
      <c r="BI3" s="24"/>
      <c r="BJ3" s="24"/>
      <c r="BK3" s="24"/>
      <c r="BL3" s="24"/>
      <c r="BM3" s="24"/>
      <c r="BN3" s="24"/>
      <c r="BO3" s="57"/>
      <c r="BP3" s="57"/>
    </row>
    <row r="4" spans="1:68" ht="15.75" customHeight="1">
      <c r="A4" s="55" t="s">
        <v>2</v>
      </c>
      <c r="B4" s="39"/>
      <c r="C4" s="53" t="s">
        <v>70</v>
      </c>
      <c r="D4" s="53"/>
      <c r="E4" s="59"/>
      <c r="F4" s="53" t="s">
        <v>50</v>
      </c>
      <c r="G4" s="53"/>
      <c r="H4" s="59"/>
      <c r="I4" s="53" t="s">
        <v>65</v>
      </c>
      <c r="J4" s="53"/>
      <c r="K4" s="53"/>
      <c r="L4" s="53" t="s">
        <v>66</v>
      </c>
      <c r="M4" s="53"/>
      <c r="N4" s="59"/>
      <c r="O4" s="53" t="s">
        <v>67</v>
      </c>
      <c r="P4" s="53"/>
      <c r="Q4" s="59"/>
      <c r="R4" s="53" t="s">
        <v>68</v>
      </c>
      <c r="S4" s="53"/>
      <c r="T4" s="53"/>
      <c r="U4" s="53" t="s">
        <v>51</v>
      </c>
      <c r="V4" s="53"/>
      <c r="W4" s="53"/>
      <c r="X4" s="53" t="s">
        <v>69</v>
      </c>
      <c r="Y4" s="53"/>
      <c r="Z4" s="59"/>
      <c r="AA4" s="53" t="s">
        <v>55</v>
      </c>
      <c r="AB4" s="53"/>
      <c r="AC4" s="59"/>
      <c r="AD4" s="53" t="s">
        <v>54</v>
      </c>
      <c r="AE4" s="53"/>
      <c r="AF4" s="59"/>
      <c r="AG4" s="53" t="s">
        <v>53</v>
      </c>
      <c r="AH4" s="53"/>
      <c r="AI4" s="59"/>
      <c r="AJ4" s="53" t="s">
        <v>52</v>
      </c>
      <c r="AK4" s="53"/>
      <c r="AL4" s="59"/>
      <c r="AM4" s="53" t="s">
        <v>56</v>
      </c>
      <c r="AN4" s="53"/>
      <c r="AO4" s="59"/>
      <c r="AP4" s="53" t="s">
        <v>57</v>
      </c>
      <c r="AQ4" s="53"/>
      <c r="AR4" s="59"/>
      <c r="AS4" s="53" t="s">
        <v>58</v>
      </c>
      <c r="AT4" s="53"/>
      <c r="AU4" s="59"/>
      <c r="AV4" s="53" t="s">
        <v>59</v>
      </c>
      <c r="AW4" s="53"/>
      <c r="AX4" s="59"/>
      <c r="AY4" s="53" t="s">
        <v>60</v>
      </c>
      <c r="AZ4" s="53"/>
      <c r="BA4" s="59"/>
      <c r="BB4" s="53" t="s">
        <v>61</v>
      </c>
      <c r="BC4" s="53"/>
      <c r="BD4" s="59"/>
      <c r="BE4" s="53" t="s">
        <v>62</v>
      </c>
      <c r="BF4" s="53"/>
      <c r="BG4" s="59"/>
      <c r="BH4" s="53" t="s">
        <v>63</v>
      </c>
      <c r="BI4" s="53"/>
      <c r="BJ4" s="60"/>
      <c r="BK4" s="53" t="s">
        <v>64</v>
      </c>
      <c r="BL4" s="53"/>
      <c r="BM4" s="60"/>
      <c r="BN4" s="53" t="s">
        <v>3</v>
      </c>
      <c r="BO4" s="53"/>
      <c r="BP4" s="60"/>
    </row>
    <row r="5" spans="1:68" ht="15.75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60"/>
      <c r="BI5" s="60"/>
      <c r="BJ5" s="60"/>
      <c r="BK5" s="60"/>
      <c r="BL5" s="60"/>
      <c r="BM5" s="60"/>
      <c r="BN5" s="60"/>
      <c r="BO5" s="60"/>
      <c r="BP5" s="60"/>
    </row>
    <row r="6" spans="1:68" ht="15" customHeight="1" thickTop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</row>
    <row r="7" spans="1:68" ht="15.75" customHeight="1">
      <c r="A7" s="59"/>
      <c r="B7" s="39"/>
      <c r="C7" s="49" t="s">
        <v>4</v>
      </c>
      <c r="D7" s="49" t="s">
        <v>4</v>
      </c>
      <c r="E7" s="49"/>
      <c r="F7" s="49" t="s">
        <v>4</v>
      </c>
      <c r="G7" s="49" t="s">
        <v>4</v>
      </c>
      <c r="H7" s="49"/>
      <c r="I7" s="49" t="s">
        <v>4</v>
      </c>
      <c r="J7" s="49" t="s">
        <v>4</v>
      </c>
      <c r="K7" s="49"/>
      <c r="L7" s="49" t="s">
        <v>4</v>
      </c>
      <c r="M7" s="49" t="s">
        <v>4</v>
      </c>
      <c r="N7" s="49"/>
      <c r="O7" s="49" t="s">
        <v>4</v>
      </c>
      <c r="P7" s="49" t="s">
        <v>4</v>
      </c>
      <c r="Q7" s="49"/>
      <c r="R7" s="49" t="s">
        <v>4</v>
      </c>
      <c r="S7" s="49" t="s">
        <v>4</v>
      </c>
      <c r="T7" s="49"/>
      <c r="U7" s="49" t="s">
        <v>4</v>
      </c>
      <c r="V7" s="49" t="s">
        <v>4</v>
      </c>
      <c r="W7" s="49"/>
      <c r="X7" s="49" t="s">
        <v>4</v>
      </c>
      <c r="Y7" s="49" t="s">
        <v>4</v>
      </c>
      <c r="Z7" s="49"/>
      <c r="AA7" s="49" t="s">
        <v>4</v>
      </c>
      <c r="AB7" s="49" t="s">
        <v>4</v>
      </c>
      <c r="AC7" s="49"/>
      <c r="AD7" s="49" t="s">
        <v>4</v>
      </c>
      <c r="AE7" s="49" t="s">
        <v>4</v>
      </c>
      <c r="AF7" s="49"/>
      <c r="AG7" s="49" t="s">
        <v>4</v>
      </c>
      <c r="AH7" s="49" t="s">
        <v>4</v>
      </c>
      <c r="AI7" s="49"/>
      <c r="AJ7" s="49" t="s">
        <v>4</v>
      </c>
      <c r="AK7" s="49" t="s">
        <v>4</v>
      </c>
      <c r="AL7" s="49"/>
      <c r="AM7" s="49" t="s">
        <v>4</v>
      </c>
      <c r="AN7" s="49" t="s">
        <v>4</v>
      </c>
      <c r="AO7" s="49"/>
      <c r="AP7" s="49" t="s">
        <v>4</v>
      </c>
      <c r="AQ7" s="49" t="s">
        <v>4</v>
      </c>
      <c r="AR7" s="49"/>
      <c r="AS7" s="49" t="s">
        <v>4</v>
      </c>
      <c r="AT7" s="49" t="s">
        <v>4</v>
      </c>
      <c r="AU7" s="49"/>
      <c r="AV7" s="49" t="s">
        <v>4</v>
      </c>
      <c r="AW7" s="49" t="s">
        <v>4</v>
      </c>
      <c r="AX7" s="49"/>
      <c r="AY7" s="49" t="s">
        <v>4</v>
      </c>
      <c r="AZ7" s="49" t="s">
        <v>4</v>
      </c>
      <c r="BA7" s="49"/>
      <c r="BB7" s="49" t="s">
        <v>4</v>
      </c>
      <c r="BC7" s="49" t="s">
        <v>4</v>
      </c>
      <c r="BD7" s="49"/>
      <c r="BE7" s="49" t="s">
        <v>4</v>
      </c>
      <c r="BF7" s="49" t="s">
        <v>4</v>
      </c>
      <c r="BG7" s="49"/>
      <c r="BH7" s="49" t="s">
        <v>4</v>
      </c>
      <c r="BI7" s="49" t="s">
        <v>4</v>
      </c>
      <c r="BJ7" s="49"/>
      <c r="BK7" s="49" t="s">
        <v>4</v>
      </c>
      <c r="BL7" s="49" t="s">
        <v>4</v>
      </c>
      <c r="BM7" s="49"/>
      <c r="BN7" s="49" t="s">
        <v>5</v>
      </c>
      <c r="BO7" s="49" t="s">
        <v>5</v>
      </c>
      <c r="BP7" s="49"/>
    </row>
    <row r="8" spans="1:68" ht="15.75" customHeight="1">
      <c r="A8" s="39"/>
      <c r="B8" s="61" t="s">
        <v>6</v>
      </c>
      <c r="C8" s="49" t="s">
        <v>7</v>
      </c>
      <c r="D8" s="49" t="s">
        <v>7</v>
      </c>
      <c r="E8" s="49"/>
      <c r="F8" s="49" t="s">
        <v>7</v>
      </c>
      <c r="G8" s="49" t="s">
        <v>7</v>
      </c>
      <c r="H8" s="49"/>
      <c r="I8" s="49" t="s">
        <v>7</v>
      </c>
      <c r="J8" s="49" t="s">
        <v>7</v>
      </c>
      <c r="K8" s="49"/>
      <c r="L8" s="49" t="s">
        <v>7</v>
      </c>
      <c r="M8" s="49" t="s">
        <v>7</v>
      </c>
      <c r="N8" s="49"/>
      <c r="O8" s="49" t="s">
        <v>7</v>
      </c>
      <c r="P8" s="49" t="s">
        <v>7</v>
      </c>
      <c r="Q8" s="49"/>
      <c r="R8" s="49" t="s">
        <v>7</v>
      </c>
      <c r="S8" s="49" t="s">
        <v>7</v>
      </c>
      <c r="T8" s="49"/>
      <c r="U8" s="49" t="s">
        <v>7</v>
      </c>
      <c r="V8" s="49" t="s">
        <v>7</v>
      </c>
      <c r="W8" s="49"/>
      <c r="X8" s="49" t="s">
        <v>7</v>
      </c>
      <c r="Y8" s="49" t="s">
        <v>7</v>
      </c>
      <c r="Z8" s="49"/>
      <c r="AA8" s="49" t="s">
        <v>7</v>
      </c>
      <c r="AB8" s="49" t="s">
        <v>7</v>
      </c>
      <c r="AC8" s="49"/>
      <c r="AD8" s="49" t="s">
        <v>7</v>
      </c>
      <c r="AE8" s="49" t="s">
        <v>7</v>
      </c>
      <c r="AF8" s="49"/>
      <c r="AG8" s="49" t="s">
        <v>7</v>
      </c>
      <c r="AH8" s="49" t="s">
        <v>7</v>
      </c>
      <c r="AI8" s="49"/>
      <c r="AJ8" s="49" t="s">
        <v>7</v>
      </c>
      <c r="AK8" s="49" t="s">
        <v>7</v>
      </c>
      <c r="AL8" s="49"/>
      <c r="AM8" s="49" t="s">
        <v>7</v>
      </c>
      <c r="AN8" s="49" t="s">
        <v>7</v>
      </c>
      <c r="AO8" s="49"/>
      <c r="AP8" s="49" t="s">
        <v>7</v>
      </c>
      <c r="AQ8" s="49" t="s">
        <v>7</v>
      </c>
      <c r="AR8" s="49"/>
      <c r="AS8" s="49" t="s">
        <v>7</v>
      </c>
      <c r="AT8" s="49" t="s">
        <v>7</v>
      </c>
      <c r="AU8" s="49"/>
      <c r="AV8" s="49" t="s">
        <v>7</v>
      </c>
      <c r="AW8" s="49" t="s">
        <v>7</v>
      </c>
      <c r="AX8" s="49"/>
      <c r="AY8" s="49" t="s">
        <v>7</v>
      </c>
      <c r="AZ8" s="49" t="s">
        <v>7</v>
      </c>
      <c r="BA8" s="49"/>
      <c r="BB8" s="49" t="s">
        <v>7</v>
      </c>
      <c r="BC8" s="49" t="s">
        <v>7</v>
      </c>
      <c r="BD8" s="49"/>
      <c r="BE8" s="49" t="s">
        <v>7</v>
      </c>
      <c r="BF8" s="49" t="s">
        <v>7</v>
      </c>
      <c r="BG8" s="49"/>
      <c r="BH8" s="49" t="s">
        <v>7</v>
      </c>
      <c r="BI8" s="49" t="s">
        <v>7</v>
      </c>
      <c r="BJ8" s="49"/>
      <c r="BK8" s="49" t="s">
        <v>7</v>
      </c>
      <c r="BL8" s="49" t="s">
        <v>7</v>
      </c>
      <c r="BM8" s="49"/>
      <c r="BN8" s="49" t="s">
        <v>8</v>
      </c>
      <c r="BO8" s="49" t="s">
        <v>9</v>
      </c>
      <c r="BP8" s="49"/>
    </row>
    <row r="9" spans="1:68" ht="15.75" customHeight="1">
      <c r="A9" s="39"/>
      <c r="B9" s="39"/>
      <c r="C9" s="49" t="s">
        <v>10</v>
      </c>
      <c r="D9" s="49" t="s">
        <v>9</v>
      </c>
      <c r="E9" s="49"/>
      <c r="F9" s="49" t="s">
        <v>10</v>
      </c>
      <c r="G9" s="49" t="s">
        <v>9</v>
      </c>
      <c r="H9" s="49"/>
      <c r="I9" s="49" t="s">
        <v>10</v>
      </c>
      <c r="J9" s="49" t="s">
        <v>9</v>
      </c>
      <c r="K9" s="49"/>
      <c r="L9" s="49" t="s">
        <v>10</v>
      </c>
      <c r="M9" s="49" t="s">
        <v>9</v>
      </c>
      <c r="N9" s="49"/>
      <c r="O9" s="49" t="s">
        <v>10</v>
      </c>
      <c r="P9" s="49" t="s">
        <v>9</v>
      </c>
      <c r="Q9" s="49"/>
      <c r="R9" s="49" t="s">
        <v>10</v>
      </c>
      <c r="S9" s="49" t="s">
        <v>9</v>
      </c>
      <c r="T9" s="49"/>
      <c r="U9" s="49" t="s">
        <v>10</v>
      </c>
      <c r="V9" s="49" t="s">
        <v>9</v>
      </c>
      <c r="W9" s="49"/>
      <c r="X9" s="49" t="s">
        <v>10</v>
      </c>
      <c r="Y9" s="49" t="s">
        <v>9</v>
      </c>
      <c r="Z9" s="49"/>
      <c r="AA9" s="49" t="s">
        <v>10</v>
      </c>
      <c r="AB9" s="49" t="s">
        <v>9</v>
      </c>
      <c r="AC9" s="49"/>
      <c r="AD9" s="49" t="s">
        <v>10</v>
      </c>
      <c r="AE9" s="49" t="s">
        <v>9</v>
      </c>
      <c r="AF9" s="49"/>
      <c r="AG9" s="49" t="s">
        <v>10</v>
      </c>
      <c r="AH9" s="49" t="s">
        <v>9</v>
      </c>
      <c r="AI9" s="49"/>
      <c r="AJ9" s="49" t="s">
        <v>10</v>
      </c>
      <c r="AK9" s="49" t="s">
        <v>9</v>
      </c>
      <c r="AL9" s="49"/>
      <c r="AM9" s="49" t="s">
        <v>10</v>
      </c>
      <c r="AN9" s="49" t="s">
        <v>9</v>
      </c>
      <c r="AO9" s="49"/>
      <c r="AP9" s="49" t="s">
        <v>10</v>
      </c>
      <c r="AQ9" s="49" t="s">
        <v>9</v>
      </c>
      <c r="AR9" s="49"/>
      <c r="AS9" s="49" t="s">
        <v>10</v>
      </c>
      <c r="AT9" s="49" t="s">
        <v>9</v>
      </c>
      <c r="AU9" s="49"/>
      <c r="AV9" s="49" t="s">
        <v>10</v>
      </c>
      <c r="AW9" s="49" t="s">
        <v>9</v>
      </c>
      <c r="AX9" s="49"/>
      <c r="AY9" s="49" t="s">
        <v>10</v>
      </c>
      <c r="AZ9" s="49" t="s">
        <v>9</v>
      </c>
      <c r="BA9" s="49"/>
      <c r="BB9" s="49" t="s">
        <v>10</v>
      </c>
      <c r="BC9" s="49" t="s">
        <v>9</v>
      </c>
      <c r="BD9" s="49"/>
      <c r="BE9" s="49" t="s">
        <v>10</v>
      </c>
      <c r="BF9" s="49" t="s">
        <v>9</v>
      </c>
      <c r="BG9" s="49"/>
      <c r="BH9" s="49" t="s">
        <v>10</v>
      </c>
      <c r="BI9" s="49" t="s">
        <v>9</v>
      </c>
      <c r="BJ9" s="49"/>
      <c r="BK9" s="49" t="s">
        <v>10</v>
      </c>
      <c r="BL9" s="49" t="s">
        <v>9</v>
      </c>
      <c r="BM9" s="49"/>
      <c r="BN9" s="49" t="s">
        <v>7</v>
      </c>
      <c r="BO9" s="49" t="s">
        <v>11</v>
      </c>
      <c r="BP9" s="49"/>
    </row>
    <row r="10" spans="1:69" ht="15.75" customHeight="1">
      <c r="A10" s="39"/>
      <c r="B10" s="39"/>
      <c r="C10" s="39"/>
      <c r="D10" s="49" t="s">
        <v>12</v>
      </c>
      <c r="E10" s="49"/>
      <c r="F10" s="39"/>
      <c r="G10" s="49" t="s">
        <v>12</v>
      </c>
      <c r="H10" s="49"/>
      <c r="I10" s="39"/>
      <c r="J10" s="49" t="s">
        <v>12</v>
      </c>
      <c r="K10" s="39"/>
      <c r="L10" s="39"/>
      <c r="M10" s="49" t="s">
        <v>12</v>
      </c>
      <c r="N10" s="49"/>
      <c r="O10" s="39"/>
      <c r="P10" s="49" t="s">
        <v>12</v>
      </c>
      <c r="Q10" s="49"/>
      <c r="R10" s="39"/>
      <c r="S10" s="49" t="s">
        <v>12</v>
      </c>
      <c r="T10" s="49"/>
      <c r="U10" s="39"/>
      <c r="V10" s="49" t="s">
        <v>12</v>
      </c>
      <c r="W10" s="49"/>
      <c r="X10" s="55" t="s">
        <v>13</v>
      </c>
      <c r="Y10" s="49" t="s">
        <v>12</v>
      </c>
      <c r="Z10" s="49"/>
      <c r="AA10" s="55" t="s">
        <v>13</v>
      </c>
      <c r="AB10" s="49" t="s">
        <v>12</v>
      </c>
      <c r="AC10" s="49"/>
      <c r="AD10" s="39"/>
      <c r="AE10" s="49" t="s">
        <v>12</v>
      </c>
      <c r="AF10" s="49"/>
      <c r="AG10" s="39"/>
      <c r="AH10" s="49" t="s">
        <v>12</v>
      </c>
      <c r="AI10" s="49"/>
      <c r="AJ10" s="39"/>
      <c r="AK10" s="49" t="s">
        <v>12</v>
      </c>
      <c r="AL10" s="49"/>
      <c r="AM10" s="39"/>
      <c r="AN10" s="49" t="s">
        <v>12</v>
      </c>
      <c r="AO10" s="49"/>
      <c r="AP10" s="39"/>
      <c r="AQ10" s="49" t="s">
        <v>12</v>
      </c>
      <c r="AR10" s="49"/>
      <c r="AS10" s="39"/>
      <c r="AT10" s="49" t="s">
        <v>12</v>
      </c>
      <c r="AU10" s="49"/>
      <c r="AV10" s="39"/>
      <c r="AW10" s="49" t="s">
        <v>12</v>
      </c>
      <c r="AX10" s="49"/>
      <c r="AY10" s="39"/>
      <c r="AZ10" s="49" t="s">
        <v>12</v>
      </c>
      <c r="BA10" s="49"/>
      <c r="BB10" s="39"/>
      <c r="BC10" s="49" t="s">
        <v>12</v>
      </c>
      <c r="BD10" s="49"/>
      <c r="BE10" s="39"/>
      <c r="BF10" s="49" t="s">
        <v>12</v>
      </c>
      <c r="BG10" s="49"/>
      <c r="BH10" s="39"/>
      <c r="BI10" s="49" t="s">
        <v>12</v>
      </c>
      <c r="BJ10" s="49"/>
      <c r="BK10" s="39"/>
      <c r="BL10" s="49" t="s">
        <v>12</v>
      </c>
      <c r="BM10" s="49"/>
      <c r="BN10" s="49" t="s">
        <v>10</v>
      </c>
      <c r="BO10" s="49" t="s">
        <v>12</v>
      </c>
      <c r="BP10" s="49"/>
      <c r="BQ10" s="62"/>
    </row>
    <row r="11" spans="1:68" ht="15.75" customHeight="1" thickBo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</row>
    <row r="12" spans="1:68" ht="15.75" customHeight="1" thickTop="1">
      <c r="A12" s="31" t="s">
        <v>2</v>
      </c>
      <c r="B12" s="32"/>
      <c r="C12" s="33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</row>
    <row r="13" spans="1:68" ht="15.75" customHeight="1">
      <c r="A13" s="35">
        <v>1</v>
      </c>
      <c r="B13" s="36" t="s">
        <v>14</v>
      </c>
      <c r="C13" s="37">
        <v>106.31</v>
      </c>
      <c r="D13" s="38">
        <v>77.58</v>
      </c>
      <c r="E13" s="39"/>
      <c r="F13" s="37">
        <v>106.91</v>
      </c>
      <c r="G13" s="38">
        <v>77.6</v>
      </c>
      <c r="H13" s="39"/>
      <c r="I13" s="37">
        <v>107.61</v>
      </c>
      <c r="J13" s="38">
        <v>77.92</v>
      </c>
      <c r="K13" s="39"/>
      <c r="L13" s="37">
        <v>106.5</v>
      </c>
      <c r="M13" s="38">
        <v>80.22</v>
      </c>
      <c r="N13" s="39"/>
      <c r="O13" s="37">
        <v>106.38</v>
      </c>
      <c r="P13" s="38">
        <v>79.18</v>
      </c>
      <c r="Q13" s="39"/>
      <c r="R13" s="37">
        <v>107.5</v>
      </c>
      <c r="S13" s="38">
        <v>79.7</v>
      </c>
      <c r="T13" s="39"/>
      <c r="U13" s="37">
        <v>106.7</v>
      </c>
      <c r="V13" s="38">
        <v>79.74</v>
      </c>
      <c r="W13" s="39"/>
      <c r="X13" s="37">
        <v>106.98</v>
      </c>
      <c r="Y13" s="38">
        <v>79.79</v>
      </c>
      <c r="Z13" s="39"/>
      <c r="AA13" s="37">
        <v>107.6</v>
      </c>
      <c r="AB13" s="38">
        <v>78.78</v>
      </c>
      <c r="AC13" s="39"/>
      <c r="AD13" s="37">
        <v>108.2</v>
      </c>
      <c r="AE13" s="38">
        <v>78.1</v>
      </c>
      <c r="AF13" s="39"/>
      <c r="AG13" s="37">
        <v>107.91</v>
      </c>
      <c r="AH13" s="38">
        <v>77.94</v>
      </c>
      <c r="AI13" s="39"/>
      <c r="AJ13" s="37">
        <v>108.2</v>
      </c>
      <c r="AK13" s="38">
        <v>77.68</v>
      </c>
      <c r="AL13" s="39"/>
      <c r="AM13" s="37">
        <v>107.4</v>
      </c>
      <c r="AN13" s="38">
        <v>77.89</v>
      </c>
      <c r="AO13" s="39"/>
      <c r="AP13" s="37">
        <v>107.89</v>
      </c>
      <c r="AQ13" s="38">
        <v>77.68</v>
      </c>
      <c r="AR13" s="39"/>
      <c r="AS13" s="37">
        <v>108.17</v>
      </c>
      <c r="AT13" s="38">
        <v>77.33</v>
      </c>
      <c r="AU13" s="39"/>
      <c r="AV13" s="37">
        <v>107.03</v>
      </c>
      <c r="AW13" s="38">
        <v>77.79</v>
      </c>
      <c r="AX13" s="39"/>
      <c r="AY13" s="37">
        <v>107.73</v>
      </c>
      <c r="AZ13" s="38">
        <v>77.44</v>
      </c>
      <c r="BA13" s="39"/>
      <c r="BB13" s="37">
        <v>107.88</v>
      </c>
      <c r="BC13" s="38">
        <v>77.31</v>
      </c>
      <c r="BD13" s="39"/>
      <c r="BE13" s="37">
        <v>106.32</v>
      </c>
      <c r="BF13" s="38">
        <v>77.87</v>
      </c>
      <c r="BG13" s="39"/>
      <c r="BH13" s="37">
        <v>106.47</v>
      </c>
      <c r="BI13" s="38">
        <v>77.61</v>
      </c>
      <c r="BJ13" s="39"/>
      <c r="BK13" s="37">
        <v>104.39</v>
      </c>
      <c r="BL13" s="38">
        <v>79.1</v>
      </c>
      <c r="BM13" s="39"/>
      <c r="BN13" s="50">
        <f>(C13+F13+I13+L13+O13+R13+U13+X13+AA13+AD13+AG13+AJ13+AM13+AP13+AS13+AV13+AY13+BB13+BE13+BH13+BK13)/21</f>
        <v>107.14666666666669</v>
      </c>
      <c r="BO13" s="50">
        <f>(D13+G13+J13+M13+P13+S13+V13+Y13+AB13+AE13+AH13+AK13+AN13+AQ13+AT13+AW13+AZ13+BC13+BF13+BI13+BL13)/21</f>
        <v>78.29761904761904</v>
      </c>
      <c r="BP13" s="39"/>
    </row>
    <row r="14" spans="1:68" ht="15.75" customHeight="1">
      <c r="A14" s="35">
        <v>2</v>
      </c>
      <c r="B14" s="36" t="s">
        <v>15</v>
      </c>
      <c r="C14" s="37">
        <f>1/1.9909</f>
        <v>0.5022853985634638</v>
      </c>
      <c r="D14" s="38">
        <v>164.2</v>
      </c>
      <c r="E14" s="39"/>
      <c r="F14" s="37">
        <f>1/1.9762</f>
        <v>0.5060216577269507</v>
      </c>
      <c r="G14" s="38">
        <v>163.96</v>
      </c>
      <c r="H14" s="39"/>
      <c r="I14" s="37">
        <f>1/1.9673</f>
        <v>0.5083108829360037</v>
      </c>
      <c r="J14" s="38">
        <v>164.97</v>
      </c>
      <c r="K14" s="39"/>
      <c r="L14" s="37">
        <f>1/1.9579</f>
        <v>0.5107513151846366</v>
      </c>
      <c r="M14" s="38">
        <v>167.28</v>
      </c>
      <c r="N14" s="39"/>
      <c r="O14" s="37">
        <f>1/1.9513</f>
        <v>0.5124788602470148</v>
      </c>
      <c r="P14" s="38">
        <v>164.37</v>
      </c>
      <c r="Q14" s="39"/>
      <c r="R14" s="37">
        <f>1/1.9487</f>
        <v>0.5131626212346693</v>
      </c>
      <c r="S14" s="38">
        <v>166.95</v>
      </c>
      <c r="T14" s="39"/>
      <c r="U14" s="37">
        <f>1/1.9517</f>
        <v>0.5123738279448686</v>
      </c>
      <c r="V14" s="38">
        <v>166.06</v>
      </c>
      <c r="W14" s="39"/>
      <c r="X14" s="37">
        <f>1/1.9471</f>
        <v>0.5135843048636434</v>
      </c>
      <c r="Y14" s="38">
        <v>166.2</v>
      </c>
      <c r="Z14" s="39"/>
      <c r="AA14" s="37">
        <f>1/1.964</f>
        <v>0.5091649694501018</v>
      </c>
      <c r="AB14" s="38">
        <v>166.49</v>
      </c>
      <c r="AC14" s="39"/>
      <c r="AD14" s="37">
        <f>1/1.9706</f>
        <v>0.5074596569572719</v>
      </c>
      <c r="AE14" s="38">
        <v>166.53</v>
      </c>
      <c r="AF14" s="39"/>
      <c r="AG14" s="37">
        <f>1/1.9609</f>
        <v>0.5099699117752052</v>
      </c>
      <c r="AH14" s="38">
        <v>164.93</v>
      </c>
      <c r="AI14" s="39"/>
      <c r="AJ14" s="37">
        <f>1/1.9515</f>
        <v>0.5124263387138099</v>
      </c>
      <c r="AK14" s="38">
        <v>164.01</v>
      </c>
      <c r="AL14" s="39"/>
      <c r="AM14" s="37">
        <f>1/1.9472</f>
        <v>0.5135579293344289</v>
      </c>
      <c r="AN14" s="38">
        <v>162.89</v>
      </c>
      <c r="AO14" s="39"/>
      <c r="AP14" s="37">
        <f>1/1.9454</f>
        <v>0.5140331037318804</v>
      </c>
      <c r="AQ14" s="38">
        <v>163.03</v>
      </c>
      <c r="AR14" s="39"/>
      <c r="AS14" s="37">
        <f>1/1.9579</f>
        <v>0.5107513151846366</v>
      </c>
      <c r="AT14" s="38">
        <v>163.78</v>
      </c>
      <c r="AU14" s="39"/>
      <c r="AV14" s="37">
        <f>1/1.9668</f>
        <v>0.508440105755542</v>
      </c>
      <c r="AW14" s="38">
        <v>163.76</v>
      </c>
      <c r="AX14" s="39"/>
      <c r="AY14" s="37">
        <f>1/1.9644</f>
        <v>0.509061290979434</v>
      </c>
      <c r="AZ14" s="38">
        <v>163.88</v>
      </c>
      <c r="BA14" s="39"/>
      <c r="BB14" s="37">
        <f>1/1.9715</f>
        <v>0.507227998985544</v>
      </c>
      <c r="BC14" s="38">
        <v>164.43</v>
      </c>
      <c r="BD14" s="39"/>
      <c r="BE14" s="37">
        <f>1/1.9894</f>
        <v>0.5026641198351262</v>
      </c>
      <c r="BF14" s="38">
        <v>164.7</v>
      </c>
      <c r="BG14" s="39"/>
      <c r="BH14" s="37">
        <f>1/1.9819</f>
        <v>0.5045663252434532</v>
      </c>
      <c r="BI14" s="38">
        <v>163.76</v>
      </c>
      <c r="BJ14" s="39"/>
      <c r="BK14" s="37">
        <f>1/1.982</f>
        <v>0.5045408678102926</v>
      </c>
      <c r="BL14" s="38">
        <v>163.67</v>
      </c>
      <c r="BM14" s="39"/>
      <c r="BN14" s="50">
        <f aca="true" t="shared" si="0" ref="BN14:BO25">(C14+F14+I14+L14+O14+R14+U14+X14+AA14+AD14+AG14+AJ14+AM14+AP14+AS14+AV14+AY14+BB14+BE14+BH14+BK14)/21</f>
        <v>0.5091825144027609</v>
      </c>
      <c r="BO14" s="50">
        <f t="shared" si="0"/>
        <v>164.75476190476192</v>
      </c>
      <c r="BP14" s="39"/>
    </row>
    <row r="15" spans="1:68" ht="15.75" customHeight="1">
      <c r="A15" s="35">
        <v>3</v>
      </c>
      <c r="B15" s="36" t="s">
        <v>16</v>
      </c>
      <c r="C15" s="37">
        <v>1.0786</v>
      </c>
      <c r="D15" s="38">
        <v>76.46</v>
      </c>
      <c r="E15" s="39"/>
      <c r="F15" s="37">
        <v>1.0897</v>
      </c>
      <c r="G15" s="38">
        <v>76.14</v>
      </c>
      <c r="H15" s="39"/>
      <c r="I15" s="37">
        <v>1.1029</v>
      </c>
      <c r="J15" s="38">
        <v>76.03</v>
      </c>
      <c r="K15" s="39"/>
      <c r="L15" s="37">
        <v>1.0982</v>
      </c>
      <c r="M15" s="38">
        <v>77.8</v>
      </c>
      <c r="N15" s="39"/>
      <c r="O15" s="37">
        <v>1.0944</v>
      </c>
      <c r="P15" s="38">
        <v>76.97</v>
      </c>
      <c r="Q15" s="39"/>
      <c r="R15" s="37">
        <v>1.1053</v>
      </c>
      <c r="S15" s="38">
        <v>77.51</v>
      </c>
      <c r="T15" s="39"/>
      <c r="U15" s="37">
        <v>1.0966</v>
      </c>
      <c r="V15" s="38">
        <v>77.59</v>
      </c>
      <c r="W15" s="39"/>
      <c r="X15" s="37">
        <v>1.102</v>
      </c>
      <c r="Y15" s="38">
        <v>77.46</v>
      </c>
      <c r="Z15" s="39"/>
      <c r="AA15" s="37">
        <v>1.1025</v>
      </c>
      <c r="AB15" s="38">
        <v>76.89</v>
      </c>
      <c r="AC15" s="39"/>
      <c r="AD15" s="37">
        <v>1.105</v>
      </c>
      <c r="AE15" s="38">
        <v>76.48</v>
      </c>
      <c r="AF15" s="39"/>
      <c r="AG15" s="37">
        <v>1.0943</v>
      </c>
      <c r="AH15" s="38">
        <v>76.86</v>
      </c>
      <c r="AI15" s="39"/>
      <c r="AJ15" s="37">
        <v>1.1013</v>
      </c>
      <c r="AK15" s="38">
        <v>76.31</v>
      </c>
      <c r="AL15" s="39"/>
      <c r="AM15" s="37">
        <v>1.0943</v>
      </c>
      <c r="AN15" s="38">
        <v>76.44</v>
      </c>
      <c r="AO15" s="39"/>
      <c r="AP15" s="37">
        <v>1.0976</v>
      </c>
      <c r="AQ15" s="38">
        <v>76.35</v>
      </c>
      <c r="AR15" s="39"/>
      <c r="AS15" s="37">
        <v>1.0988</v>
      </c>
      <c r="AT15" s="38">
        <v>76.13</v>
      </c>
      <c r="AU15" s="39"/>
      <c r="AV15" s="37">
        <v>1.0865</v>
      </c>
      <c r="AW15" s="38">
        <v>76.63</v>
      </c>
      <c r="AX15" s="39"/>
      <c r="AY15" s="37">
        <v>1.0901</v>
      </c>
      <c r="AZ15" s="38">
        <v>76.53</v>
      </c>
      <c r="BA15" s="39"/>
      <c r="BB15" s="37">
        <v>1.0863</v>
      </c>
      <c r="BC15" s="38">
        <v>76.78</v>
      </c>
      <c r="BD15" s="39"/>
      <c r="BE15" s="37">
        <v>1.0682</v>
      </c>
      <c r="BF15" s="38">
        <v>77.5</v>
      </c>
      <c r="BG15" s="39"/>
      <c r="BH15" s="37">
        <v>1.0634</v>
      </c>
      <c r="BI15" s="38">
        <v>77.7</v>
      </c>
      <c r="BJ15" s="39"/>
      <c r="BK15" s="37">
        <v>1.0487</v>
      </c>
      <c r="BL15" s="38">
        <v>78.74</v>
      </c>
      <c r="BM15" s="39"/>
      <c r="BN15" s="50">
        <f t="shared" si="0"/>
        <v>1.0907000000000002</v>
      </c>
      <c r="BO15" s="50">
        <f t="shared" si="0"/>
        <v>76.91904761904763</v>
      </c>
      <c r="BP15" s="39"/>
    </row>
    <row r="16" spans="1:68" ht="15.75" customHeight="1">
      <c r="A16" s="35">
        <v>4</v>
      </c>
      <c r="B16" s="36" t="s">
        <v>17</v>
      </c>
      <c r="C16" s="37">
        <f>1/1.4878</f>
        <v>0.6721333512568893</v>
      </c>
      <c r="D16" s="38">
        <v>122.58</v>
      </c>
      <c r="E16" s="39"/>
      <c r="F16" s="37">
        <f>1/1.4819</f>
        <v>0.674809366354005</v>
      </c>
      <c r="G16" s="38">
        <v>122.91</v>
      </c>
      <c r="H16" s="39"/>
      <c r="I16" s="37">
        <f>1/1.4683</f>
        <v>0.6810597289382279</v>
      </c>
      <c r="J16" s="38">
        <v>123.26</v>
      </c>
      <c r="K16" s="39"/>
      <c r="L16" s="37">
        <f>1/1.4606</f>
        <v>0.6846501437765302</v>
      </c>
      <c r="M16" s="38">
        <v>124.95</v>
      </c>
      <c r="N16" s="39"/>
      <c r="O16" s="37">
        <f>1/1.4634</f>
        <v>0.6833401667350006</v>
      </c>
      <c r="P16" s="38">
        <v>123.34</v>
      </c>
      <c r="Q16" s="39"/>
      <c r="R16" s="37">
        <f>1/1.4481</f>
        <v>0.6905600441958428</v>
      </c>
      <c r="S16" s="38">
        <v>124.12</v>
      </c>
      <c r="T16" s="39"/>
      <c r="U16" s="37">
        <f>1/1.4554</f>
        <v>0.687096330905593</v>
      </c>
      <c r="V16" s="38">
        <v>123.85</v>
      </c>
      <c r="W16" s="39"/>
      <c r="X16" s="37">
        <f>1/1.4512</f>
        <v>0.6890848952590959</v>
      </c>
      <c r="Y16" s="38">
        <v>123.92</v>
      </c>
      <c r="Z16" s="39"/>
      <c r="AA16" s="37">
        <f>1/1.4593</f>
        <v>0.6852600561913246</v>
      </c>
      <c r="AB16" s="38">
        <v>123.61</v>
      </c>
      <c r="AC16" s="39"/>
      <c r="AD16" s="37">
        <f>1/1.462</f>
        <v>0.6839945280437757</v>
      </c>
      <c r="AE16" s="38">
        <v>123.46</v>
      </c>
      <c r="AF16" s="39"/>
      <c r="AG16" s="37">
        <f>1/1.4679</f>
        <v>0.6812453164384495</v>
      </c>
      <c r="AH16" s="38">
        <v>123.39</v>
      </c>
      <c r="AI16" s="39"/>
      <c r="AJ16" s="37">
        <f>1/1.4632</f>
        <v>0.683433570256971</v>
      </c>
      <c r="AK16" s="38">
        <v>123.03</v>
      </c>
      <c r="AL16" s="39"/>
      <c r="AM16" s="37">
        <f>1/1.473</f>
        <v>0.678886625933469</v>
      </c>
      <c r="AN16" s="38">
        <v>123.16</v>
      </c>
      <c r="AO16" s="39"/>
      <c r="AP16" s="37">
        <f>1/1.4709</f>
        <v>0.6798558705554422</v>
      </c>
      <c r="AQ16" s="38">
        <v>123.25</v>
      </c>
      <c r="AR16" s="39"/>
      <c r="AS16" s="37">
        <f>1/1.4741</f>
        <v>0.6783800284919612</v>
      </c>
      <c r="AT16" s="38">
        <v>123.28</v>
      </c>
      <c r="AU16" s="39"/>
      <c r="AV16" s="37">
        <f>1/1.4835</f>
        <v>0.6740815638692281</v>
      </c>
      <c r="AW16" s="38">
        <v>123.36</v>
      </c>
      <c r="AX16" s="39"/>
      <c r="AY16" s="37">
        <f>1/1.4809</f>
        <v>0.6752650415288</v>
      </c>
      <c r="AZ16" s="38">
        <v>123.53</v>
      </c>
      <c r="BA16" s="39"/>
      <c r="BB16" s="37">
        <f>1/1.4872</f>
        <v>0.6724045185583647</v>
      </c>
      <c r="BC16" s="38">
        <v>123.82</v>
      </c>
      <c r="BD16" s="39"/>
      <c r="BE16" s="37">
        <f>1/1.5059</f>
        <v>0.6640547181087721</v>
      </c>
      <c r="BF16" s="38">
        <v>124.58</v>
      </c>
      <c r="BG16" s="39"/>
      <c r="BH16" s="37">
        <f>1/1.5097</f>
        <v>0.6623832549513148</v>
      </c>
      <c r="BI16" s="38">
        <v>124.65</v>
      </c>
      <c r="BJ16" s="39"/>
      <c r="BK16" s="37">
        <f>1/1.5195</f>
        <v>0.6581112207963146</v>
      </c>
      <c r="BL16" s="38">
        <v>125.34</v>
      </c>
      <c r="BM16" s="39"/>
      <c r="BN16" s="50">
        <f t="shared" si="0"/>
        <v>0.6780995400545416</v>
      </c>
      <c r="BO16" s="50">
        <f t="shared" si="0"/>
        <v>123.6852380952381</v>
      </c>
      <c r="BP16" s="39"/>
    </row>
    <row r="17" spans="1:68" ht="15.75" customHeight="1">
      <c r="A17" s="35">
        <v>5</v>
      </c>
      <c r="B17" s="36" t="s">
        <v>18</v>
      </c>
      <c r="C17" s="37">
        <v>933.3</v>
      </c>
      <c r="D17" s="38">
        <v>76972.17</v>
      </c>
      <c r="E17" s="39"/>
      <c r="F17" s="37">
        <v>899.4</v>
      </c>
      <c r="G17" s="38">
        <v>74620.97</v>
      </c>
      <c r="H17" s="39"/>
      <c r="I17" s="37">
        <v>889.6</v>
      </c>
      <c r="J17" s="38">
        <v>74597.41</v>
      </c>
      <c r="K17" s="39"/>
      <c r="L17" s="37">
        <v>892.9</v>
      </c>
      <c r="M17" s="38">
        <v>76287.14</v>
      </c>
      <c r="N17" s="39"/>
      <c r="O17" s="37">
        <v>907.7</v>
      </c>
      <c r="P17" s="38">
        <v>76461.24</v>
      </c>
      <c r="Q17" s="39"/>
      <c r="R17" s="37">
        <v>914.25</v>
      </c>
      <c r="S17" s="38">
        <v>78326.65</v>
      </c>
      <c r="T17" s="39"/>
      <c r="U17" s="37">
        <v>924.5</v>
      </c>
      <c r="V17" s="38">
        <v>78661.66</v>
      </c>
      <c r="W17" s="39"/>
      <c r="X17" s="37">
        <v>919.7</v>
      </c>
      <c r="Y17" s="38">
        <v>78501.57</v>
      </c>
      <c r="Z17" s="39"/>
      <c r="AA17" s="37">
        <v>904.6</v>
      </c>
      <c r="AB17" s="38">
        <v>76685.2</v>
      </c>
      <c r="AC17" s="39"/>
      <c r="AD17" s="37">
        <v>910.85</v>
      </c>
      <c r="AE17" s="38">
        <v>76971.95</v>
      </c>
      <c r="AF17" s="39"/>
      <c r="AG17" s="37">
        <v>909.3</v>
      </c>
      <c r="AH17" s="38">
        <v>76478.95</v>
      </c>
      <c r="AI17" s="39"/>
      <c r="AJ17" s="37">
        <v>906.5</v>
      </c>
      <c r="AK17" s="38">
        <v>76186.79</v>
      </c>
      <c r="AL17" s="39"/>
      <c r="AM17" s="37">
        <v>916.4</v>
      </c>
      <c r="AN17" s="38">
        <v>76658.01</v>
      </c>
      <c r="AO17" s="39"/>
      <c r="AP17" s="37">
        <v>925.1</v>
      </c>
      <c r="AQ17" s="38">
        <v>77526.85</v>
      </c>
      <c r="AR17" s="39"/>
      <c r="AS17" s="37">
        <v>943.2</v>
      </c>
      <c r="AT17" s="38">
        <v>78899.27</v>
      </c>
      <c r="AU17" s="39"/>
      <c r="AV17" s="37">
        <v>945.6</v>
      </c>
      <c r="AW17" s="38">
        <v>78733.61</v>
      </c>
      <c r="AX17" s="39"/>
      <c r="AY17" s="37">
        <v>947.6</v>
      </c>
      <c r="AZ17" s="38">
        <v>79054.12</v>
      </c>
      <c r="BA17" s="39"/>
      <c r="BB17" s="37">
        <v>933.9</v>
      </c>
      <c r="BC17" s="38">
        <v>77890.76</v>
      </c>
      <c r="BD17" s="39"/>
      <c r="BE17" s="37">
        <v>959.95</v>
      </c>
      <c r="BF17" s="38">
        <v>79473.06</v>
      </c>
      <c r="BG17" s="39"/>
      <c r="BH17" s="37">
        <v>956.1</v>
      </c>
      <c r="BI17" s="38">
        <v>79001.35</v>
      </c>
      <c r="BJ17" s="39"/>
      <c r="BK17" s="37">
        <v>968.4</v>
      </c>
      <c r="BL17" s="38">
        <v>79968.05</v>
      </c>
      <c r="BM17" s="39"/>
      <c r="BN17" s="50">
        <f t="shared" si="0"/>
        <v>924.2309523809524</v>
      </c>
      <c r="BO17" s="50">
        <f t="shared" si="0"/>
        <v>77521.75142857144</v>
      </c>
      <c r="BP17" s="39"/>
    </row>
    <row r="18" spans="1:68" ht="15.75" customHeight="1">
      <c r="A18" s="35">
        <v>6</v>
      </c>
      <c r="B18" s="42" t="s">
        <v>19</v>
      </c>
      <c r="C18" s="37">
        <v>17.18</v>
      </c>
      <c r="D18" s="38">
        <v>1416.89</v>
      </c>
      <c r="E18" s="39"/>
      <c r="F18" s="37">
        <v>16.62</v>
      </c>
      <c r="G18" s="38">
        <v>1378.92</v>
      </c>
      <c r="H18" s="39"/>
      <c r="I18" s="37">
        <v>16.51</v>
      </c>
      <c r="J18" s="38">
        <v>1384.45</v>
      </c>
      <c r="K18" s="39"/>
      <c r="L18" s="37">
        <v>16.39</v>
      </c>
      <c r="M18" s="38">
        <v>1400.32</v>
      </c>
      <c r="N18" s="39"/>
      <c r="O18" s="37">
        <v>16.57</v>
      </c>
      <c r="P18" s="38">
        <v>1395.79</v>
      </c>
      <c r="Q18" s="39"/>
      <c r="R18" s="37">
        <v>16.97</v>
      </c>
      <c r="S18" s="38">
        <v>1453.87</v>
      </c>
      <c r="T18" s="39"/>
      <c r="U18" s="37">
        <v>17.29</v>
      </c>
      <c r="V18" s="38">
        <v>1471.13</v>
      </c>
      <c r="W18" s="39"/>
      <c r="X18" s="37">
        <v>17.48</v>
      </c>
      <c r="Y18" s="38">
        <v>1492.02</v>
      </c>
      <c r="Z18" s="39"/>
      <c r="AA18" s="37">
        <v>17.07</v>
      </c>
      <c r="AB18" s="38">
        <v>1447.07</v>
      </c>
      <c r="AC18" s="39"/>
      <c r="AD18" s="37">
        <v>17.36</v>
      </c>
      <c r="AE18" s="38">
        <v>1467.02</v>
      </c>
      <c r="AF18" s="39"/>
      <c r="AG18" s="37">
        <v>17.34</v>
      </c>
      <c r="AH18" s="38">
        <v>1458.42</v>
      </c>
      <c r="AI18" s="39"/>
      <c r="AJ18" s="37">
        <v>17.09</v>
      </c>
      <c r="AK18" s="38">
        <v>1436.33</v>
      </c>
      <c r="AL18" s="39"/>
      <c r="AM18" s="37">
        <v>17.26</v>
      </c>
      <c r="AN18" s="38">
        <v>1443.82</v>
      </c>
      <c r="AO18" s="39"/>
      <c r="AP18" s="37">
        <v>17.46</v>
      </c>
      <c r="AQ18" s="38">
        <v>1463.21</v>
      </c>
      <c r="AR18" s="39"/>
      <c r="AS18" s="37">
        <v>17.95</v>
      </c>
      <c r="AT18" s="38">
        <v>1501.53</v>
      </c>
      <c r="AU18" s="39"/>
      <c r="AV18" s="37">
        <v>17.89</v>
      </c>
      <c r="AW18" s="38">
        <v>1489.58</v>
      </c>
      <c r="AX18" s="39"/>
      <c r="AY18" s="37">
        <v>18.06</v>
      </c>
      <c r="AZ18" s="38">
        <v>1506.67</v>
      </c>
      <c r="BA18" s="39"/>
      <c r="BB18" s="37">
        <v>18.07</v>
      </c>
      <c r="BC18" s="38">
        <v>1507.11</v>
      </c>
      <c r="BD18" s="39"/>
      <c r="BE18" s="37">
        <v>19.32</v>
      </c>
      <c r="BF18" s="38">
        <v>1599.48</v>
      </c>
      <c r="BG18" s="39"/>
      <c r="BH18" s="37">
        <v>19.16</v>
      </c>
      <c r="BI18" s="38">
        <v>1583.17</v>
      </c>
      <c r="BJ18" s="39"/>
      <c r="BK18" s="37">
        <v>19.54</v>
      </c>
      <c r="BL18" s="38">
        <v>1613.56</v>
      </c>
      <c r="BM18" s="39"/>
      <c r="BN18" s="50">
        <f t="shared" si="0"/>
        <v>17.551428571428573</v>
      </c>
      <c r="BO18" s="50">
        <f t="shared" si="0"/>
        <v>1471.9219047619047</v>
      </c>
      <c r="BP18" s="39"/>
    </row>
    <row r="19" spans="1:68" ht="15.75" customHeight="1">
      <c r="A19" s="35">
        <v>7</v>
      </c>
      <c r="B19" s="36" t="s">
        <v>20</v>
      </c>
      <c r="C19" s="37">
        <f>1/0.8994</f>
        <v>1.1118523460084502</v>
      </c>
      <c r="D19" s="38">
        <v>74.18</v>
      </c>
      <c r="E19" s="39"/>
      <c r="F19" s="37">
        <f>1/0.9066</f>
        <v>1.1030222810500772</v>
      </c>
      <c r="G19" s="38">
        <v>75.22</v>
      </c>
      <c r="H19" s="39"/>
      <c r="I19" s="37">
        <f>1/0.9033</f>
        <v>1.1070519207350824</v>
      </c>
      <c r="J19" s="38">
        <v>75.75</v>
      </c>
      <c r="K19" s="39"/>
      <c r="L19" s="37">
        <f>1/0.8935</f>
        <v>1.119194180190263</v>
      </c>
      <c r="M19" s="38">
        <v>76.34</v>
      </c>
      <c r="N19" s="39"/>
      <c r="O19" s="37">
        <f>1/0.892</f>
        <v>1.1210762331838564</v>
      </c>
      <c r="P19" s="38">
        <v>75.14</v>
      </c>
      <c r="Q19" s="39"/>
      <c r="R19" s="37">
        <f>1/0.8937</f>
        <v>1.1189437171310281</v>
      </c>
      <c r="S19" s="38">
        <v>76.57</v>
      </c>
      <c r="T19" s="39"/>
      <c r="U19" s="37">
        <f>1/0.9045</f>
        <v>1.105583195135434</v>
      </c>
      <c r="V19" s="38">
        <v>76.96</v>
      </c>
      <c r="W19" s="39"/>
      <c r="X19" s="37">
        <f>1/0.9041</f>
        <v>1.1060723371308483</v>
      </c>
      <c r="Y19" s="38">
        <v>77.17</v>
      </c>
      <c r="Z19" s="39"/>
      <c r="AA19" s="37">
        <f>1/0.8986</f>
        <v>1.1128421989761852</v>
      </c>
      <c r="AB19" s="38">
        <v>76.18</v>
      </c>
      <c r="AC19" s="39"/>
      <c r="AD19" s="37">
        <v>0.9029</v>
      </c>
      <c r="AE19" s="38">
        <v>76.3</v>
      </c>
      <c r="AF19" s="39"/>
      <c r="AG19" s="37">
        <v>0.9084</v>
      </c>
      <c r="AH19" s="38">
        <v>76.4</v>
      </c>
      <c r="AI19" s="39"/>
      <c r="AJ19" s="37">
        <v>0.911</v>
      </c>
      <c r="AK19" s="38">
        <v>76.56</v>
      </c>
      <c r="AL19" s="39"/>
      <c r="AM19" s="37">
        <v>0.9213</v>
      </c>
      <c r="AN19" s="38">
        <v>77.07</v>
      </c>
      <c r="AO19" s="39"/>
      <c r="AP19" s="37">
        <v>0.9158</v>
      </c>
      <c r="AQ19" s="38">
        <v>76.75</v>
      </c>
      <c r="AR19" s="39"/>
      <c r="AS19" s="37">
        <v>0.9178</v>
      </c>
      <c r="AT19" s="38">
        <v>76.77</v>
      </c>
      <c r="AU19" s="39"/>
      <c r="AV19" s="37">
        <v>0.9232</v>
      </c>
      <c r="AW19" s="38">
        <v>76.87</v>
      </c>
      <c r="AX19" s="39"/>
      <c r="AY19" s="37">
        <v>0.9243</v>
      </c>
      <c r="AZ19" s="38">
        <v>77.11</v>
      </c>
      <c r="BA19" s="39"/>
      <c r="BB19" s="37">
        <v>0.9286</v>
      </c>
      <c r="BC19" s="38">
        <v>77.45</v>
      </c>
      <c r="BD19" s="39"/>
      <c r="BE19" s="37">
        <v>0.9387</v>
      </c>
      <c r="BF19" s="38">
        <v>77.71</v>
      </c>
      <c r="BG19" s="39"/>
      <c r="BH19" s="37">
        <v>0.9418</v>
      </c>
      <c r="BI19" s="38">
        <v>77.82</v>
      </c>
      <c r="BJ19" s="48"/>
      <c r="BK19" s="37">
        <v>0.9424</v>
      </c>
      <c r="BL19" s="38">
        <v>77.82</v>
      </c>
      <c r="BM19" s="48"/>
      <c r="BN19" s="50">
        <f t="shared" si="0"/>
        <v>1.0038970671210108</v>
      </c>
      <c r="BO19" s="50">
        <f t="shared" si="0"/>
        <v>76.57809523809523</v>
      </c>
      <c r="BP19" s="48"/>
    </row>
    <row r="20" spans="1:68" ht="15.75" customHeight="1">
      <c r="A20" s="35">
        <v>8</v>
      </c>
      <c r="B20" s="36" t="s">
        <v>21</v>
      </c>
      <c r="C20" s="37">
        <v>0.9982</v>
      </c>
      <c r="D20" s="38">
        <v>82.62</v>
      </c>
      <c r="E20" s="39"/>
      <c r="F20" s="37">
        <v>0.997</v>
      </c>
      <c r="G20" s="38">
        <v>83.22</v>
      </c>
      <c r="H20" s="39"/>
      <c r="I20" s="37">
        <v>0.9986</v>
      </c>
      <c r="J20" s="38">
        <v>83.97</v>
      </c>
      <c r="K20" s="39"/>
      <c r="L20" s="37">
        <v>1.0072</v>
      </c>
      <c r="M20" s="38">
        <v>84.83</v>
      </c>
      <c r="N20" s="39"/>
      <c r="O20" s="37">
        <v>1.0064</v>
      </c>
      <c r="P20" s="38">
        <v>83.7</v>
      </c>
      <c r="Q20" s="39"/>
      <c r="R20" s="37">
        <v>1.0068</v>
      </c>
      <c r="S20" s="38">
        <v>85.09</v>
      </c>
      <c r="T20" s="39"/>
      <c r="U20" s="37">
        <v>0.9986</v>
      </c>
      <c r="V20" s="38">
        <v>85.2</v>
      </c>
      <c r="W20" s="39"/>
      <c r="X20" s="37">
        <v>1.0003</v>
      </c>
      <c r="Y20" s="38">
        <v>85.33</v>
      </c>
      <c r="Z20" s="39"/>
      <c r="AA20" s="37">
        <v>0.9998</v>
      </c>
      <c r="AB20" s="38">
        <v>84.79</v>
      </c>
      <c r="AC20" s="39"/>
      <c r="AD20" s="37">
        <v>0.9986</v>
      </c>
      <c r="AE20" s="38">
        <v>84.62</v>
      </c>
      <c r="AF20" s="39"/>
      <c r="AG20" s="37">
        <v>0.9949</v>
      </c>
      <c r="AH20" s="38">
        <v>84.54</v>
      </c>
      <c r="AI20" s="39"/>
      <c r="AJ20" s="37">
        <v>1.0095</v>
      </c>
      <c r="AK20" s="38">
        <v>83.25</v>
      </c>
      <c r="AL20" s="39"/>
      <c r="AM20" s="37">
        <v>1.0046</v>
      </c>
      <c r="AN20" s="38">
        <v>83.27</v>
      </c>
      <c r="AO20" s="39"/>
      <c r="AP20" s="37">
        <v>1.0115</v>
      </c>
      <c r="AQ20" s="38">
        <v>82.85</v>
      </c>
      <c r="AR20" s="39"/>
      <c r="AS20" s="37">
        <v>1.0115</v>
      </c>
      <c r="AT20" s="38">
        <v>82.7</v>
      </c>
      <c r="AU20" s="39"/>
      <c r="AV20" s="37">
        <v>1.0105</v>
      </c>
      <c r="AW20" s="38">
        <v>82.4</v>
      </c>
      <c r="AX20" s="39"/>
      <c r="AY20" s="37">
        <v>1.0067</v>
      </c>
      <c r="AZ20" s="38">
        <v>82.87</v>
      </c>
      <c r="BA20" s="39"/>
      <c r="BB20" s="37">
        <v>0.9925</v>
      </c>
      <c r="BC20" s="38">
        <v>84.03</v>
      </c>
      <c r="BD20" s="39"/>
      <c r="BE20" s="37">
        <v>0.979</v>
      </c>
      <c r="BF20" s="38">
        <v>84.56</v>
      </c>
      <c r="BG20" s="39"/>
      <c r="BH20" s="37">
        <v>0.9777</v>
      </c>
      <c r="BI20" s="38">
        <v>84.51</v>
      </c>
      <c r="BJ20" s="39"/>
      <c r="BK20" s="37">
        <v>0.9788</v>
      </c>
      <c r="BL20" s="38">
        <v>84.37</v>
      </c>
      <c r="BM20" s="39"/>
      <c r="BN20" s="50">
        <f t="shared" si="0"/>
        <v>0.9994619047619044</v>
      </c>
      <c r="BO20" s="50">
        <f t="shared" si="0"/>
        <v>83.93904761904761</v>
      </c>
      <c r="BP20" s="39"/>
    </row>
    <row r="21" spans="1:68" ht="15.75" customHeight="1">
      <c r="A21" s="35">
        <v>9</v>
      </c>
      <c r="B21" s="36" t="s">
        <v>22</v>
      </c>
      <c r="C21" s="37">
        <v>6.3576</v>
      </c>
      <c r="D21" s="38">
        <v>12.97</v>
      </c>
      <c r="E21" s="39"/>
      <c r="F21" s="37">
        <v>6.3463</v>
      </c>
      <c r="G21" s="38">
        <v>13.07</v>
      </c>
      <c r="H21" s="39"/>
      <c r="I21" s="37">
        <v>6.399</v>
      </c>
      <c r="J21" s="38">
        <v>13.1</v>
      </c>
      <c r="K21" s="39"/>
      <c r="L21" s="37">
        <v>6.4704</v>
      </c>
      <c r="M21" s="38">
        <v>13.2</v>
      </c>
      <c r="N21" s="39"/>
      <c r="O21" s="37">
        <v>6.4414</v>
      </c>
      <c r="P21" s="38">
        <v>13.08</v>
      </c>
      <c r="Q21" s="39"/>
      <c r="R21" s="37">
        <v>6.5165</v>
      </c>
      <c r="S21" s="38">
        <v>13.15</v>
      </c>
      <c r="T21" s="39"/>
      <c r="U21" s="37">
        <v>6.4682</v>
      </c>
      <c r="V21" s="38">
        <v>13.15</v>
      </c>
      <c r="W21" s="39"/>
      <c r="X21" s="37">
        <v>6.4829</v>
      </c>
      <c r="Y21" s="38">
        <v>13.17</v>
      </c>
      <c r="Z21" s="39"/>
      <c r="AA21" s="37">
        <v>6.4064</v>
      </c>
      <c r="AB21" s="38">
        <v>13.23</v>
      </c>
      <c r="AC21" s="39"/>
      <c r="AD21" s="37">
        <v>6.3782</v>
      </c>
      <c r="AE21" s="38">
        <v>13.25</v>
      </c>
      <c r="AF21" s="39"/>
      <c r="AG21" s="37">
        <v>6.3506</v>
      </c>
      <c r="AH21" s="38">
        <v>13.24</v>
      </c>
      <c r="AI21" s="39"/>
      <c r="AJ21" s="37">
        <v>6.348</v>
      </c>
      <c r="AK21" s="38">
        <v>13.24</v>
      </c>
      <c r="AL21" s="39"/>
      <c r="AM21" s="37">
        <v>6.3304</v>
      </c>
      <c r="AN21" s="38">
        <v>13.21</v>
      </c>
      <c r="AO21" s="39"/>
      <c r="AP21" s="37">
        <v>6.3362</v>
      </c>
      <c r="AQ21" s="38">
        <v>13.23</v>
      </c>
      <c r="AR21" s="39"/>
      <c r="AS21" s="37">
        <v>6.3175</v>
      </c>
      <c r="AT21" s="38">
        <v>13.24</v>
      </c>
      <c r="AU21" s="39"/>
      <c r="AV21" s="37">
        <v>6.273</v>
      </c>
      <c r="AW21" s="38">
        <v>13.27</v>
      </c>
      <c r="AX21" s="39"/>
      <c r="AY21" s="37">
        <v>6.2797</v>
      </c>
      <c r="AZ21" s="38">
        <v>13.28</v>
      </c>
      <c r="BA21" s="39"/>
      <c r="BB21" s="37">
        <v>6.2441</v>
      </c>
      <c r="BC21" s="38">
        <v>13.36</v>
      </c>
      <c r="BD21" s="39"/>
      <c r="BE21" s="37">
        <v>6.1933</v>
      </c>
      <c r="BF21" s="38">
        <v>13.37</v>
      </c>
      <c r="BG21" s="39"/>
      <c r="BH21" s="37">
        <v>6.1925</v>
      </c>
      <c r="BI21" s="38">
        <v>13.34</v>
      </c>
      <c r="BJ21" s="39"/>
      <c r="BK21" s="37">
        <v>6.1716</v>
      </c>
      <c r="BL21" s="38">
        <v>13.38</v>
      </c>
      <c r="BM21" s="39"/>
      <c r="BN21" s="50">
        <f t="shared" si="0"/>
        <v>6.347799999999999</v>
      </c>
      <c r="BO21" s="50">
        <f t="shared" si="0"/>
        <v>13.215714285714288</v>
      </c>
      <c r="BP21" s="39"/>
    </row>
    <row r="22" spans="1:68" ht="15.75" customHeight="1">
      <c r="A22" s="35">
        <v>10</v>
      </c>
      <c r="B22" s="36" t="s">
        <v>23</v>
      </c>
      <c r="C22" s="37">
        <v>5.3944</v>
      </c>
      <c r="D22" s="38">
        <v>15.29</v>
      </c>
      <c r="E22" s="39"/>
      <c r="F22" s="37">
        <v>5.4204</v>
      </c>
      <c r="G22" s="38">
        <v>15.31</v>
      </c>
      <c r="H22" s="39"/>
      <c r="I22" s="37">
        <v>5.4591</v>
      </c>
      <c r="J22" s="38">
        <v>15.36</v>
      </c>
      <c r="K22" s="39"/>
      <c r="L22" s="37">
        <v>5.5141</v>
      </c>
      <c r="M22" s="38">
        <v>15.49</v>
      </c>
      <c r="N22" s="39"/>
      <c r="O22" s="37">
        <v>5.5109</v>
      </c>
      <c r="P22" s="38">
        <v>15.29</v>
      </c>
      <c r="Q22" s="39"/>
      <c r="R22" s="37">
        <v>5.5438</v>
      </c>
      <c r="S22" s="38">
        <v>15.45</v>
      </c>
      <c r="T22" s="39"/>
      <c r="U22" s="37">
        <v>5.5255</v>
      </c>
      <c r="V22" s="38">
        <v>15.4</v>
      </c>
      <c r="W22" s="39"/>
      <c r="X22" s="37">
        <v>5.519</v>
      </c>
      <c r="Y22" s="38">
        <v>15.47</v>
      </c>
      <c r="Z22" s="39"/>
      <c r="AA22" s="37">
        <v>5.4692</v>
      </c>
      <c r="AB22" s="38">
        <v>15.5</v>
      </c>
      <c r="AC22" s="39"/>
      <c r="AD22" s="37">
        <v>5.4401</v>
      </c>
      <c r="AE22" s="38">
        <v>15.53</v>
      </c>
      <c r="AF22" s="39"/>
      <c r="AG22" s="37">
        <v>5.3955</v>
      </c>
      <c r="AH22" s="38">
        <v>15.59</v>
      </c>
      <c r="AI22" s="39"/>
      <c r="AJ22" s="37">
        <v>5.3927</v>
      </c>
      <c r="AK22" s="38">
        <v>15.58</v>
      </c>
      <c r="AL22" s="39"/>
      <c r="AM22" s="37">
        <v>5.349</v>
      </c>
      <c r="AN22" s="38">
        <v>15.64</v>
      </c>
      <c r="AO22" s="39"/>
      <c r="AP22" s="37">
        <v>5.3652</v>
      </c>
      <c r="AQ22" s="38">
        <v>15.62</v>
      </c>
      <c r="AR22" s="39"/>
      <c r="AS22" s="37">
        <v>5.3341</v>
      </c>
      <c r="AT22" s="38">
        <v>15.68</v>
      </c>
      <c r="AU22" s="39"/>
      <c r="AV22" s="37">
        <v>5.3191</v>
      </c>
      <c r="AW22" s="38">
        <v>15.65</v>
      </c>
      <c r="AX22" s="39"/>
      <c r="AY22" s="37">
        <v>5.3153</v>
      </c>
      <c r="AZ22" s="38">
        <v>15.7</v>
      </c>
      <c r="BA22" s="39"/>
      <c r="BB22" s="37">
        <v>5.299</v>
      </c>
      <c r="BC22" s="38">
        <v>15.74</v>
      </c>
      <c r="BD22" s="39"/>
      <c r="BE22" s="37">
        <v>5.212</v>
      </c>
      <c r="BF22" s="38">
        <v>15.88</v>
      </c>
      <c r="BG22" s="39"/>
      <c r="BH22" s="37">
        <v>5.2055</v>
      </c>
      <c r="BI22" s="38">
        <v>15.87</v>
      </c>
      <c r="BJ22" s="39"/>
      <c r="BK22" s="37">
        <v>5.1902</v>
      </c>
      <c r="BL22" s="38">
        <v>15.91</v>
      </c>
      <c r="BM22" s="39"/>
      <c r="BN22" s="50">
        <f t="shared" si="0"/>
        <v>5.389242857142858</v>
      </c>
      <c r="BO22" s="50">
        <f t="shared" si="0"/>
        <v>15.569047619047623</v>
      </c>
      <c r="BP22" s="39"/>
    </row>
    <row r="23" spans="1:68" ht="15.75" customHeight="1">
      <c r="A23" s="35">
        <v>11</v>
      </c>
      <c r="B23" s="36" t="s">
        <v>24</v>
      </c>
      <c r="C23" s="37">
        <v>5.0082</v>
      </c>
      <c r="D23" s="38">
        <v>16.47</v>
      </c>
      <c r="E23" s="39"/>
      <c r="F23" s="37">
        <v>5.0277</v>
      </c>
      <c r="G23" s="38">
        <v>16.5</v>
      </c>
      <c r="H23" s="39"/>
      <c r="I23" s="37">
        <v>5.0744</v>
      </c>
      <c r="J23" s="38">
        <v>16.53</v>
      </c>
      <c r="K23" s="39"/>
      <c r="L23" s="37">
        <v>5.1024</v>
      </c>
      <c r="M23" s="38">
        <v>16.74</v>
      </c>
      <c r="N23" s="39"/>
      <c r="O23" s="37">
        <v>5.0925</v>
      </c>
      <c r="P23" s="38">
        <v>16.54</v>
      </c>
      <c r="Q23" s="39"/>
      <c r="R23" s="37">
        <v>5.1458</v>
      </c>
      <c r="S23" s="38">
        <v>16.65</v>
      </c>
      <c r="T23" s="39"/>
      <c r="U23" s="37">
        <v>5.1204</v>
      </c>
      <c r="V23" s="38">
        <v>16.62</v>
      </c>
      <c r="W23" s="39"/>
      <c r="X23" s="37">
        <v>5.1346</v>
      </c>
      <c r="Y23" s="38">
        <v>16.62</v>
      </c>
      <c r="Z23" s="39"/>
      <c r="AA23" s="37">
        <v>5.1076</v>
      </c>
      <c r="AB23" s="38">
        <v>16.6</v>
      </c>
      <c r="AC23" s="39"/>
      <c r="AD23" s="37">
        <v>5.0974</v>
      </c>
      <c r="AE23" s="38">
        <v>16.58</v>
      </c>
      <c r="AF23" s="39"/>
      <c r="AG23" s="37">
        <v>5.0763</v>
      </c>
      <c r="AH23" s="38">
        <v>16.57</v>
      </c>
      <c r="AI23" s="39"/>
      <c r="AJ23" s="37">
        <v>5.0941</v>
      </c>
      <c r="AK23" s="38">
        <v>16.5</v>
      </c>
      <c r="AL23" s="39"/>
      <c r="AM23" s="37">
        <v>5.0583</v>
      </c>
      <c r="AN23" s="38">
        <v>16.54</v>
      </c>
      <c r="AO23" s="39"/>
      <c r="AP23" s="37">
        <v>5.0667</v>
      </c>
      <c r="AQ23" s="38">
        <v>16.54</v>
      </c>
      <c r="AR23" s="39"/>
      <c r="AS23" s="37">
        <v>5.055</v>
      </c>
      <c r="AT23" s="38">
        <v>16.55</v>
      </c>
      <c r="AU23" s="39"/>
      <c r="AV23" s="37">
        <v>5.0244</v>
      </c>
      <c r="AW23" s="38">
        <v>16.57</v>
      </c>
      <c r="AX23" s="39"/>
      <c r="AY23" s="37">
        <v>5.0337</v>
      </c>
      <c r="AZ23" s="38">
        <v>16.57</v>
      </c>
      <c r="BA23" s="39"/>
      <c r="BB23" s="37">
        <v>5.0124</v>
      </c>
      <c r="BC23" s="38">
        <v>16.64</v>
      </c>
      <c r="BD23" s="39"/>
      <c r="BE23" s="37">
        <v>4.9499</v>
      </c>
      <c r="BF23" s="38">
        <v>16.73</v>
      </c>
      <c r="BG23" s="39"/>
      <c r="BH23" s="37">
        <v>4.936</v>
      </c>
      <c r="BI23" s="38">
        <v>16.74</v>
      </c>
      <c r="BJ23" s="39"/>
      <c r="BK23" s="37">
        <v>4.9027</v>
      </c>
      <c r="BL23" s="38">
        <v>16.84</v>
      </c>
      <c r="BM23" s="39"/>
      <c r="BN23" s="50">
        <f t="shared" si="0"/>
        <v>5.053357142857143</v>
      </c>
      <c r="BO23" s="50">
        <f t="shared" si="0"/>
        <v>16.601904761904763</v>
      </c>
      <c r="BP23" s="39"/>
    </row>
    <row r="24" spans="1:68" ht="15.75" customHeight="1">
      <c r="A24" s="35">
        <v>12</v>
      </c>
      <c r="B24" s="36" t="s">
        <v>25</v>
      </c>
      <c r="C24" s="37">
        <f>1/1.59527</f>
        <v>0.6268531345790995</v>
      </c>
      <c r="D24" s="38">
        <v>131.57</v>
      </c>
      <c r="E24" s="39"/>
      <c r="F24" s="37">
        <f>1/1.59555</f>
        <v>0.6267431293284448</v>
      </c>
      <c r="G24" s="38">
        <v>132.38</v>
      </c>
      <c r="H24" s="39"/>
      <c r="I24" s="37">
        <f>1/1.59006</f>
        <v>0.6289070852672226</v>
      </c>
      <c r="J24" s="38">
        <v>133.33</v>
      </c>
      <c r="K24" s="39"/>
      <c r="L24" s="37">
        <f>1/1.58254</f>
        <v>0.6318955603017933</v>
      </c>
      <c r="M24" s="38">
        <v>135.21</v>
      </c>
      <c r="N24" s="39"/>
      <c r="O24" s="37">
        <f>1/1.58134</f>
        <v>0.6323750743040712</v>
      </c>
      <c r="P24" s="38">
        <v>133.21</v>
      </c>
      <c r="Q24" s="39"/>
      <c r="R24" s="37">
        <f>1/1.5807</f>
        <v>0.6326311127981274</v>
      </c>
      <c r="S24" s="38">
        <v>135.42</v>
      </c>
      <c r="T24" s="39"/>
      <c r="U24" s="37">
        <f>1/1.57279</f>
        <v>0.6358127912817351</v>
      </c>
      <c r="V24" s="38">
        <v>133.82</v>
      </c>
      <c r="W24" s="39"/>
      <c r="X24" s="37">
        <f>1/1.577</f>
        <v>0.6341154090044389</v>
      </c>
      <c r="Y24" s="38">
        <v>134.61</v>
      </c>
      <c r="Z24" s="39"/>
      <c r="AA24" s="37">
        <f>1/1.57556</f>
        <v>0.6346949655995329</v>
      </c>
      <c r="AB24" s="38">
        <v>133.56</v>
      </c>
      <c r="AC24" s="39"/>
      <c r="AD24" s="37">
        <f>1/1.57833</f>
        <v>0.6335810635291732</v>
      </c>
      <c r="AE24" s="38">
        <v>133.38</v>
      </c>
      <c r="AF24" s="39"/>
      <c r="AG24" s="37">
        <f>1/1.57872</f>
        <v>0.6334245464680248</v>
      </c>
      <c r="AH24" s="38">
        <v>132.78</v>
      </c>
      <c r="AI24" s="39"/>
      <c r="AJ24" s="37">
        <f>1/1.58135</f>
        <v>0.6323710753470136</v>
      </c>
      <c r="AK24" s="38">
        <v>132.9</v>
      </c>
      <c r="AL24" s="39"/>
      <c r="AM24" s="37">
        <f>1/1.58135</f>
        <v>0.6323710753470136</v>
      </c>
      <c r="AN24" s="38">
        <v>132.28</v>
      </c>
      <c r="AO24" s="39"/>
      <c r="AP24" s="37">
        <f>1/1.58396</f>
        <v>0.6313290739665143</v>
      </c>
      <c r="AQ24" s="38">
        <v>132.74</v>
      </c>
      <c r="AR24" s="39"/>
      <c r="AS24" s="37">
        <f>1/1.57922</f>
        <v>0.6332239966565772</v>
      </c>
      <c r="AT24" s="38">
        <v>132.1</v>
      </c>
      <c r="AU24" s="39"/>
      <c r="AV24" s="37">
        <f>1/1.58162</f>
        <v>0.63226312262111</v>
      </c>
      <c r="AW24" s="38">
        <v>131.69</v>
      </c>
      <c r="AX24" s="39"/>
      <c r="AY24" s="37">
        <f>1/1.5898</f>
        <v>0.629009938357026</v>
      </c>
      <c r="AZ24" s="38">
        <v>132.63</v>
      </c>
      <c r="BA24" s="39"/>
      <c r="BB24" s="37">
        <f>1/1.58667</f>
        <v>0.6302507767840824</v>
      </c>
      <c r="BC24" s="38">
        <v>132.33</v>
      </c>
      <c r="BD24" s="39"/>
      <c r="BE24" s="37">
        <f>1/1.59027</f>
        <v>0.6288240361699585</v>
      </c>
      <c r="BF24" s="38">
        <v>131.66</v>
      </c>
      <c r="BG24" s="39"/>
      <c r="BH24" s="37">
        <f>1/1.60079</f>
        <v>0.6246915585429694</v>
      </c>
      <c r="BI24" s="38">
        <v>132.27</v>
      </c>
      <c r="BJ24" s="39"/>
      <c r="BK24" s="37">
        <f>1/1.60257</f>
        <v>0.6239977036884504</v>
      </c>
      <c r="BL24" s="38">
        <v>132.34</v>
      </c>
      <c r="BM24" s="39"/>
      <c r="BN24" s="50">
        <f t="shared" si="0"/>
        <v>0.6309222014258276</v>
      </c>
      <c r="BO24" s="50">
        <f t="shared" si="0"/>
        <v>132.96238095238095</v>
      </c>
      <c r="BP24" s="39"/>
    </row>
    <row r="25" spans="1:68" ht="15.75" customHeight="1" thickBot="1">
      <c r="A25" s="43">
        <v>13</v>
      </c>
      <c r="B25" s="44" t="s">
        <v>26</v>
      </c>
      <c r="C25" s="45">
        <v>1</v>
      </c>
      <c r="D25" s="46">
        <v>82.47</v>
      </c>
      <c r="E25" s="30"/>
      <c r="F25" s="45">
        <v>1</v>
      </c>
      <c r="G25" s="46">
        <v>82.97</v>
      </c>
      <c r="H25" s="30"/>
      <c r="I25" s="45">
        <v>1</v>
      </c>
      <c r="J25" s="46">
        <v>83.86</v>
      </c>
      <c r="K25" s="30"/>
      <c r="L25" s="45">
        <v>1</v>
      </c>
      <c r="M25" s="46">
        <v>85.44</v>
      </c>
      <c r="N25" s="30"/>
      <c r="O25" s="45">
        <v>1</v>
      </c>
      <c r="P25" s="46">
        <v>84.24</v>
      </c>
      <c r="Q25" s="30"/>
      <c r="R25" s="45">
        <v>1</v>
      </c>
      <c r="S25" s="46">
        <v>85.67</v>
      </c>
      <c r="T25" s="30"/>
      <c r="U25" s="45">
        <v>1</v>
      </c>
      <c r="V25" s="46">
        <v>85.09</v>
      </c>
      <c r="W25" s="30"/>
      <c r="X25" s="45">
        <v>1</v>
      </c>
      <c r="Y25" s="46">
        <v>85.36</v>
      </c>
      <c r="Z25" s="30"/>
      <c r="AA25" s="45">
        <v>1</v>
      </c>
      <c r="AB25" s="46">
        <v>84.77</v>
      </c>
      <c r="AC25" s="30"/>
      <c r="AD25" s="45">
        <v>1</v>
      </c>
      <c r="AE25" s="46">
        <v>84.51</v>
      </c>
      <c r="AF25" s="30"/>
      <c r="AG25" s="45">
        <v>1</v>
      </c>
      <c r="AH25" s="46">
        <v>84.11</v>
      </c>
      <c r="AI25" s="30"/>
      <c r="AJ25" s="45">
        <v>1</v>
      </c>
      <c r="AK25" s="46">
        <v>84.05</v>
      </c>
      <c r="AL25" s="30"/>
      <c r="AM25" s="45">
        <v>1</v>
      </c>
      <c r="AN25" s="46">
        <v>83.65</v>
      </c>
      <c r="AO25" s="30"/>
      <c r="AP25" s="45">
        <v>1</v>
      </c>
      <c r="AQ25" s="46">
        <v>83.8</v>
      </c>
      <c r="AR25" s="30"/>
      <c r="AS25" s="45">
        <v>1</v>
      </c>
      <c r="AT25" s="46">
        <v>83.65</v>
      </c>
      <c r="AU25" s="30"/>
      <c r="AV25" s="45">
        <v>1</v>
      </c>
      <c r="AW25" s="46">
        <v>83.26</v>
      </c>
      <c r="AX25" s="30"/>
      <c r="AY25" s="45">
        <v>1</v>
      </c>
      <c r="AZ25" s="46">
        <v>83.43</v>
      </c>
      <c r="BA25" s="30"/>
      <c r="BB25" s="45">
        <v>1</v>
      </c>
      <c r="BC25" s="46">
        <v>83.4</v>
      </c>
      <c r="BD25" s="30"/>
      <c r="BE25" s="45">
        <v>1</v>
      </c>
      <c r="BF25" s="46">
        <v>82.79</v>
      </c>
      <c r="BG25" s="30"/>
      <c r="BH25" s="45">
        <v>1</v>
      </c>
      <c r="BI25" s="46">
        <v>82.63</v>
      </c>
      <c r="BJ25" s="30"/>
      <c r="BK25" s="45">
        <v>1</v>
      </c>
      <c r="BL25" s="46">
        <v>82.58</v>
      </c>
      <c r="BM25" s="30"/>
      <c r="BN25" s="51">
        <f t="shared" si="0"/>
        <v>1</v>
      </c>
      <c r="BO25" s="51">
        <f t="shared" si="0"/>
        <v>83.89190476190477</v>
      </c>
      <c r="BP25" s="30"/>
    </row>
    <row r="26" spans="1:68" ht="15.75" customHeight="1">
      <c r="A26" s="40"/>
      <c r="B26" s="41"/>
      <c r="C26" s="25"/>
      <c r="D26" s="26"/>
      <c r="E26" s="24"/>
      <c r="F26" s="25"/>
      <c r="G26" s="26"/>
      <c r="H26" s="24"/>
      <c r="I26" s="25"/>
      <c r="J26" s="26"/>
      <c r="K26" s="24"/>
      <c r="L26" s="25"/>
      <c r="M26" s="26"/>
      <c r="N26" s="24"/>
      <c r="O26" s="25"/>
      <c r="P26" s="26"/>
      <c r="Q26" s="24"/>
      <c r="R26" s="25"/>
      <c r="S26" s="26"/>
      <c r="T26" s="24"/>
      <c r="U26" s="25"/>
      <c r="V26" s="26"/>
      <c r="W26" s="24"/>
      <c r="X26" s="25"/>
      <c r="Y26" s="26"/>
      <c r="Z26" s="24"/>
      <c r="AA26" s="25"/>
      <c r="AB26" s="26"/>
      <c r="AC26" s="24"/>
      <c r="AD26" s="25"/>
      <c r="AE26" s="26"/>
      <c r="AF26" s="24"/>
      <c r="AG26" s="25"/>
      <c r="AH26" s="26"/>
      <c r="AI26" s="24"/>
      <c r="AJ26" s="25"/>
      <c r="AK26" s="26"/>
      <c r="AL26" s="24"/>
      <c r="AM26" s="25"/>
      <c r="AN26" s="26"/>
      <c r="AO26" s="24"/>
      <c r="AP26" s="25"/>
      <c r="AQ26" s="26"/>
      <c r="AR26" s="24"/>
      <c r="AS26" s="25"/>
      <c r="AT26" s="26"/>
      <c r="AU26" s="24"/>
      <c r="AV26" s="25"/>
      <c r="AW26" s="26"/>
      <c r="AX26" s="24"/>
      <c r="AY26" s="25"/>
      <c r="AZ26" s="26"/>
      <c r="BA26" s="24"/>
      <c r="BB26" s="25"/>
      <c r="BC26" s="26"/>
      <c r="BD26" s="24"/>
      <c r="BE26" s="25"/>
      <c r="BF26" s="26"/>
      <c r="BG26" s="24"/>
      <c r="BH26" s="25"/>
      <c r="BI26" s="26"/>
      <c r="BJ26" s="24"/>
      <c r="BK26" s="25"/>
      <c r="BL26" s="26"/>
      <c r="BM26" s="24"/>
      <c r="BN26" s="25"/>
      <c r="BO26" s="26"/>
      <c r="BP26" s="24"/>
    </row>
    <row r="27" spans="1:68" ht="15.75" customHeight="1">
      <c r="A27" s="40"/>
      <c r="B27" s="41"/>
      <c r="C27" s="25"/>
      <c r="D27" s="26"/>
      <c r="E27" s="24"/>
      <c r="F27" s="25"/>
      <c r="G27" s="26"/>
      <c r="H27" s="24"/>
      <c r="I27" s="25"/>
      <c r="J27" s="26"/>
      <c r="K27" s="24"/>
      <c r="L27" s="25"/>
      <c r="M27" s="26"/>
      <c r="N27" s="24"/>
      <c r="O27" s="25"/>
      <c r="P27" s="26"/>
      <c r="Q27" s="24"/>
      <c r="R27" s="25"/>
      <c r="S27" s="26"/>
      <c r="T27" s="24"/>
      <c r="U27" s="25"/>
      <c r="V27" s="26"/>
      <c r="W27" s="24"/>
      <c r="X27" s="25"/>
      <c r="Y27" s="26"/>
      <c r="Z27" s="24"/>
      <c r="AA27" s="25"/>
      <c r="AB27" s="26"/>
      <c r="AC27" s="24"/>
      <c r="AD27" s="25"/>
      <c r="AE27" s="26"/>
      <c r="AF27" s="24"/>
      <c r="AG27" s="25"/>
      <c r="AH27" s="26"/>
      <c r="AI27" s="24"/>
      <c r="AJ27" s="25"/>
      <c r="AK27" s="26"/>
      <c r="AL27" s="24"/>
      <c r="AM27" s="25"/>
      <c r="AN27" s="26"/>
      <c r="AO27" s="24"/>
      <c r="AP27" s="25"/>
      <c r="AQ27" s="26"/>
      <c r="AR27" s="24"/>
      <c r="AS27" s="25"/>
      <c r="AT27" s="26"/>
      <c r="AU27" s="24"/>
      <c r="AV27" s="25"/>
      <c r="AW27" s="26"/>
      <c r="AX27" s="24"/>
      <c r="AY27" s="25"/>
      <c r="AZ27" s="26"/>
      <c r="BA27" s="24"/>
      <c r="BB27" s="25"/>
      <c r="BC27" s="26"/>
      <c r="BD27" s="24"/>
      <c r="BE27" s="25"/>
      <c r="BF27" s="26"/>
      <c r="BG27" s="24"/>
      <c r="BH27" s="25"/>
      <c r="BI27" s="26"/>
      <c r="BJ27" s="24"/>
      <c r="BK27" s="25"/>
      <c r="BL27" s="26"/>
      <c r="BM27" s="24"/>
      <c r="BN27" s="25"/>
      <c r="BO27" s="26"/>
      <c r="BP27" s="24"/>
    </row>
    <row r="28" spans="1:68" ht="15.75" customHeight="1">
      <c r="A28" s="40"/>
      <c r="B28" s="41"/>
      <c r="C28" s="25"/>
      <c r="D28" s="26"/>
      <c r="E28" s="24"/>
      <c r="F28" s="25"/>
      <c r="G28" s="26"/>
      <c r="H28" s="24"/>
      <c r="I28" s="25"/>
      <c r="J28" s="26"/>
      <c r="K28" s="24"/>
      <c r="L28" s="25"/>
      <c r="M28" s="26"/>
      <c r="N28" s="24"/>
      <c r="O28" s="25"/>
      <c r="P28" s="26"/>
      <c r="Q28" s="24"/>
      <c r="R28" s="25"/>
      <c r="S28" s="26"/>
      <c r="T28" s="24"/>
      <c r="U28" s="25"/>
      <c r="V28" s="26"/>
      <c r="W28" s="24"/>
      <c r="X28" s="25"/>
      <c r="Y28" s="26"/>
      <c r="Z28" s="24"/>
      <c r="AA28" s="25"/>
      <c r="AB28" s="26"/>
      <c r="AC28" s="24"/>
      <c r="AD28" s="25"/>
      <c r="AE28" s="26"/>
      <c r="AF28" s="24"/>
      <c r="AG28" s="25"/>
      <c r="AH28" s="26"/>
      <c r="AI28" s="24"/>
      <c r="AJ28" s="25"/>
      <c r="AK28" s="26"/>
      <c r="AL28" s="24"/>
      <c r="AM28" s="25"/>
      <c r="AN28" s="26"/>
      <c r="AO28" s="24"/>
      <c r="AP28" s="25"/>
      <c r="AQ28" s="26"/>
      <c r="AR28" s="24"/>
      <c r="AS28" s="25"/>
      <c r="AT28" s="26"/>
      <c r="AU28" s="24"/>
      <c r="AV28" s="25"/>
      <c r="AW28" s="26"/>
      <c r="AX28" s="24"/>
      <c r="AY28" s="25"/>
      <c r="AZ28" s="26"/>
      <c r="BA28" s="24"/>
      <c r="BB28" s="25"/>
      <c r="BC28" s="26"/>
      <c r="BD28" s="24"/>
      <c r="BE28" s="25"/>
      <c r="BF28" s="26"/>
      <c r="BG28" s="24"/>
      <c r="BH28" s="25"/>
      <c r="BI28" s="26"/>
      <c r="BJ28" s="24"/>
      <c r="BK28" s="25"/>
      <c r="BL28" s="26"/>
      <c r="BM28" s="24"/>
      <c r="BN28" s="25"/>
      <c r="BO28" s="26"/>
      <c r="BP28" s="24"/>
    </row>
    <row r="29" spans="1:68" ht="15.75" customHeight="1">
      <c r="A29" s="40"/>
      <c r="B29" s="41"/>
      <c r="C29" s="25"/>
      <c r="D29" s="26"/>
      <c r="E29" s="24"/>
      <c r="F29" s="25"/>
      <c r="G29" s="26"/>
      <c r="H29" s="24"/>
      <c r="I29" s="25"/>
      <c r="J29" s="26"/>
      <c r="K29" s="24"/>
      <c r="L29" s="25"/>
      <c r="M29" s="26"/>
      <c r="N29" s="24"/>
      <c r="O29" s="25"/>
      <c r="P29" s="26"/>
      <c r="Q29" s="24"/>
      <c r="R29" s="25"/>
      <c r="S29" s="26"/>
      <c r="T29" s="24"/>
      <c r="U29" s="25"/>
      <c r="V29" s="26"/>
      <c r="W29" s="24"/>
      <c r="X29" s="25"/>
      <c r="Y29" s="26"/>
      <c r="Z29" s="24"/>
      <c r="AA29" s="25"/>
      <c r="AB29" s="26"/>
      <c r="AC29" s="24"/>
      <c r="AD29" s="25"/>
      <c r="AE29" s="26"/>
      <c r="AF29" s="24"/>
      <c r="AG29" s="25"/>
      <c r="AH29" s="26"/>
      <c r="AI29" s="24"/>
      <c r="AJ29" s="25"/>
      <c r="AK29" s="26"/>
      <c r="AL29" s="24"/>
      <c r="AM29" s="25"/>
      <c r="AN29" s="26"/>
      <c r="AO29" s="24"/>
      <c r="AP29" s="25"/>
      <c r="AQ29" s="26"/>
      <c r="AR29" s="24"/>
      <c r="AS29" s="25"/>
      <c r="AT29" s="26"/>
      <c r="AU29" s="24"/>
      <c r="AV29" s="25"/>
      <c r="AW29" s="26"/>
      <c r="AX29" s="24"/>
      <c r="AY29" s="25"/>
      <c r="AZ29" s="26"/>
      <c r="BA29" s="24"/>
      <c r="BB29" s="25"/>
      <c r="BC29" s="26"/>
      <c r="BD29" s="24"/>
      <c r="BE29" s="25"/>
      <c r="BF29" s="26"/>
      <c r="BG29" s="24"/>
      <c r="BH29" s="25"/>
      <c r="BI29" s="26"/>
      <c r="BJ29" s="24"/>
      <c r="BK29" s="25"/>
      <c r="BL29" s="26"/>
      <c r="BM29" s="24"/>
      <c r="BN29" s="25"/>
      <c r="BO29" s="26"/>
      <c r="BP29" s="24"/>
    </row>
    <row r="30" spans="1:68" ht="15.75" customHeight="1">
      <c r="A30" s="40"/>
      <c r="B30" s="41"/>
      <c r="C30" s="25"/>
      <c r="D30" s="26"/>
      <c r="E30" s="24"/>
      <c r="F30" s="25"/>
      <c r="G30" s="26"/>
      <c r="H30" s="24"/>
      <c r="I30" s="25"/>
      <c r="J30" s="26"/>
      <c r="K30" s="24"/>
      <c r="L30" s="25"/>
      <c r="M30" s="26"/>
      <c r="N30" s="24"/>
      <c r="O30" s="25"/>
      <c r="P30" s="26"/>
      <c r="Q30" s="24"/>
      <c r="R30" s="25"/>
      <c r="S30" s="26"/>
      <c r="T30" s="24"/>
      <c r="U30" s="25"/>
      <c r="V30" s="26"/>
      <c r="W30" s="24"/>
      <c r="X30" s="25"/>
      <c r="Y30" s="26"/>
      <c r="Z30" s="24"/>
      <c r="AA30" s="25"/>
      <c r="AB30" s="26"/>
      <c r="AC30" s="24"/>
      <c r="AD30" s="25"/>
      <c r="AE30" s="26"/>
      <c r="AF30" s="24"/>
      <c r="AG30" s="25"/>
      <c r="AH30" s="26"/>
      <c r="AI30" s="24"/>
      <c r="AJ30" s="25"/>
      <c r="AK30" s="26"/>
      <c r="AL30" s="24"/>
      <c r="AM30" s="25"/>
      <c r="AN30" s="26"/>
      <c r="AO30" s="24"/>
      <c r="AP30" s="25"/>
      <c r="AQ30" s="26"/>
      <c r="AR30" s="24"/>
      <c r="AS30" s="25"/>
      <c r="AT30" s="26"/>
      <c r="AU30" s="24"/>
      <c r="AV30" s="25"/>
      <c r="AW30" s="26"/>
      <c r="AX30" s="24"/>
      <c r="AY30" s="25"/>
      <c r="AZ30" s="26"/>
      <c r="BA30" s="24"/>
      <c r="BB30" s="25"/>
      <c r="BC30" s="26"/>
      <c r="BD30" s="24"/>
      <c r="BE30" s="25"/>
      <c r="BF30" s="26"/>
      <c r="BG30" s="24"/>
      <c r="BH30" s="25"/>
      <c r="BI30" s="26"/>
      <c r="BJ30" s="24"/>
      <c r="BK30" s="25"/>
      <c r="BL30" s="26"/>
      <c r="BM30" s="24"/>
      <c r="BN30" s="25"/>
      <c r="BO30" s="26"/>
      <c r="BP30" s="24"/>
    </row>
    <row r="31" spans="1:68" ht="15.75" customHeight="1">
      <c r="A31" s="40"/>
      <c r="B31" s="41"/>
      <c r="C31" s="25"/>
      <c r="D31" s="26"/>
      <c r="E31" s="24"/>
      <c r="F31" s="25"/>
      <c r="G31" s="26"/>
      <c r="H31" s="24"/>
      <c r="I31" s="25"/>
      <c r="J31" s="26"/>
      <c r="K31" s="24"/>
      <c r="L31" s="25"/>
      <c r="M31" s="26"/>
      <c r="N31" s="24"/>
      <c r="O31" s="25"/>
      <c r="P31" s="26"/>
      <c r="Q31" s="24"/>
      <c r="R31" s="25"/>
      <c r="S31" s="26"/>
      <c r="T31" s="24"/>
      <c r="U31" s="25"/>
      <c r="V31" s="26"/>
      <c r="W31" s="24"/>
      <c r="X31" s="25"/>
      <c r="Y31" s="26"/>
      <c r="Z31" s="24"/>
      <c r="AA31" s="25"/>
      <c r="AB31" s="26"/>
      <c r="AC31" s="24"/>
      <c r="AD31" s="25"/>
      <c r="AE31" s="26"/>
      <c r="AF31" s="24"/>
      <c r="AG31" s="25"/>
      <c r="AH31" s="26"/>
      <c r="AI31" s="24"/>
      <c r="AJ31" s="25"/>
      <c r="AK31" s="26"/>
      <c r="AL31" s="24"/>
      <c r="AM31" s="25"/>
      <c r="AN31" s="26"/>
      <c r="AO31" s="24"/>
      <c r="AP31" s="25"/>
      <c r="AQ31" s="26"/>
      <c r="AR31" s="24"/>
      <c r="AS31" s="25"/>
      <c r="AT31" s="26"/>
      <c r="AU31" s="24"/>
      <c r="AV31" s="25"/>
      <c r="AW31" s="26"/>
      <c r="AX31" s="24"/>
      <c r="AY31" s="25"/>
      <c r="AZ31" s="26"/>
      <c r="BA31" s="24"/>
      <c r="BB31" s="25"/>
      <c r="BC31" s="26"/>
      <c r="BD31" s="24"/>
      <c r="BE31" s="25"/>
      <c r="BF31" s="26"/>
      <c r="BG31" s="24"/>
      <c r="BH31" s="25"/>
      <c r="BI31" s="26"/>
      <c r="BJ31" s="24"/>
      <c r="BK31" s="25"/>
      <c r="BL31" s="26"/>
      <c r="BM31" s="24"/>
      <c r="BN31" s="25"/>
      <c r="BO31" s="26"/>
      <c r="BP31" s="24"/>
    </row>
    <row r="32" spans="1:68" ht="15.75" customHeight="1">
      <c r="A32" s="40"/>
      <c r="B32" s="41"/>
      <c r="C32" s="25"/>
      <c r="D32" s="26"/>
      <c r="E32" s="24"/>
      <c r="F32" s="25"/>
      <c r="G32" s="26"/>
      <c r="H32" s="24"/>
      <c r="I32" s="25"/>
      <c r="J32" s="26"/>
      <c r="K32" s="24"/>
      <c r="L32" s="25"/>
      <c r="M32" s="26"/>
      <c r="N32" s="24"/>
      <c r="O32" s="25"/>
      <c r="P32" s="26"/>
      <c r="Q32" s="24"/>
      <c r="R32" s="25"/>
      <c r="S32" s="26"/>
      <c r="T32" s="24"/>
      <c r="U32" s="25"/>
      <c r="V32" s="26"/>
      <c r="W32" s="24"/>
      <c r="X32" s="25"/>
      <c r="Y32" s="26"/>
      <c r="Z32" s="24"/>
      <c r="AA32" s="25"/>
      <c r="AB32" s="26"/>
      <c r="AC32" s="24"/>
      <c r="AD32" s="25"/>
      <c r="AE32" s="26"/>
      <c r="AF32" s="24"/>
      <c r="AG32" s="25"/>
      <c r="AH32" s="26"/>
      <c r="AI32" s="24"/>
      <c r="AJ32" s="25"/>
      <c r="AK32" s="26"/>
      <c r="AL32" s="24"/>
      <c r="AM32" s="25"/>
      <c r="AN32" s="26"/>
      <c r="AO32" s="24"/>
      <c r="AP32" s="25"/>
      <c r="AQ32" s="26"/>
      <c r="AR32" s="24"/>
      <c r="AS32" s="25"/>
      <c r="AT32" s="26"/>
      <c r="AU32" s="24"/>
      <c r="AV32" s="25"/>
      <c r="AW32" s="26"/>
      <c r="AX32" s="24"/>
      <c r="AY32" s="25"/>
      <c r="AZ32" s="26"/>
      <c r="BA32" s="24"/>
      <c r="BB32" s="25"/>
      <c r="BC32" s="26"/>
      <c r="BD32" s="24"/>
      <c r="BE32" s="25"/>
      <c r="BF32" s="26"/>
      <c r="BG32" s="24"/>
      <c r="BH32" s="25"/>
      <c r="BI32" s="26"/>
      <c r="BJ32" s="24"/>
      <c r="BK32" s="25"/>
      <c r="BL32" s="26"/>
      <c r="BM32" s="24"/>
      <c r="BN32" s="25"/>
      <c r="BO32" s="26"/>
      <c r="BP32" s="24"/>
    </row>
    <row r="33" spans="1:68" ht="15.75" customHeight="1">
      <c r="A33" s="40"/>
      <c r="B33" s="63"/>
      <c r="C33" s="25"/>
      <c r="D33" s="26"/>
      <c r="E33" s="24"/>
      <c r="F33" s="25"/>
      <c r="G33" s="26"/>
      <c r="H33" s="24"/>
      <c r="I33" s="25"/>
      <c r="J33" s="26"/>
      <c r="K33" s="24"/>
      <c r="L33" s="25"/>
      <c r="M33" s="26"/>
      <c r="N33" s="24"/>
      <c r="O33" s="25"/>
      <c r="P33" s="26"/>
      <c r="Q33" s="24"/>
      <c r="R33" s="25"/>
      <c r="S33" s="26"/>
      <c r="T33" s="24"/>
      <c r="U33" s="25"/>
      <c r="V33" s="26"/>
      <c r="W33" s="24"/>
      <c r="X33" s="25"/>
      <c r="Y33" s="26"/>
      <c r="Z33" s="24"/>
      <c r="AA33" s="25"/>
      <c r="AB33" s="26"/>
      <c r="AC33" s="24"/>
      <c r="AD33" s="25"/>
      <c r="AE33" s="26"/>
      <c r="AF33" s="24"/>
      <c r="AG33" s="25"/>
      <c r="AH33" s="26"/>
      <c r="AI33" s="24"/>
      <c r="AJ33" s="25"/>
      <c r="AK33" s="26"/>
      <c r="AL33" s="24"/>
      <c r="AM33" s="25"/>
      <c r="AN33" s="26"/>
      <c r="AO33" s="24"/>
      <c r="AP33" s="25"/>
      <c r="AQ33" s="26"/>
      <c r="AR33" s="24"/>
      <c r="AS33" s="25"/>
      <c r="AT33" s="26"/>
      <c r="AU33" s="24"/>
      <c r="AV33" s="25"/>
      <c r="AW33" s="26"/>
      <c r="AX33" s="24"/>
      <c r="AY33" s="25"/>
      <c r="AZ33" s="26"/>
      <c r="BA33" s="24"/>
      <c r="BB33" s="25"/>
      <c r="BC33" s="26"/>
      <c r="BD33" s="24"/>
      <c r="BE33" s="25"/>
      <c r="BF33" s="26"/>
      <c r="BG33" s="24"/>
      <c r="BH33" s="25"/>
      <c r="BI33" s="26"/>
      <c r="BJ33" s="24"/>
      <c r="BK33" s="25"/>
      <c r="BL33" s="26"/>
      <c r="BM33" s="24"/>
      <c r="BN33" s="25"/>
      <c r="BO33" s="26"/>
      <c r="BP33" s="24"/>
    </row>
    <row r="34" spans="1:68" ht="15.75" customHeight="1">
      <c r="A34" s="40"/>
      <c r="B34" s="63"/>
      <c r="C34" s="25"/>
      <c r="D34" s="26"/>
      <c r="E34" s="24"/>
      <c r="F34" s="25"/>
      <c r="G34" s="26"/>
      <c r="H34" s="24"/>
      <c r="I34" s="25"/>
      <c r="J34" s="26"/>
      <c r="K34" s="24"/>
      <c r="L34" s="25"/>
      <c r="M34" s="26"/>
      <c r="N34" s="24"/>
      <c r="O34" s="25"/>
      <c r="P34" s="26"/>
      <c r="Q34" s="24"/>
      <c r="R34" s="25"/>
      <c r="S34" s="26"/>
      <c r="T34" s="64"/>
      <c r="U34" s="25"/>
      <c r="V34" s="26"/>
      <c r="W34" s="24"/>
      <c r="X34" s="25"/>
      <c r="Y34" s="26"/>
      <c r="Z34" s="24"/>
      <c r="AA34" s="25"/>
      <c r="AB34" s="26"/>
      <c r="AC34" s="24"/>
      <c r="AD34" s="25"/>
      <c r="AE34" s="26"/>
      <c r="AF34" s="24"/>
      <c r="AG34" s="25"/>
      <c r="AH34" s="26"/>
      <c r="AI34" s="24"/>
      <c r="AJ34" s="25"/>
      <c r="AK34" s="26"/>
      <c r="AL34" s="24"/>
      <c r="AM34" s="25"/>
      <c r="AN34" s="26"/>
      <c r="AO34" s="24"/>
      <c r="AP34" s="25"/>
      <c r="AQ34" s="26"/>
      <c r="AR34" s="24"/>
      <c r="AS34" s="25"/>
      <c r="AT34" s="26"/>
      <c r="AU34" s="24"/>
      <c r="AV34" s="25"/>
      <c r="AW34" s="26"/>
      <c r="AX34" s="24"/>
      <c r="AY34" s="25"/>
      <c r="AZ34" s="26"/>
      <c r="BA34" s="24"/>
      <c r="BB34" s="25"/>
      <c r="BC34" s="26"/>
      <c r="BD34" s="24"/>
      <c r="BE34" s="25"/>
      <c r="BF34" s="26"/>
      <c r="BG34" s="24"/>
      <c r="BH34" s="25"/>
      <c r="BI34" s="26"/>
      <c r="BJ34" s="24"/>
      <c r="BK34" s="25"/>
      <c r="BL34" s="26"/>
      <c r="BM34" s="24"/>
      <c r="BN34" s="25"/>
      <c r="BO34" s="26"/>
      <c r="BP34" s="65"/>
    </row>
    <row r="35" spans="1:68" ht="15.75" customHeight="1">
      <c r="A35" s="40"/>
      <c r="B35" s="63"/>
      <c r="C35" s="25"/>
      <c r="D35" s="26"/>
      <c r="E35" s="24"/>
      <c r="F35" s="25"/>
      <c r="G35" s="26"/>
      <c r="H35" s="24"/>
      <c r="I35" s="25"/>
      <c r="J35" s="26"/>
      <c r="K35" s="24"/>
      <c r="L35" s="25"/>
      <c r="M35" s="26"/>
      <c r="N35" s="24"/>
      <c r="O35" s="25"/>
      <c r="P35" s="26"/>
      <c r="Q35" s="24"/>
      <c r="R35" s="25"/>
      <c r="S35" s="26"/>
      <c r="T35" s="24"/>
      <c r="U35" s="25"/>
      <c r="V35" s="26"/>
      <c r="W35" s="24"/>
      <c r="X35" s="25"/>
      <c r="Y35" s="26"/>
      <c r="Z35" s="24"/>
      <c r="AA35" s="25"/>
      <c r="AB35" s="26"/>
      <c r="AC35" s="24"/>
      <c r="AD35" s="25"/>
      <c r="AE35" s="26"/>
      <c r="AF35" s="24"/>
      <c r="AG35" s="25"/>
      <c r="AH35" s="26"/>
      <c r="AI35" s="24"/>
      <c r="AJ35" s="25"/>
      <c r="AK35" s="26"/>
      <c r="AL35" s="24"/>
      <c r="AM35" s="25"/>
      <c r="AN35" s="26"/>
      <c r="AO35" s="24"/>
      <c r="AP35" s="25"/>
      <c r="AQ35" s="26"/>
      <c r="AR35" s="24"/>
      <c r="AS35" s="25"/>
      <c r="AT35" s="26"/>
      <c r="AU35" s="24"/>
      <c r="AV35" s="25"/>
      <c r="AW35" s="26"/>
      <c r="AX35" s="24"/>
      <c r="AY35" s="25"/>
      <c r="AZ35" s="26"/>
      <c r="BA35" s="24"/>
      <c r="BB35" s="25"/>
      <c r="BC35" s="26"/>
      <c r="BD35" s="24"/>
      <c r="BE35" s="25"/>
      <c r="BF35" s="26"/>
      <c r="BG35" s="24"/>
      <c r="BH35" s="25"/>
      <c r="BI35" s="26"/>
      <c r="BJ35" s="24"/>
      <c r="BK35" s="25"/>
      <c r="BL35" s="26"/>
      <c r="BM35" s="24"/>
      <c r="BN35" s="25"/>
      <c r="BO35" s="26"/>
      <c r="BP35" s="65"/>
    </row>
    <row r="36" spans="1:68" ht="15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7"/>
      <c r="BH36" s="24"/>
      <c r="BI36" s="24"/>
      <c r="BJ36" s="24"/>
      <c r="BK36" s="24"/>
      <c r="BL36" s="24"/>
      <c r="BM36" s="24"/>
      <c r="BN36" s="66"/>
      <c r="BO36" s="66"/>
      <c r="BP36" s="67"/>
    </row>
    <row r="37" spans="1:68" ht="15.7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</row>
    <row r="38" spans="1:68" ht="15.7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</row>
    <row r="39" spans="1:68" ht="15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</row>
    <row r="40" spans="1:68" ht="15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</row>
    <row r="41" spans="1:68" ht="15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</row>
    <row r="42" spans="1:68" ht="15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</row>
    <row r="43" spans="1:68" ht="15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</row>
    <row r="44" spans="1:68" ht="15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</row>
    <row r="45" spans="1:68" ht="15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</row>
    <row r="46" spans="1:68" ht="15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</row>
    <row r="47" spans="1:68" ht="15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</row>
    <row r="48" spans="1:68" ht="15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</row>
    <row r="49" spans="1:68" ht="15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</row>
    <row r="50" spans="1:68" ht="15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</row>
    <row r="51" spans="1:68" ht="15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</row>
    <row r="52" spans="1:68" ht="15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5" r:id="rId1"/>
  <headerFooter alignWithMargins="0">
    <oddHeader>&amp;L&amp;"Times New Roman,Bold"&amp;14Banka e Shqiperise&amp;12
Sektori i Informacionit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H52"/>
  <sheetViews>
    <sheetView zoomScale="75" zoomScaleNormal="75" zoomScalePageLayoutView="0" workbookViewId="0" topLeftCell="A1">
      <pane xSplit="2" ySplit="11" topLeftCell="AY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:IV16384"/>
    </sheetView>
  </sheetViews>
  <sheetFormatPr defaultColWidth="13.28125" defaultRowHeight="15.75" customHeight="1"/>
  <cols>
    <col min="1" max="1" width="5.8515625" style="34" customWidth="1"/>
    <col min="2" max="2" width="32.00390625" style="34" customWidth="1"/>
    <col min="3" max="3" width="15.7109375" style="34" customWidth="1"/>
    <col min="4" max="4" width="10.57421875" style="34" bestFit="1" customWidth="1"/>
    <col min="5" max="5" width="6.421875" style="34" customWidth="1"/>
    <col min="6" max="6" width="16.421875" style="34" customWidth="1"/>
    <col min="7" max="7" width="10.57421875" style="34" bestFit="1" customWidth="1"/>
    <col min="8" max="8" width="6.28125" style="34" customWidth="1"/>
    <col min="9" max="9" width="16.140625" style="34" customWidth="1"/>
    <col min="10" max="10" width="13.8515625" style="34" customWidth="1"/>
    <col min="11" max="11" width="5.421875" style="34" customWidth="1"/>
    <col min="12" max="12" width="16.28125" style="34" customWidth="1"/>
    <col min="13" max="13" width="14.00390625" style="34" customWidth="1"/>
    <col min="14" max="14" width="5.7109375" style="34" customWidth="1"/>
    <col min="15" max="15" width="16.421875" style="34" customWidth="1"/>
    <col min="16" max="16" width="15.00390625" style="34" customWidth="1"/>
    <col min="17" max="17" width="5.57421875" style="34" customWidth="1"/>
    <col min="18" max="18" width="17.00390625" style="34" customWidth="1"/>
    <col min="19" max="19" width="15.8515625" style="34" customWidth="1"/>
    <col min="20" max="20" width="5.7109375" style="34" customWidth="1"/>
    <col min="21" max="21" width="14.140625" style="34" customWidth="1"/>
    <col min="22" max="22" width="13.8515625" style="34" customWidth="1"/>
    <col min="23" max="23" width="5.28125" style="34" customWidth="1"/>
    <col min="24" max="24" width="16.140625" style="34" customWidth="1"/>
    <col min="25" max="25" width="15.7109375" style="34" customWidth="1"/>
    <col min="26" max="26" width="5.7109375" style="34" customWidth="1"/>
    <col min="27" max="27" width="21.421875" style="34" bestFit="1" customWidth="1"/>
    <col min="28" max="28" width="10.57421875" style="34" bestFit="1" customWidth="1"/>
    <col min="29" max="29" width="5.7109375" style="34" customWidth="1"/>
    <col min="30" max="30" width="14.00390625" style="34" customWidth="1"/>
    <col min="31" max="31" width="12.421875" style="34" customWidth="1"/>
    <col min="32" max="32" width="5.7109375" style="34" customWidth="1"/>
    <col min="33" max="33" width="21.421875" style="34" bestFit="1" customWidth="1"/>
    <col min="34" max="34" width="10.57421875" style="34" bestFit="1" customWidth="1"/>
    <col min="35" max="35" width="5.7109375" style="34" customWidth="1"/>
    <col min="36" max="36" width="21.421875" style="34" bestFit="1" customWidth="1"/>
    <col min="37" max="37" width="10.57421875" style="34" bestFit="1" customWidth="1"/>
    <col min="38" max="38" width="4.421875" style="34" customWidth="1"/>
    <col min="39" max="39" width="21.421875" style="34" bestFit="1" customWidth="1"/>
    <col min="40" max="40" width="14.28125" style="34" customWidth="1"/>
    <col min="41" max="41" width="4.140625" style="34" customWidth="1"/>
    <col min="42" max="42" width="21.421875" style="34" bestFit="1" customWidth="1"/>
    <col min="43" max="43" width="10.57421875" style="34" bestFit="1" customWidth="1"/>
    <col min="44" max="44" width="4.57421875" style="34" customWidth="1"/>
    <col min="45" max="45" width="21.421875" style="34" bestFit="1" customWidth="1"/>
    <col min="46" max="46" width="11.8515625" style="34" customWidth="1"/>
    <col min="47" max="47" width="6.28125" style="34" customWidth="1"/>
    <col min="48" max="48" width="21.421875" style="34" bestFit="1" customWidth="1"/>
    <col min="49" max="49" width="11.57421875" style="34" customWidth="1"/>
    <col min="50" max="50" width="3.8515625" style="34" customWidth="1"/>
    <col min="51" max="51" width="21.421875" style="34" hidden="1" customWidth="1"/>
    <col min="52" max="52" width="14.140625" style="34" hidden="1" customWidth="1"/>
    <col min="53" max="53" width="6.7109375" style="34" hidden="1" customWidth="1"/>
    <col min="54" max="54" width="21.421875" style="34" bestFit="1" customWidth="1"/>
    <col min="55" max="55" width="14.140625" style="34" customWidth="1"/>
    <col min="56" max="56" width="8.00390625" style="34" customWidth="1"/>
    <col min="57" max="57" width="28.7109375" style="34" customWidth="1"/>
    <col min="58" max="58" width="13.140625" style="34" customWidth="1"/>
    <col min="59" max="16384" width="13.28125" style="34" customWidth="1"/>
  </cols>
  <sheetData>
    <row r="1" spans="1:59" ht="15.75" customHeight="1">
      <c r="A1" s="53" t="s">
        <v>0</v>
      </c>
      <c r="B1" s="54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7"/>
      <c r="BG1" s="57"/>
    </row>
    <row r="2" spans="1:59" ht="15.75" customHeight="1">
      <c r="A2" s="53"/>
      <c r="B2" s="5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7"/>
      <c r="BG2" s="57"/>
    </row>
    <row r="3" spans="1:59" ht="15.75" customHeight="1">
      <c r="A3" s="39"/>
      <c r="B3" s="58" t="s">
        <v>71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57"/>
      <c r="BG3" s="57"/>
    </row>
    <row r="4" spans="1:59" ht="15.75" customHeight="1">
      <c r="A4" s="55" t="s">
        <v>2</v>
      </c>
      <c r="B4" s="39"/>
      <c r="C4" s="53" t="s">
        <v>72</v>
      </c>
      <c r="D4" s="53"/>
      <c r="E4" s="59"/>
      <c r="F4" s="53" t="s">
        <v>73</v>
      </c>
      <c r="G4" s="53"/>
      <c r="H4" s="53"/>
      <c r="I4" s="53" t="s">
        <v>74</v>
      </c>
      <c r="J4" s="53"/>
      <c r="K4" s="59"/>
      <c r="L4" s="53" t="s">
        <v>75</v>
      </c>
      <c r="M4" s="53"/>
      <c r="N4" s="59"/>
      <c r="O4" s="53" t="s">
        <v>76</v>
      </c>
      <c r="P4" s="53"/>
      <c r="Q4" s="53"/>
      <c r="R4" s="53" t="s">
        <v>77</v>
      </c>
      <c r="S4" s="53"/>
      <c r="T4" s="53"/>
      <c r="U4" s="53" t="s">
        <v>78</v>
      </c>
      <c r="V4" s="53"/>
      <c r="W4" s="59"/>
      <c r="X4" s="53" t="s">
        <v>79</v>
      </c>
      <c r="Y4" s="53"/>
      <c r="Z4" s="59"/>
      <c r="AA4" s="53" t="s">
        <v>80</v>
      </c>
      <c r="AB4" s="53"/>
      <c r="AC4" s="59"/>
      <c r="AD4" s="53" t="s">
        <v>81</v>
      </c>
      <c r="AE4" s="53"/>
      <c r="AF4" s="59"/>
      <c r="AG4" s="53" t="s">
        <v>82</v>
      </c>
      <c r="AH4" s="53"/>
      <c r="AI4" s="59"/>
      <c r="AJ4" s="53" t="s">
        <v>83</v>
      </c>
      <c r="AK4" s="53"/>
      <c r="AL4" s="59"/>
      <c r="AM4" s="53" t="s">
        <v>84</v>
      </c>
      <c r="AN4" s="53"/>
      <c r="AO4" s="59"/>
      <c r="AP4" s="53" t="s">
        <v>85</v>
      </c>
      <c r="AQ4" s="53"/>
      <c r="AR4" s="59"/>
      <c r="AS4" s="53" t="s">
        <v>86</v>
      </c>
      <c r="AT4" s="53"/>
      <c r="AU4" s="59"/>
      <c r="AV4" s="53" t="s">
        <v>87</v>
      </c>
      <c r="AW4" s="53"/>
      <c r="AX4" s="60"/>
      <c r="AY4" s="53" t="s">
        <v>88</v>
      </c>
      <c r="AZ4" s="53"/>
      <c r="BA4" s="53"/>
      <c r="BB4" s="53" t="s">
        <v>89</v>
      </c>
      <c r="BC4" s="53"/>
      <c r="BD4" s="53"/>
      <c r="BE4" s="53" t="s">
        <v>3</v>
      </c>
      <c r="BF4" s="53"/>
      <c r="BG4" s="60"/>
    </row>
    <row r="5" spans="1:59" ht="15.75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</row>
    <row r="6" spans="1:59" ht="15" customHeight="1" thickTop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</row>
    <row r="7" spans="1:59" ht="15.75" customHeight="1">
      <c r="A7" s="59"/>
      <c r="B7" s="39"/>
      <c r="C7" s="49" t="s">
        <v>4</v>
      </c>
      <c r="D7" s="49" t="s">
        <v>4</v>
      </c>
      <c r="E7" s="49"/>
      <c r="F7" s="49" t="s">
        <v>4</v>
      </c>
      <c r="G7" s="49" t="s">
        <v>4</v>
      </c>
      <c r="H7" s="49"/>
      <c r="I7" s="49" t="s">
        <v>4</v>
      </c>
      <c r="J7" s="49" t="s">
        <v>4</v>
      </c>
      <c r="K7" s="49"/>
      <c r="L7" s="49" t="s">
        <v>4</v>
      </c>
      <c r="M7" s="49" t="s">
        <v>4</v>
      </c>
      <c r="N7" s="49"/>
      <c r="O7" s="49" t="s">
        <v>4</v>
      </c>
      <c r="P7" s="49" t="s">
        <v>4</v>
      </c>
      <c r="Q7" s="49"/>
      <c r="R7" s="49" t="s">
        <v>4</v>
      </c>
      <c r="S7" s="49" t="s">
        <v>4</v>
      </c>
      <c r="T7" s="49"/>
      <c r="U7" s="49" t="s">
        <v>4</v>
      </c>
      <c r="V7" s="49" t="s">
        <v>4</v>
      </c>
      <c r="W7" s="49"/>
      <c r="X7" s="49" t="s">
        <v>4</v>
      </c>
      <c r="Y7" s="49" t="s">
        <v>4</v>
      </c>
      <c r="Z7" s="49"/>
      <c r="AA7" s="49" t="s">
        <v>4</v>
      </c>
      <c r="AB7" s="49" t="s">
        <v>4</v>
      </c>
      <c r="AC7" s="49"/>
      <c r="AD7" s="49" t="s">
        <v>4</v>
      </c>
      <c r="AE7" s="49" t="s">
        <v>4</v>
      </c>
      <c r="AF7" s="49"/>
      <c r="AG7" s="49" t="s">
        <v>4</v>
      </c>
      <c r="AH7" s="49" t="s">
        <v>4</v>
      </c>
      <c r="AI7" s="49"/>
      <c r="AJ7" s="49" t="s">
        <v>4</v>
      </c>
      <c r="AK7" s="49" t="s">
        <v>4</v>
      </c>
      <c r="AL7" s="49"/>
      <c r="AM7" s="49" t="s">
        <v>4</v>
      </c>
      <c r="AN7" s="49" t="s">
        <v>4</v>
      </c>
      <c r="AO7" s="49"/>
      <c r="AP7" s="49" t="s">
        <v>4</v>
      </c>
      <c r="AQ7" s="49" t="s">
        <v>4</v>
      </c>
      <c r="AR7" s="49"/>
      <c r="AS7" s="49" t="s">
        <v>4</v>
      </c>
      <c r="AT7" s="49" t="s">
        <v>4</v>
      </c>
      <c r="AU7" s="49"/>
      <c r="AV7" s="49" t="s">
        <v>4</v>
      </c>
      <c r="AW7" s="49" t="s">
        <v>4</v>
      </c>
      <c r="AX7" s="49"/>
      <c r="AY7" s="49" t="s">
        <v>4</v>
      </c>
      <c r="AZ7" s="49" t="s">
        <v>4</v>
      </c>
      <c r="BA7" s="49"/>
      <c r="BB7" s="49" t="s">
        <v>4</v>
      </c>
      <c r="BC7" s="49" t="s">
        <v>4</v>
      </c>
      <c r="BD7" s="49"/>
      <c r="BE7" s="49" t="s">
        <v>5</v>
      </c>
      <c r="BF7" s="49" t="s">
        <v>5</v>
      </c>
      <c r="BG7" s="49"/>
    </row>
    <row r="8" spans="1:59" ht="15.75" customHeight="1">
      <c r="A8" s="39"/>
      <c r="B8" s="61" t="s">
        <v>6</v>
      </c>
      <c r="C8" s="49" t="s">
        <v>7</v>
      </c>
      <c r="D8" s="49" t="s">
        <v>7</v>
      </c>
      <c r="E8" s="49"/>
      <c r="F8" s="49" t="s">
        <v>7</v>
      </c>
      <c r="G8" s="49" t="s">
        <v>7</v>
      </c>
      <c r="H8" s="49"/>
      <c r="I8" s="49" t="s">
        <v>7</v>
      </c>
      <c r="J8" s="49" t="s">
        <v>7</v>
      </c>
      <c r="K8" s="49"/>
      <c r="L8" s="49" t="s">
        <v>7</v>
      </c>
      <c r="M8" s="49" t="s">
        <v>7</v>
      </c>
      <c r="N8" s="49"/>
      <c r="O8" s="49" t="s">
        <v>7</v>
      </c>
      <c r="P8" s="49" t="s">
        <v>7</v>
      </c>
      <c r="Q8" s="49"/>
      <c r="R8" s="49" t="s">
        <v>7</v>
      </c>
      <c r="S8" s="49" t="s">
        <v>7</v>
      </c>
      <c r="T8" s="49"/>
      <c r="U8" s="49" t="s">
        <v>7</v>
      </c>
      <c r="V8" s="49" t="s">
        <v>7</v>
      </c>
      <c r="W8" s="49"/>
      <c r="X8" s="49" t="s">
        <v>7</v>
      </c>
      <c r="Y8" s="49" t="s">
        <v>7</v>
      </c>
      <c r="Z8" s="49"/>
      <c r="AA8" s="49" t="s">
        <v>7</v>
      </c>
      <c r="AB8" s="49" t="s">
        <v>7</v>
      </c>
      <c r="AC8" s="49"/>
      <c r="AD8" s="49" t="s">
        <v>7</v>
      </c>
      <c r="AE8" s="49" t="s">
        <v>7</v>
      </c>
      <c r="AF8" s="49"/>
      <c r="AG8" s="49" t="s">
        <v>7</v>
      </c>
      <c r="AH8" s="49" t="s">
        <v>7</v>
      </c>
      <c r="AI8" s="49"/>
      <c r="AJ8" s="49" t="s">
        <v>7</v>
      </c>
      <c r="AK8" s="49" t="s">
        <v>7</v>
      </c>
      <c r="AL8" s="49"/>
      <c r="AM8" s="49" t="s">
        <v>7</v>
      </c>
      <c r="AN8" s="49" t="s">
        <v>7</v>
      </c>
      <c r="AO8" s="49"/>
      <c r="AP8" s="49" t="s">
        <v>7</v>
      </c>
      <c r="AQ8" s="49" t="s">
        <v>7</v>
      </c>
      <c r="AR8" s="49"/>
      <c r="AS8" s="49" t="s">
        <v>7</v>
      </c>
      <c r="AT8" s="49" t="s">
        <v>7</v>
      </c>
      <c r="AU8" s="49"/>
      <c r="AV8" s="49" t="s">
        <v>7</v>
      </c>
      <c r="AW8" s="49" t="s">
        <v>7</v>
      </c>
      <c r="AX8" s="49"/>
      <c r="AY8" s="49" t="s">
        <v>7</v>
      </c>
      <c r="AZ8" s="49" t="s">
        <v>7</v>
      </c>
      <c r="BA8" s="49"/>
      <c r="BB8" s="49" t="s">
        <v>7</v>
      </c>
      <c r="BC8" s="49" t="s">
        <v>7</v>
      </c>
      <c r="BD8" s="49"/>
      <c r="BE8" s="49" t="s">
        <v>8</v>
      </c>
      <c r="BF8" s="49" t="s">
        <v>9</v>
      </c>
      <c r="BG8" s="49"/>
    </row>
    <row r="9" spans="1:59" ht="15.75" customHeight="1">
      <c r="A9" s="39"/>
      <c r="B9" s="39"/>
      <c r="C9" s="49" t="s">
        <v>10</v>
      </c>
      <c r="D9" s="49" t="s">
        <v>9</v>
      </c>
      <c r="E9" s="49"/>
      <c r="F9" s="49" t="s">
        <v>10</v>
      </c>
      <c r="G9" s="49" t="s">
        <v>9</v>
      </c>
      <c r="H9" s="49"/>
      <c r="I9" s="49" t="s">
        <v>10</v>
      </c>
      <c r="J9" s="49" t="s">
        <v>9</v>
      </c>
      <c r="K9" s="49"/>
      <c r="L9" s="49" t="s">
        <v>10</v>
      </c>
      <c r="M9" s="49" t="s">
        <v>9</v>
      </c>
      <c r="N9" s="49"/>
      <c r="O9" s="49" t="s">
        <v>10</v>
      </c>
      <c r="P9" s="49" t="s">
        <v>9</v>
      </c>
      <c r="Q9" s="49"/>
      <c r="R9" s="49" t="s">
        <v>10</v>
      </c>
      <c r="S9" s="49" t="s">
        <v>9</v>
      </c>
      <c r="T9" s="49"/>
      <c r="U9" s="49" t="s">
        <v>10</v>
      </c>
      <c r="V9" s="49" t="s">
        <v>9</v>
      </c>
      <c r="W9" s="49"/>
      <c r="X9" s="49" t="s">
        <v>10</v>
      </c>
      <c r="Y9" s="49" t="s">
        <v>9</v>
      </c>
      <c r="Z9" s="49"/>
      <c r="AA9" s="49" t="s">
        <v>10</v>
      </c>
      <c r="AB9" s="49" t="s">
        <v>9</v>
      </c>
      <c r="AC9" s="49"/>
      <c r="AD9" s="49" t="s">
        <v>10</v>
      </c>
      <c r="AE9" s="49" t="s">
        <v>9</v>
      </c>
      <c r="AF9" s="49"/>
      <c r="AG9" s="49" t="s">
        <v>10</v>
      </c>
      <c r="AH9" s="49" t="s">
        <v>9</v>
      </c>
      <c r="AI9" s="49"/>
      <c r="AJ9" s="49" t="s">
        <v>10</v>
      </c>
      <c r="AK9" s="49" t="s">
        <v>9</v>
      </c>
      <c r="AL9" s="49"/>
      <c r="AM9" s="49" t="s">
        <v>10</v>
      </c>
      <c r="AN9" s="49" t="s">
        <v>9</v>
      </c>
      <c r="AO9" s="49"/>
      <c r="AP9" s="49" t="s">
        <v>10</v>
      </c>
      <c r="AQ9" s="49" t="s">
        <v>9</v>
      </c>
      <c r="AR9" s="49"/>
      <c r="AS9" s="49" t="s">
        <v>10</v>
      </c>
      <c r="AT9" s="49" t="s">
        <v>9</v>
      </c>
      <c r="AU9" s="49"/>
      <c r="AV9" s="49" t="s">
        <v>10</v>
      </c>
      <c r="AW9" s="49" t="s">
        <v>9</v>
      </c>
      <c r="AX9" s="49"/>
      <c r="AY9" s="49" t="s">
        <v>10</v>
      </c>
      <c r="AZ9" s="49" t="s">
        <v>9</v>
      </c>
      <c r="BA9" s="49"/>
      <c r="BB9" s="49" t="s">
        <v>10</v>
      </c>
      <c r="BC9" s="49" t="s">
        <v>9</v>
      </c>
      <c r="BD9" s="49"/>
      <c r="BE9" s="49" t="s">
        <v>7</v>
      </c>
      <c r="BF9" s="49" t="s">
        <v>11</v>
      </c>
      <c r="BG9" s="49"/>
    </row>
    <row r="10" spans="1:60" ht="15.75" customHeight="1">
      <c r="A10" s="39"/>
      <c r="B10" s="39"/>
      <c r="C10" s="39"/>
      <c r="D10" s="49" t="s">
        <v>12</v>
      </c>
      <c r="E10" s="49"/>
      <c r="F10" s="39"/>
      <c r="G10" s="49" t="s">
        <v>12</v>
      </c>
      <c r="H10" s="39"/>
      <c r="I10" s="39"/>
      <c r="J10" s="49" t="s">
        <v>12</v>
      </c>
      <c r="K10" s="49"/>
      <c r="L10" s="39"/>
      <c r="M10" s="49" t="s">
        <v>12</v>
      </c>
      <c r="N10" s="49"/>
      <c r="O10" s="39"/>
      <c r="P10" s="49" t="s">
        <v>12</v>
      </c>
      <c r="Q10" s="49"/>
      <c r="R10" s="39"/>
      <c r="S10" s="49" t="s">
        <v>12</v>
      </c>
      <c r="T10" s="49"/>
      <c r="U10" s="55" t="s">
        <v>13</v>
      </c>
      <c r="V10" s="49" t="s">
        <v>12</v>
      </c>
      <c r="W10" s="49"/>
      <c r="X10" s="55" t="s">
        <v>13</v>
      </c>
      <c r="Y10" s="49" t="s">
        <v>12</v>
      </c>
      <c r="Z10" s="49"/>
      <c r="AA10" s="39"/>
      <c r="AB10" s="49" t="s">
        <v>12</v>
      </c>
      <c r="AC10" s="49"/>
      <c r="AD10" s="39"/>
      <c r="AE10" s="49" t="s">
        <v>12</v>
      </c>
      <c r="AF10" s="49"/>
      <c r="AG10" s="39"/>
      <c r="AH10" s="49" t="s">
        <v>12</v>
      </c>
      <c r="AI10" s="49"/>
      <c r="AJ10" s="39"/>
      <c r="AK10" s="49" t="s">
        <v>12</v>
      </c>
      <c r="AL10" s="49"/>
      <c r="AM10" s="39"/>
      <c r="AN10" s="49" t="s">
        <v>12</v>
      </c>
      <c r="AO10" s="49"/>
      <c r="AP10" s="39"/>
      <c r="AQ10" s="49" t="s">
        <v>12</v>
      </c>
      <c r="AR10" s="49"/>
      <c r="AS10" s="39"/>
      <c r="AT10" s="49" t="s">
        <v>12</v>
      </c>
      <c r="AU10" s="49"/>
      <c r="AV10" s="39"/>
      <c r="AW10" s="49" t="s">
        <v>12</v>
      </c>
      <c r="AX10" s="49"/>
      <c r="AY10" s="39"/>
      <c r="AZ10" s="49" t="s">
        <v>12</v>
      </c>
      <c r="BA10" s="49"/>
      <c r="BB10" s="39"/>
      <c r="BC10" s="49" t="s">
        <v>12</v>
      </c>
      <c r="BD10" s="39"/>
      <c r="BE10" s="49" t="s">
        <v>10</v>
      </c>
      <c r="BF10" s="49" t="s">
        <v>12</v>
      </c>
      <c r="BG10" s="49"/>
      <c r="BH10" s="62"/>
    </row>
    <row r="11" spans="1:59" ht="15.75" customHeight="1" thickBo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</row>
    <row r="12" spans="1:59" ht="15.75" customHeight="1" thickTop="1">
      <c r="A12" s="31" t="s">
        <v>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</row>
    <row r="13" spans="1:59" ht="15.75" customHeight="1">
      <c r="A13" s="35">
        <v>1</v>
      </c>
      <c r="B13" s="36" t="s">
        <v>14</v>
      </c>
      <c r="C13" s="37">
        <v>103</v>
      </c>
      <c r="D13" s="38">
        <v>79.87</v>
      </c>
      <c r="E13" s="39"/>
      <c r="F13" s="37">
        <v>103.18</v>
      </c>
      <c r="G13" s="38">
        <v>79.67</v>
      </c>
      <c r="H13" s="39"/>
      <c r="I13" s="37">
        <v>103.63</v>
      </c>
      <c r="J13" s="38">
        <v>79.4</v>
      </c>
      <c r="K13" s="39"/>
      <c r="L13" s="37">
        <v>103.39</v>
      </c>
      <c r="M13" s="38">
        <v>79.19</v>
      </c>
      <c r="N13" s="39"/>
      <c r="O13" s="37">
        <v>101.98</v>
      </c>
      <c r="P13" s="38">
        <v>80.25</v>
      </c>
      <c r="Q13" s="39"/>
      <c r="R13" s="37">
        <v>102.07</v>
      </c>
      <c r="S13" s="38">
        <v>80.24</v>
      </c>
      <c r="T13" s="39"/>
      <c r="U13" s="37">
        <v>101.98</v>
      </c>
      <c r="V13" s="38">
        <v>79.77</v>
      </c>
      <c r="W13" s="39"/>
      <c r="X13" s="37">
        <v>102.76</v>
      </c>
      <c r="Y13" s="38">
        <v>78.8</v>
      </c>
      <c r="Z13" s="39"/>
      <c r="AA13" s="37">
        <v>100.31</v>
      </c>
      <c r="AB13" s="38">
        <v>79.95</v>
      </c>
      <c r="AC13" s="39"/>
      <c r="AD13" s="37">
        <v>96.59</v>
      </c>
      <c r="AE13" s="38">
        <v>81.76</v>
      </c>
      <c r="AF13" s="39"/>
      <c r="AG13" s="37">
        <v>97.28</v>
      </c>
      <c r="AH13" s="38">
        <v>81.08</v>
      </c>
      <c r="AI13" s="39"/>
      <c r="AJ13" s="37">
        <v>98.6</v>
      </c>
      <c r="AK13" s="38">
        <v>80.1</v>
      </c>
      <c r="AL13" s="39"/>
      <c r="AM13" s="37">
        <v>100.14</v>
      </c>
      <c r="AN13" s="38">
        <v>79.83</v>
      </c>
      <c r="AO13" s="39"/>
      <c r="AP13" s="37">
        <v>99.34</v>
      </c>
      <c r="AQ13" s="38">
        <v>80.24</v>
      </c>
      <c r="AR13" s="39"/>
      <c r="AS13" s="37">
        <v>99.385</v>
      </c>
      <c r="AT13" s="38">
        <v>79.55</v>
      </c>
      <c r="AU13" s="39"/>
      <c r="AV13" s="37">
        <v>99.47</v>
      </c>
      <c r="AW13" s="38">
        <v>79.1</v>
      </c>
      <c r="AX13" s="39"/>
      <c r="AY13" s="37">
        <v>100.05</v>
      </c>
      <c r="AZ13" s="38">
        <v>78.29</v>
      </c>
      <c r="BA13" s="38"/>
      <c r="BB13" s="37">
        <v>99.32</v>
      </c>
      <c r="BC13" s="38">
        <v>78.82</v>
      </c>
      <c r="BD13" s="37"/>
      <c r="BE13" s="116">
        <f>(C13+F13+I13+L13+O13+R13+U13+X13+AA13+AD13+AG13+AJ13+AM13+AP13+AS13+AV13+AY13+BB13)/18</f>
        <v>100.69305555555555</v>
      </c>
      <c r="BF13" s="117">
        <f>(D13+G13+J13+M13+P13+S13+V13+Y13+AB13+AE13+AH13+AK13+AN13+AQ13+AT13+AW13+AZ13+BC13)/18</f>
        <v>79.77277777777778</v>
      </c>
      <c r="BG13" s="39"/>
    </row>
    <row r="14" spans="1:59" ht="15.75" customHeight="1">
      <c r="A14" s="35">
        <v>2</v>
      </c>
      <c r="B14" s="36" t="s">
        <v>15</v>
      </c>
      <c r="C14" s="37">
        <f>1/1.9854</f>
        <v>0.5036768409388536</v>
      </c>
      <c r="D14" s="38">
        <v>163.33</v>
      </c>
      <c r="E14" s="39"/>
      <c r="F14" s="37">
        <f>1/1.9857</f>
        <v>0.503600745329103</v>
      </c>
      <c r="G14" s="38">
        <v>163.24</v>
      </c>
      <c r="H14" s="39"/>
      <c r="I14" s="37">
        <f>1/1.978</f>
        <v>0.5055611729019212</v>
      </c>
      <c r="J14" s="38">
        <v>162.75</v>
      </c>
      <c r="K14" s="39"/>
      <c r="L14" s="37">
        <f>1/1.9946</f>
        <v>0.501353654868144</v>
      </c>
      <c r="M14" s="38">
        <v>163.3</v>
      </c>
      <c r="N14" s="39"/>
      <c r="O14" s="37">
        <f>1/2.0117</f>
        <v>0.4970920117313715</v>
      </c>
      <c r="P14" s="38">
        <v>164.64</v>
      </c>
      <c r="Q14" s="39"/>
      <c r="R14" s="37">
        <f>1/2.0204</f>
        <v>0.4949514947535142</v>
      </c>
      <c r="S14" s="38">
        <v>165.47</v>
      </c>
      <c r="T14" s="39"/>
      <c r="U14" s="37">
        <f>1/2.0188</f>
        <v>0.4953437685753913</v>
      </c>
      <c r="V14" s="38">
        <v>164.22</v>
      </c>
      <c r="W14" s="39"/>
      <c r="X14" s="37">
        <f>1/2.0188</f>
        <v>0.4953437685753913</v>
      </c>
      <c r="Y14" s="38">
        <v>163.46</v>
      </c>
      <c r="Z14" s="39"/>
      <c r="AA14" s="37">
        <f>1/2.0361</f>
        <v>0.4911350130150779</v>
      </c>
      <c r="AB14" s="38">
        <v>163.29</v>
      </c>
      <c r="AC14" s="39"/>
      <c r="AD14" s="37">
        <f>1/2.0093</f>
        <v>0.4976857612103717</v>
      </c>
      <c r="AE14" s="38">
        <v>158.69</v>
      </c>
      <c r="AF14" s="39"/>
      <c r="AG14" s="37">
        <f>1/2.0159</f>
        <v>0.49605635200158743</v>
      </c>
      <c r="AH14" s="38">
        <v>159.01</v>
      </c>
      <c r="AI14" s="39"/>
      <c r="AJ14" s="37">
        <f>1/1.9972</f>
        <v>0.5007009813739235</v>
      </c>
      <c r="AK14" s="38">
        <v>157.73</v>
      </c>
      <c r="AL14" s="39"/>
      <c r="AM14" s="37">
        <f>1/1.9793</f>
        <v>0.5052291214065578</v>
      </c>
      <c r="AN14" s="38">
        <v>158.23</v>
      </c>
      <c r="AO14" s="39"/>
      <c r="AP14" s="37">
        <f>1/1.9826</f>
        <v>0.5043881771411278</v>
      </c>
      <c r="AQ14" s="38">
        <v>158.04</v>
      </c>
      <c r="AR14" s="39"/>
      <c r="AS14" s="37">
        <f>1/1.9962</f>
        <v>0.5009518084360285</v>
      </c>
      <c r="AT14" s="38">
        <v>157.81</v>
      </c>
      <c r="AU14" s="39"/>
      <c r="AV14" s="37">
        <f>1/2.0151</f>
        <v>0.4962532876780309</v>
      </c>
      <c r="AW14" s="38">
        <v>158.56</v>
      </c>
      <c r="AX14" s="39"/>
      <c r="AY14" s="37">
        <f>1/1.995</f>
        <v>0.5012531328320802</v>
      </c>
      <c r="AZ14" s="38">
        <v>156.26</v>
      </c>
      <c r="BA14" s="38"/>
      <c r="BB14" s="37">
        <f>1/1.9849</f>
        <v>0.5038037180714393</v>
      </c>
      <c r="BC14" s="38">
        <v>155.39</v>
      </c>
      <c r="BD14" s="37"/>
      <c r="BE14" s="116">
        <f aca="true" t="shared" si="0" ref="BE14:BE25">(C14+F14+I14+L14+O14+R14+U14+X14+AA14+AD14+AG14+AJ14+AM14+AP14+AS14+AV14+AY14+BB14)/18</f>
        <v>0.49968782282443974</v>
      </c>
      <c r="BF14" s="117">
        <f aca="true" t="shared" si="1" ref="BF14:BF25">(D14+G14+J14+M14+P14+S14+V14+Y14+AB14+AE14+AH14+AK14+AN14+AQ14+AT14+AW14+AZ14+BC14)/18</f>
        <v>160.74555555555554</v>
      </c>
      <c r="BG14" s="39"/>
    </row>
    <row r="15" spans="1:59" ht="15.75" customHeight="1">
      <c r="A15" s="35">
        <v>3</v>
      </c>
      <c r="B15" s="36" t="s">
        <v>16</v>
      </c>
      <c r="C15" s="37">
        <v>1.0402</v>
      </c>
      <c r="D15" s="38">
        <v>79.09</v>
      </c>
      <c r="E15" s="39"/>
      <c r="F15" s="37">
        <v>1.0389</v>
      </c>
      <c r="G15" s="38">
        <v>79.13</v>
      </c>
      <c r="H15" s="39"/>
      <c r="I15" s="37">
        <v>1.0397</v>
      </c>
      <c r="J15" s="38">
        <v>79.14</v>
      </c>
      <c r="K15" s="39"/>
      <c r="L15" s="37">
        <v>1.0318</v>
      </c>
      <c r="M15" s="38">
        <v>79.35</v>
      </c>
      <c r="N15" s="39"/>
      <c r="O15" s="37">
        <v>1.021</v>
      </c>
      <c r="P15" s="38">
        <v>80.16</v>
      </c>
      <c r="Q15" s="39"/>
      <c r="R15" s="37">
        <v>1.023</v>
      </c>
      <c r="S15" s="38">
        <v>80.06</v>
      </c>
      <c r="T15" s="39"/>
      <c r="U15" s="37">
        <v>1.0163</v>
      </c>
      <c r="V15" s="38">
        <v>80.04</v>
      </c>
      <c r="W15" s="39"/>
      <c r="X15" s="37">
        <v>1.0254</v>
      </c>
      <c r="Y15" s="38">
        <v>78.97</v>
      </c>
      <c r="Z15" s="39"/>
      <c r="AA15" s="37">
        <v>1.0082</v>
      </c>
      <c r="AB15" s="38">
        <v>79.55</v>
      </c>
      <c r="AC15" s="39"/>
      <c r="AD15" s="37">
        <v>0.9823</v>
      </c>
      <c r="AE15" s="38">
        <v>80.4</v>
      </c>
      <c r="AF15" s="39"/>
      <c r="AG15" s="37">
        <v>0.9832</v>
      </c>
      <c r="AH15" s="38">
        <v>80.23</v>
      </c>
      <c r="AI15" s="39"/>
      <c r="AJ15" s="37">
        <v>0.9921</v>
      </c>
      <c r="AK15" s="38">
        <v>79.61</v>
      </c>
      <c r="AL15" s="39"/>
      <c r="AM15" s="37">
        <v>1.0152</v>
      </c>
      <c r="AN15" s="38">
        <v>78.75</v>
      </c>
      <c r="AO15" s="39"/>
      <c r="AP15" s="37">
        <v>1.0091</v>
      </c>
      <c r="AQ15" s="38">
        <v>78.99</v>
      </c>
      <c r="AR15" s="39"/>
      <c r="AS15" s="37">
        <v>0.9992</v>
      </c>
      <c r="AT15" s="38">
        <v>79.12</v>
      </c>
      <c r="AU15" s="39"/>
      <c r="AV15" s="37">
        <v>0.9933</v>
      </c>
      <c r="AW15" s="38">
        <v>79.22</v>
      </c>
      <c r="AX15" s="39"/>
      <c r="AY15" s="37">
        <v>0.9957</v>
      </c>
      <c r="AZ15" s="38">
        <v>78.67</v>
      </c>
      <c r="BA15" s="38"/>
      <c r="BB15" s="37">
        <v>0.9926</v>
      </c>
      <c r="BC15" s="38">
        <v>78.87</v>
      </c>
      <c r="BD15" s="37"/>
      <c r="BE15" s="116">
        <f t="shared" si="0"/>
        <v>1.011511111111111</v>
      </c>
      <c r="BF15" s="117">
        <f t="shared" si="1"/>
        <v>79.40833333333336</v>
      </c>
      <c r="BG15" s="39"/>
    </row>
    <row r="16" spans="1:59" ht="15.75" customHeight="1">
      <c r="A16" s="35">
        <v>4</v>
      </c>
      <c r="B16" s="36" t="s">
        <v>17</v>
      </c>
      <c r="C16" s="37">
        <f>1/1.5165</f>
        <v>0.6594131223211342</v>
      </c>
      <c r="D16" s="38">
        <v>124.71</v>
      </c>
      <c r="E16" s="39"/>
      <c r="F16" s="37">
        <f>1/1.5191</f>
        <v>0.6582845105654664</v>
      </c>
      <c r="G16" s="38">
        <v>124.8</v>
      </c>
      <c r="H16" s="39"/>
      <c r="I16" s="37">
        <f>1/1.5183</f>
        <v>0.6586313640255549</v>
      </c>
      <c r="J16" s="38">
        <v>124.88</v>
      </c>
      <c r="K16" s="39"/>
      <c r="L16" s="37">
        <f>1/1.5325</f>
        <v>0.6525285481239804</v>
      </c>
      <c r="M16" s="38">
        <v>125.33</v>
      </c>
      <c r="N16" s="39"/>
      <c r="O16" s="37">
        <f>1/1.5401</f>
        <v>0.6493084864619181</v>
      </c>
      <c r="P16" s="38">
        <v>125.98</v>
      </c>
      <c r="Q16" s="39"/>
      <c r="R16" s="37">
        <f>1/1.5368</f>
        <v>0.6507027589796981</v>
      </c>
      <c r="S16" s="38">
        <v>125.93</v>
      </c>
      <c r="T16" s="39"/>
      <c r="U16" s="37">
        <f>1/1.5456</f>
        <v>0.6469979296066253</v>
      </c>
      <c r="V16" s="38">
        <v>125.55</v>
      </c>
      <c r="W16" s="39"/>
      <c r="X16" s="37">
        <f>1/1.5457</f>
        <v>0.6469560716827327</v>
      </c>
      <c r="Y16" s="38">
        <v>124.93</v>
      </c>
      <c r="Z16" s="39"/>
      <c r="AA16" s="37">
        <f>1/1.5586</f>
        <v>0.6416014371872193</v>
      </c>
      <c r="AB16" s="38">
        <v>124.95</v>
      </c>
      <c r="AC16" s="39"/>
      <c r="AD16" s="37">
        <f>1/1.5765</f>
        <v>0.6343165239454488</v>
      </c>
      <c r="AE16" s="38">
        <v>124.47</v>
      </c>
      <c r="AF16" s="39"/>
      <c r="AG16" s="37">
        <f>1/1.5826</f>
        <v>0.6318716036901302</v>
      </c>
      <c r="AH16" s="38">
        <v>124.66</v>
      </c>
      <c r="AI16" s="39"/>
      <c r="AJ16" s="37">
        <f>1/1.5729</f>
        <v>0.6357683260219976</v>
      </c>
      <c r="AK16" s="38">
        <v>124.2</v>
      </c>
      <c r="AL16" s="39"/>
      <c r="AM16" s="37">
        <f>1/1.5457</f>
        <v>0.6469560716827327</v>
      </c>
      <c r="AN16" s="38">
        <v>123.65</v>
      </c>
      <c r="AO16" s="39"/>
      <c r="AP16" s="37">
        <f>1/1.5438</f>
        <v>0.6477522995206633</v>
      </c>
      <c r="AQ16" s="38">
        <v>123.04</v>
      </c>
      <c r="AR16" s="39"/>
      <c r="AS16" s="37">
        <f>1/1.5711</f>
        <v>0.6364967220418815</v>
      </c>
      <c r="AT16" s="38">
        <v>124.07</v>
      </c>
      <c r="AU16" s="39"/>
      <c r="AV16" s="37">
        <f>1/1.5803</f>
        <v>0.6327912421692083</v>
      </c>
      <c r="AW16" s="38">
        <v>124.2</v>
      </c>
      <c r="AX16" s="39"/>
      <c r="AY16" s="37">
        <f>1/1.5783</f>
        <v>0.6335931065070012</v>
      </c>
      <c r="AZ16" s="38">
        <v>123.52</v>
      </c>
      <c r="BA16" s="38"/>
      <c r="BB16" s="37">
        <f>1/1.5811</f>
        <v>0.6324710644488015</v>
      </c>
      <c r="BC16" s="38">
        <v>123.7</v>
      </c>
      <c r="BD16" s="37"/>
      <c r="BE16" s="116">
        <f t="shared" si="0"/>
        <v>0.644246732721233</v>
      </c>
      <c r="BF16" s="117">
        <f t="shared" si="1"/>
        <v>124.58722222222224</v>
      </c>
      <c r="BG16" s="39"/>
    </row>
    <row r="17" spans="1:59" ht="15.75" customHeight="1">
      <c r="A17" s="35">
        <v>5</v>
      </c>
      <c r="B17" s="36" t="s">
        <v>18</v>
      </c>
      <c r="C17" s="37">
        <v>978.25</v>
      </c>
      <c r="D17" s="38">
        <v>80476.35</v>
      </c>
      <c r="E17" s="39"/>
      <c r="F17" s="37">
        <v>980.7</v>
      </c>
      <c r="G17" s="38">
        <v>80619.06</v>
      </c>
      <c r="H17" s="39"/>
      <c r="I17" s="37">
        <v>966.2</v>
      </c>
      <c r="J17" s="38">
        <v>79501.35</v>
      </c>
      <c r="K17" s="39"/>
      <c r="L17" s="37">
        <v>984.9</v>
      </c>
      <c r="M17" s="38">
        <v>80633.76</v>
      </c>
      <c r="N17" s="39"/>
      <c r="O17" s="37">
        <v>977.9</v>
      </c>
      <c r="P17" s="38">
        <v>80033.78</v>
      </c>
      <c r="Q17" s="39"/>
      <c r="R17" s="37">
        <v>971</v>
      </c>
      <c r="S17" s="38">
        <v>79522.47</v>
      </c>
      <c r="T17" s="39"/>
      <c r="U17" s="37">
        <v>979.2</v>
      </c>
      <c r="V17" s="38">
        <v>79654.86</v>
      </c>
      <c r="W17" s="39"/>
      <c r="X17" s="37">
        <v>974.6</v>
      </c>
      <c r="Y17" s="38">
        <v>78914.58</v>
      </c>
      <c r="Z17" s="39"/>
      <c r="AA17" s="37">
        <v>989.15</v>
      </c>
      <c r="AB17" s="38">
        <v>79329.21</v>
      </c>
      <c r="AC17" s="39"/>
      <c r="AD17" s="37">
        <v>1023.8</v>
      </c>
      <c r="AE17" s="38">
        <v>80855.24</v>
      </c>
      <c r="AF17" s="39"/>
      <c r="AG17" s="37">
        <v>1006</v>
      </c>
      <c r="AH17" s="38">
        <v>79352.65</v>
      </c>
      <c r="AI17" s="39"/>
      <c r="AJ17" s="37">
        <v>990.1</v>
      </c>
      <c r="AK17" s="38">
        <v>78195</v>
      </c>
      <c r="AL17" s="39"/>
      <c r="AM17" s="37">
        <v>912.15</v>
      </c>
      <c r="AN17" s="38">
        <v>72920.12</v>
      </c>
      <c r="AO17" s="39"/>
      <c r="AP17" s="37">
        <v>919.1</v>
      </c>
      <c r="AQ17" s="38">
        <v>73263.18</v>
      </c>
      <c r="AR17" s="39"/>
      <c r="AS17" s="37">
        <v>944.5</v>
      </c>
      <c r="AT17" s="38">
        <v>74668.63</v>
      </c>
      <c r="AU17" s="39"/>
      <c r="AV17" s="37">
        <v>947.6</v>
      </c>
      <c r="AW17" s="38">
        <v>74561.91</v>
      </c>
      <c r="AX17" s="39"/>
      <c r="AY17" s="37">
        <v>944.3</v>
      </c>
      <c r="AZ17" s="38">
        <v>73964.66</v>
      </c>
      <c r="BA17" s="38"/>
      <c r="BB17" s="37">
        <v>937</v>
      </c>
      <c r="BC17" s="38">
        <v>73355.39</v>
      </c>
      <c r="BD17" s="37"/>
      <c r="BE17" s="116">
        <f t="shared" si="0"/>
        <v>968.1361111111112</v>
      </c>
      <c r="BF17" s="117">
        <f t="shared" si="1"/>
        <v>77767.89999999997</v>
      </c>
      <c r="BG17" s="39"/>
    </row>
    <row r="18" spans="1:59" ht="15.75" customHeight="1">
      <c r="A18" s="35">
        <v>6</v>
      </c>
      <c r="B18" s="42" t="s">
        <v>19</v>
      </c>
      <c r="C18" s="37">
        <v>19.96</v>
      </c>
      <c r="D18" s="38">
        <v>1642.02</v>
      </c>
      <c r="E18" s="39"/>
      <c r="F18" s="37">
        <v>20.24</v>
      </c>
      <c r="G18" s="38">
        <v>1663.84</v>
      </c>
      <c r="H18" s="39"/>
      <c r="I18" s="37">
        <v>19.64</v>
      </c>
      <c r="J18" s="38">
        <v>1616.03</v>
      </c>
      <c r="K18" s="39"/>
      <c r="L18" s="37">
        <v>20.87</v>
      </c>
      <c r="M18" s="38">
        <v>1708.63</v>
      </c>
      <c r="N18" s="39"/>
      <c r="O18" s="37">
        <v>20</v>
      </c>
      <c r="P18" s="38">
        <v>1636.85</v>
      </c>
      <c r="Q18" s="39"/>
      <c r="R18" s="37">
        <v>20.03</v>
      </c>
      <c r="S18" s="38">
        <v>1640.41</v>
      </c>
      <c r="T18" s="39"/>
      <c r="U18" s="37">
        <v>20.03</v>
      </c>
      <c r="V18" s="38">
        <v>1629.38</v>
      </c>
      <c r="W18" s="39"/>
      <c r="X18" s="37">
        <v>19.7</v>
      </c>
      <c r="Y18" s="38">
        <v>1595.13</v>
      </c>
      <c r="Z18" s="39"/>
      <c r="AA18" s="37">
        <v>20.34</v>
      </c>
      <c r="AB18" s="38">
        <v>1631.26</v>
      </c>
      <c r="AC18" s="39"/>
      <c r="AD18" s="37">
        <v>21.06</v>
      </c>
      <c r="AE18" s="38">
        <v>1663.23</v>
      </c>
      <c r="AF18" s="39"/>
      <c r="AG18" s="37">
        <v>20.26</v>
      </c>
      <c r="AH18" s="38">
        <v>1598.1</v>
      </c>
      <c r="AI18" s="39"/>
      <c r="AJ18" s="37">
        <v>19.85</v>
      </c>
      <c r="AK18" s="38">
        <v>1567.69</v>
      </c>
      <c r="AL18" s="39"/>
      <c r="AM18" s="37">
        <v>17.28</v>
      </c>
      <c r="AN18" s="38">
        <v>1381.42</v>
      </c>
      <c r="AO18" s="39"/>
      <c r="AP18" s="37">
        <v>17.17</v>
      </c>
      <c r="AQ18" s="38">
        <v>1368.65</v>
      </c>
      <c r="AR18" s="39"/>
      <c r="AS18" s="37">
        <v>18.05</v>
      </c>
      <c r="AT18" s="38">
        <v>1426.97</v>
      </c>
      <c r="AU18" s="39"/>
      <c r="AV18" s="37">
        <v>18.23</v>
      </c>
      <c r="AW18" s="38">
        <v>1434.43</v>
      </c>
      <c r="AX18" s="39"/>
      <c r="AY18" s="37">
        <v>18.35</v>
      </c>
      <c r="AZ18" s="38">
        <v>1437.31</v>
      </c>
      <c r="BA18" s="38"/>
      <c r="BB18" s="37">
        <v>17.97</v>
      </c>
      <c r="BC18" s="38">
        <v>1406.83</v>
      </c>
      <c r="BD18" s="37"/>
      <c r="BE18" s="116">
        <f t="shared" si="0"/>
        <v>19.39055555555556</v>
      </c>
      <c r="BF18" s="117">
        <f t="shared" si="1"/>
        <v>1558.2322222222222</v>
      </c>
      <c r="BG18" s="39"/>
    </row>
    <row r="19" spans="1:59" ht="15.75" customHeight="1">
      <c r="A19" s="35">
        <v>7</v>
      </c>
      <c r="B19" s="36" t="s">
        <v>20</v>
      </c>
      <c r="C19" s="37">
        <f>1/0.9309</f>
        <v>1.074229240519927</v>
      </c>
      <c r="D19" s="38">
        <v>76.58</v>
      </c>
      <c r="E19" s="39"/>
      <c r="F19" s="37">
        <f>1/0.9297</f>
        <v>1.0756157900397978</v>
      </c>
      <c r="G19" s="38">
        <v>76.43</v>
      </c>
      <c r="H19" s="39"/>
      <c r="I19" s="37">
        <f>1/0.9241</f>
        <v>1.0821339681852613</v>
      </c>
      <c r="J19" s="38">
        <v>76.04</v>
      </c>
      <c r="K19" s="39"/>
      <c r="L19" s="37">
        <f>1/0.9349</f>
        <v>1.0696331158412664</v>
      </c>
      <c r="M19" s="38">
        <v>76.54</v>
      </c>
      <c r="N19" s="39"/>
      <c r="O19" s="37">
        <f>1/0.9318</f>
        <v>1.073191672032625</v>
      </c>
      <c r="P19" s="38">
        <v>76.26</v>
      </c>
      <c r="Q19" s="39"/>
      <c r="R19" s="37">
        <f>1/0.9268</f>
        <v>1.0789814415192058</v>
      </c>
      <c r="S19" s="38">
        <v>75.9</v>
      </c>
      <c r="T19" s="39"/>
      <c r="U19" s="37">
        <f>1/0.9242</f>
        <v>1.0820168794633196</v>
      </c>
      <c r="V19" s="38">
        <v>75.18</v>
      </c>
      <c r="W19" s="39"/>
      <c r="X19" s="37">
        <f>1/0.9319</f>
        <v>1.0730765103551885</v>
      </c>
      <c r="Y19" s="38">
        <v>75.46</v>
      </c>
      <c r="Z19" s="39"/>
      <c r="AA19" s="37">
        <f>1/0.938</f>
        <v>1.0660980810234542</v>
      </c>
      <c r="AB19" s="38">
        <v>75.23</v>
      </c>
      <c r="AC19" s="39"/>
      <c r="AD19" s="37">
        <f>1/0.9229</f>
        <v>1.0835410120273052</v>
      </c>
      <c r="AE19" s="38">
        <v>72.89</v>
      </c>
      <c r="AF19" s="39"/>
      <c r="AG19" s="37">
        <f>1/0.9272</f>
        <v>1.0785159620362381</v>
      </c>
      <c r="AH19" s="38">
        <v>73.14</v>
      </c>
      <c r="AI19" s="39"/>
      <c r="AJ19" s="37">
        <f>1/0.9303</f>
        <v>1.074922068150059</v>
      </c>
      <c r="AK19" s="38">
        <v>73.47</v>
      </c>
      <c r="AL19" s="39"/>
      <c r="AM19" s="37">
        <f>1/0.9071</f>
        <v>1.1024142872891634</v>
      </c>
      <c r="AN19" s="38">
        <v>72.52</v>
      </c>
      <c r="AO19" s="39"/>
      <c r="AP19" s="37">
        <f>1/0.901</f>
        <v>1.1098779134295227</v>
      </c>
      <c r="AQ19" s="38">
        <v>71.82</v>
      </c>
      <c r="AR19" s="39"/>
      <c r="AS19" s="37">
        <f>1/0.9182</f>
        <v>1.0890873448050533</v>
      </c>
      <c r="AT19" s="38">
        <v>72.59</v>
      </c>
      <c r="AU19" s="39"/>
      <c r="AV19" s="37">
        <f>1/0.9228</f>
        <v>1.083658430862592</v>
      </c>
      <c r="AW19" s="38">
        <v>72.61</v>
      </c>
      <c r="AX19" s="48"/>
      <c r="AY19" s="37">
        <f>1/0.9222</f>
        <v>1.0843634786380394</v>
      </c>
      <c r="AZ19" s="38">
        <v>72.23</v>
      </c>
      <c r="BA19" s="38"/>
      <c r="BB19" s="37">
        <f>1/0.914</f>
        <v>1.0940919037199124</v>
      </c>
      <c r="BC19" s="38">
        <v>71.55</v>
      </c>
      <c r="BD19" s="37"/>
      <c r="BE19" s="116">
        <f t="shared" si="0"/>
        <v>1.0819693944409963</v>
      </c>
      <c r="BF19" s="117">
        <f t="shared" si="1"/>
        <v>74.24666666666666</v>
      </c>
      <c r="BG19" s="48"/>
    </row>
    <row r="20" spans="1:59" ht="15.75" customHeight="1">
      <c r="A20" s="35">
        <v>8</v>
      </c>
      <c r="B20" s="36" t="s">
        <v>21</v>
      </c>
      <c r="C20" s="37">
        <v>0.9857</v>
      </c>
      <c r="D20" s="38">
        <v>83.46</v>
      </c>
      <c r="E20" s="39"/>
      <c r="F20" s="37">
        <v>0.9871</v>
      </c>
      <c r="G20" s="38">
        <v>83.28</v>
      </c>
      <c r="H20" s="39"/>
      <c r="I20" s="37">
        <v>0.9917</v>
      </c>
      <c r="J20" s="38">
        <v>82.97</v>
      </c>
      <c r="K20" s="39"/>
      <c r="L20" s="37">
        <v>0.985</v>
      </c>
      <c r="M20" s="38">
        <v>83.12</v>
      </c>
      <c r="N20" s="39"/>
      <c r="O20" s="37">
        <v>0.9833</v>
      </c>
      <c r="P20" s="38">
        <v>83.23</v>
      </c>
      <c r="Q20" s="39"/>
      <c r="R20" s="37">
        <v>0.9866</v>
      </c>
      <c r="S20" s="38">
        <v>83.01</v>
      </c>
      <c r="T20" s="39"/>
      <c r="U20" s="37">
        <v>0.9906</v>
      </c>
      <c r="V20" s="38">
        <v>82.12</v>
      </c>
      <c r="W20" s="39"/>
      <c r="X20" s="37">
        <v>0.9851</v>
      </c>
      <c r="Y20" s="38">
        <v>82.2</v>
      </c>
      <c r="Z20" s="39"/>
      <c r="AA20" s="37">
        <v>0.9865</v>
      </c>
      <c r="AB20" s="38">
        <v>81.3</v>
      </c>
      <c r="AC20" s="39"/>
      <c r="AD20" s="37">
        <v>0.9876</v>
      </c>
      <c r="AE20" s="38">
        <v>79.97</v>
      </c>
      <c r="AF20" s="39"/>
      <c r="AG20" s="37">
        <v>0.9925</v>
      </c>
      <c r="AH20" s="38">
        <v>79.48</v>
      </c>
      <c r="AI20" s="39"/>
      <c r="AJ20" s="37">
        <v>0.9945</v>
      </c>
      <c r="AK20" s="38">
        <v>79.41</v>
      </c>
      <c r="AL20" s="39"/>
      <c r="AM20" s="37">
        <v>1.0228</v>
      </c>
      <c r="AN20" s="38">
        <v>78.16</v>
      </c>
      <c r="AO20" s="39"/>
      <c r="AP20" s="37">
        <v>1.0246</v>
      </c>
      <c r="AQ20" s="38">
        <v>77.8</v>
      </c>
      <c r="AR20" s="39"/>
      <c r="AS20" s="37">
        <v>1.0139</v>
      </c>
      <c r="AT20" s="38">
        <v>77.97</v>
      </c>
      <c r="AU20" s="39"/>
      <c r="AV20" s="37">
        <v>1.021</v>
      </c>
      <c r="AW20" s="38">
        <v>77.07</v>
      </c>
      <c r="AX20" s="39"/>
      <c r="AY20" s="37">
        <v>1.0181</v>
      </c>
      <c r="AZ20" s="38">
        <v>76.93</v>
      </c>
      <c r="BA20" s="38"/>
      <c r="BB20" s="37">
        <v>1.021</v>
      </c>
      <c r="BC20" s="38">
        <v>76.68</v>
      </c>
      <c r="BD20" s="37"/>
      <c r="BE20" s="116">
        <f t="shared" si="0"/>
        <v>0.9987555555555557</v>
      </c>
      <c r="BF20" s="117">
        <f t="shared" si="1"/>
        <v>80.45333333333333</v>
      </c>
      <c r="BG20" s="39"/>
    </row>
    <row r="21" spans="1:59" ht="15.75" customHeight="1">
      <c r="A21" s="35">
        <v>9</v>
      </c>
      <c r="B21" s="36" t="s">
        <v>22</v>
      </c>
      <c r="C21" s="37">
        <v>6.1812</v>
      </c>
      <c r="D21" s="38">
        <v>13.31</v>
      </c>
      <c r="E21" s="39"/>
      <c r="F21" s="37">
        <v>6.1586</v>
      </c>
      <c r="G21" s="38">
        <v>13.35</v>
      </c>
      <c r="H21" s="39"/>
      <c r="I21" s="37">
        <v>6.1647</v>
      </c>
      <c r="J21" s="38">
        <v>13.35</v>
      </c>
      <c r="K21" s="39"/>
      <c r="L21" s="37">
        <v>6.1048</v>
      </c>
      <c r="M21" s="38">
        <v>13.41</v>
      </c>
      <c r="N21" s="39"/>
      <c r="O21" s="37">
        <v>6.0909</v>
      </c>
      <c r="P21" s="38">
        <v>13.44</v>
      </c>
      <c r="Q21" s="39"/>
      <c r="R21" s="37">
        <v>6.1083</v>
      </c>
      <c r="S21" s="38">
        <v>13.41</v>
      </c>
      <c r="T21" s="39"/>
      <c r="U21" s="37">
        <v>6.077</v>
      </c>
      <c r="V21" s="38">
        <v>13.39</v>
      </c>
      <c r="W21" s="39"/>
      <c r="X21" s="37">
        <v>6.0724</v>
      </c>
      <c r="Y21" s="38">
        <v>13.33</v>
      </c>
      <c r="Z21" s="39"/>
      <c r="AA21" s="37">
        <v>6.0532</v>
      </c>
      <c r="AB21" s="38">
        <v>13.25</v>
      </c>
      <c r="AC21" s="39"/>
      <c r="AD21" s="37">
        <v>6.0042</v>
      </c>
      <c r="AE21" s="38">
        <v>13.15</v>
      </c>
      <c r="AF21" s="39"/>
      <c r="AG21" s="37">
        <v>5.9763</v>
      </c>
      <c r="AH21" s="38">
        <v>13.2</v>
      </c>
      <c r="AI21" s="39"/>
      <c r="AJ21" s="37">
        <v>5.9903</v>
      </c>
      <c r="AK21" s="38">
        <v>13.18</v>
      </c>
      <c r="AL21" s="39"/>
      <c r="AM21" s="37">
        <v>6.0904</v>
      </c>
      <c r="AN21" s="38">
        <v>13.13</v>
      </c>
      <c r="AO21" s="39"/>
      <c r="AP21" s="37">
        <v>6.0923</v>
      </c>
      <c r="AQ21" s="38">
        <v>13.08</v>
      </c>
      <c r="AR21" s="39"/>
      <c r="AS21" s="37">
        <v>5.9777</v>
      </c>
      <c r="AT21" s="38">
        <v>13.23</v>
      </c>
      <c r="AU21" s="39"/>
      <c r="AV21" s="37">
        <v>5.9458</v>
      </c>
      <c r="AW21" s="38">
        <v>13.23</v>
      </c>
      <c r="AX21" s="39"/>
      <c r="AY21" s="37">
        <v>5.9426</v>
      </c>
      <c r="AZ21" s="38">
        <v>13.18</v>
      </c>
      <c r="BA21" s="38"/>
      <c r="BB21" s="37">
        <v>5.9351</v>
      </c>
      <c r="BC21" s="38">
        <v>13.19</v>
      </c>
      <c r="BD21" s="37"/>
      <c r="BE21" s="116">
        <f t="shared" si="0"/>
        <v>6.053655555555555</v>
      </c>
      <c r="BF21" s="117">
        <f t="shared" si="1"/>
        <v>13.267222222222221</v>
      </c>
      <c r="BG21" s="39"/>
    </row>
    <row r="22" spans="1:59" ht="15.75" customHeight="1">
      <c r="A22" s="35">
        <v>10</v>
      </c>
      <c r="B22" s="36" t="s">
        <v>23</v>
      </c>
      <c r="C22" s="37">
        <v>5.212</v>
      </c>
      <c r="D22" s="38">
        <v>15.78</v>
      </c>
      <c r="E22" s="39"/>
      <c r="F22" s="37">
        <v>5.1734</v>
      </c>
      <c r="G22" s="38">
        <v>15.89</v>
      </c>
      <c r="H22" s="39"/>
      <c r="I22" s="37">
        <v>5.1738</v>
      </c>
      <c r="J22" s="38">
        <v>15.9</v>
      </c>
      <c r="K22" s="39"/>
      <c r="L22" s="37">
        <v>5.1099</v>
      </c>
      <c r="M22" s="38">
        <v>16.02</v>
      </c>
      <c r="N22" s="39"/>
      <c r="O22" s="37">
        <v>5.1218</v>
      </c>
      <c r="P22" s="38">
        <v>15.98</v>
      </c>
      <c r="Q22" s="39"/>
      <c r="R22" s="37">
        <v>5.1286</v>
      </c>
      <c r="S22" s="38">
        <v>15.97</v>
      </c>
      <c r="T22" s="39"/>
      <c r="U22" s="37">
        <v>5.1019</v>
      </c>
      <c r="V22" s="38">
        <v>15.94</v>
      </c>
      <c r="W22" s="39"/>
      <c r="X22" s="37">
        <v>5.0974</v>
      </c>
      <c r="Y22" s="38">
        <v>15.88</v>
      </c>
      <c r="Z22" s="39"/>
      <c r="AA22" s="37">
        <v>5.076</v>
      </c>
      <c r="AB22" s="38">
        <v>15.8</v>
      </c>
      <c r="AC22" s="39"/>
      <c r="AD22" s="37">
        <v>5.1043</v>
      </c>
      <c r="AE22" s="38">
        <v>15.47</v>
      </c>
      <c r="AF22" s="39"/>
      <c r="AG22" s="37">
        <v>5.1015</v>
      </c>
      <c r="AH22" s="38">
        <v>15.46</v>
      </c>
      <c r="AI22" s="39"/>
      <c r="AJ22" s="37">
        <v>5.112</v>
      </c>
      <c r="AK22" s="38">
        <v>15.45</v>
      </c>
      <c r="AL22" s="39"/>
      <c r="AM22" s="37">
        <v>5.239</v>
      </c>
      <c r="AN22" s="38">
        <v>15.26</v>
      </c>
      <c r="AO22" s="39"/>
      <c r="AP22" s="37">
        <v>5.2553</v>
      </c>
      <c r="AQ22" s="38">
        <v>15.17</v>
      </c>
      <c r="AR22" s="39"/>
      <c r="AS22" s="37">
        <v>5.1293</v>
      </c>
      <c r="AT22" s="38">
        <v>15.41</v>
      </c>
      <c r="AU22" s="39"/>
      <c r="AV22" s="37">
        <v>5.0694</v>
      </c>
      <c r="AW22" s="38">
        <v>15.52</v>
      </c>
      <c r="AX22" s="39"/>
      <c r="AY22" s="37">
        <v>5.0842</v>
      </c>
      <c r="AZ22" s="38">
        <v>15.41</v>
      </c>
      <c r="BA22" s="38"/>
      <c r="BB22" s="37">
        <v>5.0838</v>
      </c>
      <c r="BC22" s="38">
        <v>15.4</v>
      </c>
      <c r="BD22" s="37"/>
      <c r="BE22" s="116">
        <f t="shared" si="0"/>
        <v>5.131866666666667</v>
      </c>
      <c r="BF22" s="117">
        <f t="shared" si="1"/>
        <v>15.650555555555554</v>
      </c>
      <c r="BG22" s="39"/>
    </row>
    <row r="23" spans="1:59" ht="15.75" customHeight="1">
      <c r="A23" s="35">
        <v>11</v>
      </c>
      <c r="B23" s="36" t="s">
        <v>24</v>
      </c>
      <c r="C23" s="37">
        <v>4.9111</v>
      </c>
      <c r="D23" s="38">
        <v>16.75</v>
      </c>
      <c r="E23" s="39"/>
      <c r="F23" s="37">
        <v>4.9031</v>
      </c>
      <c r="G23" s="38">
        <v>16.77</v>
      </c>
      <c r="H23" s="39"/>
      <c r="I23" s="37">
        <v>4.9037</v>
      </c>
      <c r="J23" s="38">
        <v>16.78</v>
      </c>
      <c r="K23" s="39"/>
      <c r="L23" s="37">
        <v>4.8597</v>
      </c>
      <c r="M23" s="38">
        <v>16.85</v>
      </c>
      <c r="N23" s="39"/>
      <c r="O23" s="37">
        <v>4.8388</v>
      </c>
      <c r="P23" s="38">
        <v>16.91</v>
      </c>
      <c r="Q23" s="39"/>
      <c r="R23" s="37">
        <v>4.8506</v>
      </c>
      <c r="S23" s="38">
        <v>16.88</v>
      </c>
      <c r="T23" s="39"/>
      <c r="U23" s="37">
        <v>4.8233</v>
      </c>
      <c r="V23" s="38">
        <v>16.87</v>
      </c>
      <c r="W23" s="39"/>
      <c r="X23" s="37">
        <v>4.8225</v>
      </c>
      <c r="Y23" s="38">
        <v>16.79</v>
      </c>
      <c r="Z23" s="39"/>
      <c r="AA23" s="37">
        <v>4.7849</v>
      </c>
      <c r="AB23" s="38">
        <v>16.76</v>
      </c>
      <c r="AC23" s="39"/>
      <c r="AD23" s="37">
        <v>4.73</v>
      </c>
      <c r="AE23" s="38">
        <v>16.7</v>
      </c>
      <c r="AF23" s="39"/>
      <c r="AG23" s="37">
        <v>4.7131</v>
      </c>
      <c r="AH23" s="38">
        <v>16.74</v>
      </c>
      <c r="AI23" s="39"/>
      <c r="AJ23" s="37">
        <v>4.7415</v>
      </c>
      <c r="AK23" s="38">
        <v>16.66</v>
      </c>
      <c r="AL23" s="39"/>
      <c r="AM23" s="37">
        <v>4.8256</v>
      </c>
      <c r="AN23" s="38">
        <v>16.57</v>
      </c>
      <c r="AO23" s="39"/>
      <c r="AP23" s="37">
        <v>4.8308</v>
      </c>
      <c r="AQ23" s="38">
        <v>16.5</v>
      </c>
      <c r="AR23" s="39"/>
      <c r="AS23" s="37">
        <v>4.7465</v>
      </c>
      <c r="AT23" s="38">
        <v>16.66</v>
      </c>
      <c r="AU23" s="39"/>
      <c r="AV23" s="37">
        <v>4.7183</v>
      </c>
      <c r="AW23" s="38">
        <v>16.68</v>
      </c>
      <c r="AX23" s="39"/>
      <c r="AY23" s="37">
        <v>4.7233</v>
      </c>
      <c r="AZ23" s="38">
        <v>16.58</v>
      </c>
      <c r="BA23" s="38"/>
      <c r="BB23" s="37">
        <v>4.7154</v>
      </c>
      <c r="BC23" s="38">
        <v>16.6</v>
      </c>
      <c r="BD23" s="37"/>
      <c r="BE23" s="116">
        <f t="shared" si="0"/>
        <v>4.8023444444444445</v>
      </c>
      <c r="BF23" s="117">
        <f t="shared" si="1"/>
        <v>16.724999999999998</v>
      </c>
      <c r="BG23" s="39"/>
    </row>
    <row r="24" spans="1:58" ht="15.75" customHeight="1">
      <c r="A24" s="35">
        <v>12</v>
      </c>
      <c r="B24" s="36" t="s">
        <v>25</v>
      </c>
      <c r="C24" s="37">
        <f>1/1.61055</f>
        <v>0.6209059017105958</v>
      </c>
      <c r="D24" s="38">
        <v>132.49</v>
      </c>
      <c r="E24" s="39"/>
      <c r="F24" s="37">
        <f>1/1.61286</f>
        <v>0.6200166164453208</v>
      </c>
      <c r="G24" s="38">
        <v>132.59</v>
      </c>
      <c r="H24" s="39"/>
      <c r="I24" s="37">
        <f>1/1.61399</f>
        <v>0.6195825252944566</v>
      </c>
      <c r="J24" s="38">
        <v>132.8</v>
      </c>
      <c r="K24" s="39"/>
      <c r="L24" s="37">
        <f>1/1.6107</f>
        <v>0.6208480784751971</v>
      </c>
      <c r="M24" s="38">
        <v>131.87</v>
      </c>
      <c r="N24" s="39"/>
      <c r="O24" s="37">
        <f>1/1.61819</f>
        <v>0.617974403500207</v>
      </c>
      <c r="P24" s="38">
        <v>132.44</v>
      </c>
      <c r="Q24" s="39"/>
      <c r="R24" s="37">
        <f>1/1.62647</f>
        <v>0.6148284321260152</v>
      </c>
      <c r="S24" s="38">
        <v>133.2</v>
      </c>
      <c r="T24" s="39"/>
      <c r="U24" s="37">
        <f>1/1.62406</f>
        <v>0.6157407977537775</v>
      </c>
      <c r="V24" s="38">
        <v>132.11</v>
      </c>
      <c r="W24" s="39"/>
      <c r="X24" s="37">
        <f>1/1.62892</f>
        <v>0.6139036907889891</v>
      </c>
      <c r="Y24" s="38">
        <v>131.9</v>
      </c>
      <c r="Z24" s="39"/>
      <c r="AA24" s="37">
        <f>1/1.6273</f>
        <v>0.6145148405333989</v>
      </c>
      <c r="AB24" s="38">
        <v>130.51</v>
      </c>
      <c r="AC24" s="39"/>
      <c r="AD24" s="37">
        <f>1/1.6356</f>
        <v>0.6113964294448521</v>
      </c>
      <c r="AE24" s="38">
        <v>129.17</v>
      </c>
      <c r="AF24" s="39"/>
      <c r="AG24" s="37">
        <f>1/1.65041</f>
        <v>0.6059100465944826</v>
      </c>
      <c r="AH24" s="38">
        <v>130.18</v>
      </c>
      <c r="AI24" s="39"/>
      <c r="AJ24" s="37">
        <f>1/1.65109</f>
        <v>0.6056605030616139</v>
      </c>
      <c r="AK24" s="38">
        <v>130.4</v>
      </c>
      <c r="AL24" s="39"/>
      <c r="AM24" s="37">
        <f>1/1.64174</f>
        <v>0.6091098468697845</v>
      </c>
      <c r="AN24" s="38">
        <v>131.25</v>
      </c>
      <c r="AO24" s="39"/>
      <c r="AP24" s="37">
        <f>1/1.62903</f>
        <v>0.6138622370367642</v>
      </c>
      <c r="AQ24" s="38">
        <v>129.85</v>
      </c>
      <c r="AR24" s="39"/>
      <c r="AS24" s="37">
        <f>1/1.6341</f>
        <v>0.6119576525304449</v>
      </c>
      <c r="AT24" s="38">
        <v>129.19</v>
      </c>
      <c r="AU24" s="39"/>
      <c r="AV24" s="37">
        <f>1/1.64276</f>
        <v>0.6087316467408508</v>
      </c>
      <c r="AW24" s="38">
        <v>129.26</v>
      </c>
      <c r="AX24" s="39"/>
      <c r="AY24" s="37">
        <f>1/1.64664</f>
        <v>0.6072972841665452</v>
      </c>
      <c r="AZ24" s="38">
        <v>128.98</v>
      </c>
      <c r="BA24" s="38"/>
      <c r="BB24" s="37">
        <f>1/1.64599</f>
        <v>0.607537105328708</v>
      </c>
      <c r="BC24" s="38">
        <v>128.86</v>
      </c>
      <c r="BD24" s="37"/>
      <c r="BE24" s="116">
        <f t="shared" si="0"/>
        <v>0.6133210021334446</v>
      </c>
      <c r="BF24" s="117">
        <f t="shared" si="1"/>
        <v>130.94722222222222</v>
      </c>
    </row>
    <row r="25" spans="1:59" ht="15.75" customHeight="1" thickBot="1">
      <c r="A25" s="43">
        <v>13</v>
      </c>
      <c r="B25" s="44" t="s">
        <v>26</v>
      </c>
      <c r="C25" s="45">
        <v>1</v>
      </c>
      <c r="D25" s="46">
        <v>82.27</v>
      </c>
      <c r="E25" s="30"/>
      <c r="F25" s="45">
        <v>1</v>
      </c>
      <c r="G25" s="46">
        <v>82.21</v>
      </c>
      <c r="H25" s="30"/>
      <c r="I25" s="45">
        <v>1</v>
      </c>
      <c r="J25" s="46">
        <v>82.28</v>
      </c>
      <c r="K25" s="30"/>
      <c r="L25" s="45">
        <v>1</v>
      </c>
      <c r="M25" s="46">
        <v>81.87</v>
      </c>
      <c r="N25" s="30"/>
      <c r="O25" s="45">
        <v>1</v>
      </c>
      <c r="P25" s="46">
        <v>81.84</v>
      </c>
      <c r="Q25" s="30"/>
      <c r="R25" s="45">
        <v>1</v>
      </c>
      <c r="S25" s="46">
        <v>81.9</v>
      </c>
      <c r="T25" s="30"/>
      <c r="U25" s="45">
        <v>1</v>
      </c>
      <c r="V25" s="46">
        <v>81.35</v>
      </c>
      <c r="W25" s="30"/>
      <c r="X25" s="45">
        <v>1</v>
      </c>
      <c r="Y25" s="46">
        <v>80.97</v>
      </c>
      <c r="Z25" s="30"/>
      <c r="AA25" s="45">
        <v>1</v>
      </c>
      <c r="AB25" s="46">
        <v>80.2</v>
      </c>
      <c r="AC25" s="30"/>
      <c r="AD25" s="45">
        <v>1</v>
      </c>
      <c r="AE25" s="46">
        <v>78.98</v>
      </c>
      <c r="AF25" s="30"/>
      <c r="AG25" s="45">
        <v>1</v>
      </c>
      <c r="AH25" s="46">
        <v>78.88</v>
      </c>
      <c r="AI25" s="30"/>
      <c r="AJ25" s="45">
        <v>1</v>
      </c>
      <c r="AK25" s="46">
        <v>78.98</v>
      </c>
      <c r="AL25" s="30"/>
      <c r="AM25" s="45">
        <v>1</v>
      </c>
      <c r="AN25" s="46">
        <v>79.94</v>
      </c>
      <c r="AO25" s="30"/>
      <c r="AP25" s="45">
        <v>1</v>
      </c>
      <c r="AQ25" s="46">
        <v>79.71</v>
      </c>
      <c r="AR25" s="30"/>
      <c r="AS25" s="45">
        <v>1</v>
      </c>
      <c r="AT25" s="46">
        <v>79.06</v>
      </c>
      <c r="AU25" s="30"/>
      <c r="AV25" s="45">
        <v>1</v>
      </c>
      <c r="AW25" s="46">
        <v>78.69</v>
      </c>
      <c r="AX25" s="30"/>
      <c r="AY25" s="45">
        <v>1</v>
      </c>
      <c r="AZ25" s="46">
        <v>78.33</v>
      </c>
      <c r="BA25" s="46"/>
      <c r="BB25" s="45">
        <v>1</v>
      </c>
      <c r="BC25" s="46">
        <v>78.29</v>
      </c>
      <c r="BD25" s="45"/>
      <c r="BE25" s="118">
        <f t="shared" si="0"/>
        <v>1</v>
      </c>
      <c r="BF25" s="119">
        <f t="shared" si="1"/>
        <v>80.31944444444444</v>
      </c>
      <c r="BG25" s="30"/>
    </row>
    <row r="26" spans="1:59" ht="15.75" customHeight="1">
      <c r="A26" s="40"/>
      <c r="B26" s="41"/>
      <c r="C26" s="25"/>
      <c r="D26" s="26"/>
      <c r="E26" s="24"/>
      <c r="F26" s="25"/>
      <c r="G26" s="26"/>
      <c r="H26" s="24"/>
      <c r="I26" s="25"/>
      <c r="J26" s="26"/>
      <c r="K26" s="24"/>
      <c r="L26" s="25"/>
      <c r="M26" s="26"/>
      <c r="N26" s="24"/>
      <c r="O26" s="25"/>
      <c r="P26" s="26"/>
      <c r="Q26" s="24"/>
      <c r="R26" s="25"/>
      <c r="S26" s="26"/>
      <c r="T26" s="24"/>
      <c r="U26" s="25"/>
      <c r="V26" s="26"/>
      <c r="W26" s="24"/>
      <c r="X26" s="25"/>
      <c r="Y26" s="26"/>
      <c r="Z26" s="24"/>
      <c r="AA26" s="25"/>
      <c r="AB26" s="26"/>
      <c r="AC26" s="24"/>
      <c r="AD26" s="25"/>
      <c r="AE26" s="26"/>
      <c r="AF26" s="24"/>
      <c r="AG26" s="25"/>
      <c r="AH26" s="26"/>
      <c r="AI26" s="24"/>
      <c r="AJ26" s="25"/>
      <c r="AK26" s="26"/>
      <c r="AL26" s="24"/>
      <c r="AM26" s="25"/>
      <c r="AN26" s="26"/>
      <c r="AO26" s="24"/>
      <c r="AP26" s="25"/>
      <c r="AQ26" s="26"/>
      <c r="AR26" s="24"/>
      <c r="AS26" s="25"/>
      <c r="AT26" s="26"/>
      <c r="AU26" s="24"/>
      <c r="AV26" s="25"/>
      <c r="AW26" s="26"/>
      <c r="AX26" s="24"/>
      <c r="AY26" s="25"/>
      <c r="AZ26" s="26"/>
      <c r="BA26" s="26"/>
      <c r="BB26" s="25"/>
      <c r="BC26" s="26"/>
      <c r="BD26" s="25"/>
      <c r="BE26" s="25"/>
      <c r="BF26" s="26"/>
      <c r="BG26" s="24"/>
    </row>
    <row r="27" spans="1:59" ht="15.75" customHeight="1">
      <c r="A27" s="40"/>
      <c r="B27" s="41"/>
      <c r="C27" s="25"/>
      <c r="D27" s="26"/>
      <c r="E27" s="24"/>
      <c r="F27" s="25"/>
      <c r="G27" s="26"/>
      <c r="H27" s="24"/>
      <c r="I27" s="25"/>
      <c r="J27" s="26"/>
      <c r="K27" s="24"/>
      <c r="L27" s="25"/>
      <c r="M27" s="26"/>
      <c r="N27" s="24"/>
      <c r="O27" s="25"/>
      <c r="P27" s="26"/>
      <c r="Q27" s="24"/>
      <c r="R27" s="25"/>
      <c r="S27" s="26"/>
      <c r="T27" s="24"/>
      <c r="U27" s="25"/>
      <c r="V27" s="26"/>
      <c r="W27" s="24"/>
      <c r="X27" s="25"/>
      <c r="Y27" s="26"/>
      <c r="Z27" s="24"/>
      <c r="AA27" s="25"/>
      <c r="AB27" s="26"/>
      <c r="AC27" s="24"/>
      <c r="AD27" s="25"/>
      <c r="AE27" s="26"/>
      <c r="AF27" s="24"/>
      <c r="AG27" s="25"/>
      <c r="AH27" s="26"/>
      <c r="AI27" s="24"/>
      <c r="AJ27" s="25"/>
      <c r="AK27" s="26"/>
      <c r="AL27" s="24"/>
      <c r="AM27" s="25"/>
      <c r="AN27" s="26"/>
      <c r="AO27" s="24"/>
      <c r="AP27" s="25"/>
      <c r="AQ27" s="26"/>
      <c r="AR27" s="24"/>
      <c r="AS27" s="25"/>
      <c r="AT27" s="26"/>
      <c r="AU27" s="24"/>
      <c r="AV27" s="25"/>
      <c r="AW27" s="26"/>
      <c r="AX27" s="24"/>
      <c r="AY27" s="25"/>
      <c r="AZ27" s="26"/>
      <c r="BA27" s="26"/>
      <c r="BB27" s="25"/>
      <c r="BC27" s="26"/>
      <c r="BD27" s="25"/>
      <c r="BE27" s="25"/>
      <c r="BF27" s="26"/>
      <c r="BG27" s="24"/>
    </row>
    <row r="28" spans="1:59" ht="15.75" customHeight="1">
      <c r="A28" s="40"/>
      <c r="B28" s="41"/>
      <c r="C28" s="25"/>
      <c r="D28" s="26"/>
      <c r="E28" s="24"/>
      <c r="F28" s="25"/>
      <c r="G28" s="26"/>
      <c r="H28" s="24"/>
      <c r="I28" s="25"/>
      <c r="J28" s="26"/>
      <c r="K28" s="24"/>
      <c r="L28" s="25"/>
      <c r="M28" s="26"/>
      <c r="N28" s="24"/>
      <c r="O28" s="25"/>
      <c r="P28" s="26"/>
      <c r="Q28" s="24"/>
      <c r="R28" s="25"/>
      <c r="S28" s="26"/>
      <c r="T28" s="24"/>
      <c r="U28" s="25"/>
      <c r="V28" s="26"/>
      <c r="W28" s="24"/>
      <c r="X28" s="25"/>
      <c r="Y28" s="26"/>
      <c r="Z28" s="24"/>
      <c r="AA28" s="25"/>
      <c r="AB28" s="26"/>
      <c r="AC28" s="24"/>
      <c r="AD28" s="25"/>
      <c r="AE28" s="26"/>
      <c r="AF28" s="24"/>
      <c r="AG28" s="25"/>
      <c r="AH28" s="26"/>
      <c r="AI28" s="24"/>
      <c r="AJ28" s="25"/>
      <c r="AK28" s="26"/>
      <c r="AL28" s="24"/>
      <c r="AM28" s="25"/>
      <c r="AN28" s="26"/>
      <c r="AO28" s="24"/>
      <c r="AP28" s="25"/>
      <c r="AQ28" s="26"/>
      <c r="AR28" s="24"/>
      <c r="AS28" s="25"/>
      <c r="AT28" s="26"/>
      <c r="AU28" s="24"/>
      <c r="AV28" s="25"/>
      <c r="AW28" s="26"/>
      <c r="AX28" s="24"/>
      <c r="AY28" s="25"/>
      <c r="AZ28" s="26"/>
      <c r="BA28" s="26"/>
      <c r="BB28" s="25"/>
      <c r="BC28" s="26"/>
      <c r="BD28" s="25"/>
      <c r="BE28" s="25"/>
      <c r="BF28" s="26"/>
      <c r="BG28" s="24"/>
    </row>
    <row r="29" spans="1:59" ht="15.75" customHeight="1">
      <c r="A29" s="40"/>
      <c r="B29" s="41"/>
      <c r="C29" s="25"/>
      <c r="D29" s="26"/>
      <c r="E29" s="24"/>
      <c r="F29" s="25"/>
      <c r="G29" s="26"/>
      <c r="H29" s="24"/>
      <c r="I29" s="25"/>
      <c r="J29" s="26"/>
      <c r="K29" s="24"/>
      <c r="L29" s="25"/>
      <c r="M29" s="26"/>
      <c r="N29" s="24"/>
      <c r="O29" s="25"/>
      <c r="P29" s="26"/>
      <c r="Q29" s="24"/>
      <c r="R29" s="25"/>
      <c r="S29" s="26"/>
      <c r="T29" s="24"/>
      <c r="U29" s="25"/>
      <c r="V29" s="26"/>
      <c r="W29" s="24"/>
      <c r="X29" s="25"/>
      <c r="Y29" s="26"/>
      <c r="Z29" s="24"/>
      <c r="AA29" s="25"/>
      <c r="AB29" s="26"/>
      <c r="AC29" s="24"/>
      <c r="AD29" s="25"/>
      <c r="AE29" s="26"/>
      <c r="AF29" s="24"/>
      <c r="AG29" s="25"/>
      <c r="AH29" s="26"/>
      <c r="AI29" s="24"/>
      <c r="AJ29" s="25"/>
      <c r="AK29" s="26"/>
      <c r="AL29" s="24"/>
      <c r="AM29" s="25"/>
      <c r="AN29" s="26"/>
      <c r="AO29" s="24"/>
      <c r="AP29" s="25"/>
      <c r="AQ29" s="26"/>
      <c r="AR29" s="24"/>
      <c r="AS29" s="25"/>
      <c r="AT29" s="26"/>
      <c r="AU29" s="24"/>
      <c r="AV29" s="25"/>
      <c r="AW29" s="26"/>
      <c r="AX29" s="24"/>
      <c r="AY29" s="25"/>
      <c r="AZ29" s="26"/>
      <c r="BA29" s="26"/>
      <c r="BB29" s="25"/>
      <c r="BC29" s="26"/>
      <c r="BD29" s="25"/>
      <c r="BE29" s="25"/>
      <c r="BF29" s="26"/>
      <c r="BG29" s="24"/>
    </row>
    <row r="30" spans="1:59" ht="15.75" customHeight="1">
      <c r="A30" s="40"/>
      <c r="B30" s="41"/>
      <c r="C30" s="25"/>
      <c r="D30" s="26"/>
      <c r="E30" s="24"/>
      <c r="F30" s="25"/>
      <c r="G30" s="26"/>
      <c r="H30" s="24"/>
      <c r="I30" s="25"/>
      <c r="J30" s="26"/>
      <c r="K30" s="24"/>
      <c r="L30" s="25"/>
      <c r="M30" s="26"/>
      <c r="N30" s="24"/>
      <c r="O30" s="25"/>
      <c r="P30" s="26"/>
      <c r="Q30" s="24"/>
      <c r="R30" s="25"/>
      <c r="S30" s="26"/>
      <c r="T30" s="24"/>
      <c r="U30" s="25"/>
      <c r="V30" s="26"/>
      <c r="W30" s="24"/>
      <c r="X30" s="25"/>
      <c r="Y30" s="26"/>
      <c r="Z30" s="24"/>
      <c r="AA30" s="25"/>
      <c r="AB30" s="26"/>
      <c r="AC30" s="24"/>
      <c r="AD30" s="25"/>
      <c r="AE30" s="26"/>
      <c r="AF30" s="24"/>
      <c r="AG30" s="25"/>
      <c r="AH30" s="26"/>
      <c r="AI30" s="24"/>
      <c r="AJ30" s="25"/>
      <c r="AK30" s="26"/>
      <c r="AL30" s="24"/>
      <c r="AM30" s="25"/>
      <c r="AN30" s="26"/>
      <c r="AO30" s="24"/>
      <c r="AP30" s="25"/>
      <c r="AQ30" s="26"/>
      <c r="AR30" s="24"/>
      <c r="AS30" s="25"/>
      <c r="AT30" s="26"/>
      <c r="AU30" s="24"/>
      <c r="AV30" s="25"/>
      <c r="AW30" s="26"/>
      <c r="AX30" s="24"/>
      <c r="AY30" s="25"/>
      <c r="AZ30" s="26"/>
      <c r="BA30" s="26"/>
      <c r="BB30" s="25"/>
      <c r="BC30" s="26"/>
      <c r="BD30" s="25"/>
      <c r="BE30" s="25"/>
      <c r="BF30" s="26"/>
      <c r="BG30" s="24"/>
    </row>
    <row r="31" spans="1:58" ht="15.75" customHeight="1">
      <c r="A31" s="40"/>
      <c r="B31" s="41"/>
      <c r="C31" s="25"/>
      <c r="D31" s="26"/>
      <c r="E31" s="24"/>
      <c r="F31" s="25"/>
      <c r="G31" s="26"/>
      <c r="H31" s="24"/>
      <c r="I31" s="25"/>
      <c r="J31" s="26"/>
      <c r="K31" s="24"/>
      <c r="L31" s="25"/>
      <c r="M31" s="26"/>
      <c r="N31" s="24"/>
      <c r="O31" s="25"/>
      <c r="P31" s="26"/>
      <c r="Q31" s="24"/>
      <c r="R31" s="25"/>
      <c r="S31" s="26"/>
      <c r="T31" s="24"/>
      <c r="U31" s="25"/>
      <c r="V31" s="26"/>
      <c r="W31" s="24"/>
      <c r="X31" s="25"/>
      <c r="Y31" s="26"/>
      <c r="Z31" s="24"/>
      <c r="AA31" s="25"/>
      <c r="AB31" s="26"/>
      <c r="AC31" s="24"/>
      <c r="AD31" s="25"/>
      <c r="AE31" s="26"/>
      <c r="AF31" s="24"/>
      <c r="AG31" s="25"/>
      <c r="AH31" s="26"/>
      <c r="AI31" s="24"/>
      <c r="AJ31" s="25"/>
      <c r="AK31" s="26"/>
      <c r="AL31" s="24"/>
      <c r="AM31" s="25"/>
      <c r="AN31" s="26"/>
      <c r="AO31" s="24"/>
      <c r="AP31" s="25"/>
      <c r="AQ31" s="26"/>
      <c r="AR31" s="24"/>
      <c r="AS31" s="25"/>
      <c r="AT31" s="26"/>
      <c r="AU31" s="24"/>
      <c r="AV31" s="25"/>
      <c r="AW31" s="26"/>
      <c r="AX31" s="24"/>
      <c r="AY31" s="25"/>
      <c r="AZ31" s="26"/>
      <c r="BA31" s="26"/>
      <c r="BB31" s="25"/>
      <c r="BC31" s="26"/>
      <c r="BD31" s="25"/>
      <c r="BE31" s="26"/>
      <c r="BF31" s="24"/>
    </row>
    <row r="32" spans="1:59" ht="15.75" customHeight="1">
      <c r="A32" s="40"/>
      <c r="B32" s="41"/>
      <c r="C32" s="25"/>
      <c r="D32" s="26"/>
      <c r="E32" s="24"/>
      <c r="F32" s="25"/>
      <c r="G32" s="26"/>
      <c r="H32" s="24"/>
      <c r="I32" s="25"/>
      <c r="J32" s="26"/>
      <c r="K32" s="24"/>
      <c r="L32" s="25"/>
      <c r="M32" s="26"/>
      <c r="N32" s="24"/>
      <c r="O32" s="25"/>
      <c r="P32" s="26"/>
      <c r="Q32" s="24"/>
      <c r="R32" s="25"/>
      <c r="S32" s="26"/>
      <c r="T32" s="24"/>
      <c r="U32" s="25"/>
      <c r="V32" s="26"/>
      <c r="W32" s="24"/>
      <c r="X32" s="25"/>
      <c r="Y32" s="26"/>
      <c r="Z32" s="24"/>
      <c r="AA32" s="25"/>
      <c r="AB32" s="26"/>
      <c r="AC32" s="24"/>
      <c r="AD32" s="25"/>
      <c r="AE32" s="26"/>
      <c r="AF32" s="24"/>
      <c r="AG32" s="25"/>
      <c r="AH32" s="26"/>
      <c r="AI32" s="24"/>
      <c r="AJ32" s="25"/>
      <c r="AK32" s="26"/>
      <c r="AL32" s="24"/>
      <c r="AM32" s="25"/>
      <c r="AN32" s="26"/>
      <c r="AO32" s="24"/>
      <c r="AP32" s="25"/>
      <c r="AQ32" s="26"/>
      <c r="AR32" s="24"/>
      <c r="AS32" s="25"/>
      <c r="AT32" s="26"/>
      <c r="AU32" s="24"/>
      <c r="AV32" s="25"/>
      <c r="AW32" s="26"/>
      <c r="AX32" s="24"/>
      <c r="AY32" s="25"/>
      <c r="AZ32" s="26"/>
      <c r="BA32" s="26"/>
      <c r="BB32" s="25"/>
      <c r="BC32" s="26"/>
      <c r="BD32" s="25"/>
      <c r="BE32" s="25"/>
      <c r="BF32" s="26"/>
      <c r="BG32" s="24"/>
    </row>
    <row r="33" spans="1:59" ht="15.75" customHeight="1">
      <c r="A33" s="40"/>
      <c r="B33" s="63"/>
      <c r="C33" s="25"/>
      <c r="D33" s="26"/>
      <c r="E33" s="24"/>
      <c r="F33" s="25"/>
      <c r="G33" s="26"/>
      <c r="H33" s="24"/>
      <c r="I33" s="25"/>
      <c r="J33" s="26"/>
      <c r="K33" s="24"/>
      <c r="L33" s="25"/>
      <c r="M33" s="26"/>
      <c r="N33" s="24"/>
      <c r="O33" s="25"/>
      <c r="P33" s="26"/>
      <c r="Q33" s="24"/>
      <c r="R33" s="25"/>
      <c r="S33" s="26"/>
      <c r="T33" s="24"/>
      <c r="U33" s="25"/>
      <c r="V33" s="26"/>
      <c r="W33" s="24"/>
      <c r="X33" s="25"/>
      <c r="Y33" s="26"/>
      <c r="Z33" s="24"/>
      <c r="AA33" s="25"/>
      <c r="AB33" s="26"/>
      <c r="AC33" s="24"/>
      <c r="AD33" s="25"/>
      <c r="AE33" s="26"/>
      <c r="AF33" s="24"/>
      <c r="AG33" s="25"/>
      <c r="AH33" s="26"/>
      <c r="AI33" s="24"/>
      <c r="AJ33" s="25"/>
      <c r="AK33" s="26"/>
      <c r="AL33" s="24"/>
      <c r="AM33" s="25"/>
      <c r="AN33" s="26"/>
      <c r="AO33" s="24"/>
      <c r="AP33" s="25"/>
      <c r="AQ33" s="26"/>
      <c r="AR33" s="24"/>
      <c r="AS33" s="25"/>
      <c r="AT33" s="26"/>
      <c r="AU33" s="24"/>
      <c r="AV33" s="25"/>
      <c r="AW33" s="26"/>
      <c r="AX33" s="24"/>
      <c r="AY33" s="25"/>
      <c r="AZ33" s="26"/>
      <c r="BA33" s="26"/>
      <c r="BB33" s="25"/>
      <c r="BC33" s="26"/>
      <c r="BD33" s="25"/>
      <c r="BE33" s="25"/>
      <c r="BF33" s="26"/>
      <c r="BG33" s="24"/>
    </row>
    <row r="34" spans="1:59" ht="15.75" customHeight="1">
      <c r="A34" s="40"/>
      <c r="B34" s="63"/>
      <c r="C34" s="25"/>
      <c r="D34" s="26"/>
      <c r="E34" s="24"/>
      <c r="F34" s="25"/>
      <c r="G34" s="26"/>
      <c r="H34" s="24"/>
      <c r="I34" s="25"/>
      <c r="J34" s="26"/>
      <c r="K34" s="24"/>
      <c r="L34" s="25"/>
      <c r="M34" s="26"/>
      <c r="N34" s="24"/>
      <c r="O34" s="25"/>
      <c r="P34" s="26"/>
      <c r="Q34" s="64"/>
      <c r="R34" s="25"/>
      <c r="S34" s="26"/>
      <c r="T34" s="24"/>
      <c r="U34" s="25"/>
      <c r="V34" s="26"/>
      <c r="W34" s="24"/>
      <c r="X34" s="25"/>
      <c r="Y34" s="26"/>
      <c r="Z34" s="24"/>
      <c r="AA34" s="25"/>
      <c r="AB34" s="26"/>
      <c r="AC34" s="24"/>
      <c r="AD34" s="25"/>
      <c r="AE34" s="26"/>
      <c r="AF34" s="24"/>
      <c r="AG34" s="25"/>
      <c r="AH34" s="26"/>
      <c r="AI34" s="24"/>
      <c r="AJ34" s="25"/>
      <c r="AK34" s="26"/>
      <c r="AL34" s="24"/>
      <c r="AM34" s="25"/>
      <c r="AN34" s="26"/>
      <c r="AO34" s="24"/>
      <c r="AP34" s="25"/>
      <c r="AQ34" s="26"/>
      <c r="AR34" s="24"/>
      <c r="AS34" s="25"/>
      <c r="AT34" s="26"/>
      <c r="AU34" s="24"/>
      <c r="AV34" s="25"/>
      <c r="AW34" s="26"/>
      <c r="AX34" s="24"/>
      <c r="AY34" s="25"/>
      <c r="AZ34" s="26"/>
      <c r="BA34" s="26"/>
      <c r="BB34" s="25"/>
      <c r="BC34" s="26"/>
      <c r="BD34" s="25"/>
      <c r="BE34" s="25"/>
      <c r="BF34" s="26"/>
      <c r="BG34" s="65"/>
    </row>
    <row r="35" spans="1:59" ht="15.75" customHeight="1">
      <c r="A35" s="40"/>
      <c r="B35" s="63"/>
      <c r="C35" s="25"/>
      <c r="D35" s="26"/>
      <c r="E35" s="24"/>
      <c r="F35" s="25"/>
      <c r="G35" s="26"/>
      <c r="H35" s="24"/>
      <c r="I35" s="25"/>
      <c r="J35" s="26"/>
      <c r="K35" s="24"/>
      <c r="L35" s="25"/>
      <c r="M35" s="26"/>
      <c r="N35" s="24"/>
      <c r="O35" s="25"/>
      <c r="P35" s="26"/>
      <c r="Q35" s="24"/>
      <c r="R35" s="25"/>
      <c r="S35" s="26"/>
      <c r="T35" s="24"/>
      <c r="U35" s="25"/>
      <c r="V35" s="26"/>
      <c r="W35" s="24"/>
      <c r="X35" s="25"/>
      <c r="Y35" s="26"/>
      <c r="Z35" s="24"/>
      <c r="AA35" s="25"/>
      <c r="AB35" s="26"/>
      <c r="AC35" s="24"/>
      <c r="AD35" s="25"/>
      <c r="AE35" s="26"/>
      <c r="AF35" s="24"/>
      <c r="AG35" s="25"/>
      <c r="AH35" s="26"/>
      <c r="AI35" s="24"/>
      <c r="AJ35" s="25"/>
      <c r="AK35" s="26"/>
      <c r="AL35" s="24"/>
      <c r="AM35" s="25"/>
      <c r="AN35" s="26"/>
      <c r="AO35" s="24"/>
      <c r="AP35" s="25"/>
      <c r="AQ35" s="26"/>
      <c r="AR35" s="24"/>
      <c r="AS35" s="25"/>
      <c r="AT35" s="26"/>
      <c r="AU35" s="24"/>
      <c r="AV35" s="25"/>
      <c r="AW35" s="26"/>
      <c r="AX35" s="24"/>
      <c r="AY35" s="25"/>
      <c r="AZ35" s="26"/>
      <c r="BA35" s="26"/>
      <c r="BB35" s="25"/>
      <c r="BC35" s="26"/>
      <c r="BD35" s="25"/>
      <c r="BE35" s="25"/>
      <c r="BF35" s="66"/>
      <c r="BG35" s="65"/>
    </row>
    <row r="36" spans="1:59" ht="15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7"/>
      <c r="AV36" s="24"/>
      <c r="AW36" s="24"/>
      <c r="AX36" s="24"/>
      <c r="AY36" s="24"/>
      <c r="AZ36" s="24"/>
      <c r="BA36" s="24"/>
      <c r="BB36" s="24"/>
      <c r="BC36" s="24"/>
      <c r="BD36" s="24"/>
      <c r="BE36" s="66"/>
      <c r="BF36" s="57"/>
      <c r="BG36" s="67"/>
    </row>
    <row r="37" spans="1:59" ht="15.7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</row>
    <row r="38" spans="1:59" ht="15.7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</row>
    <row r="39" spans="1:59" ht="15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</row>
    <row r="40" spans="1:59" ht="15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</row>
    <row r="41" spans="1:59" ht="15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</row>
    <row r="42" spans="1:59" ht="15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</row>
    <row r="43" spans="1:59" ht="15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</row>
    <row r="44" spans="1:59" ht="15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</row>
    <row r="45" spans="1:59" ht="15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</row>
    <row r="46" spans="1:59" ht="15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</row>
    <row r="47" spans="1:59" ht="15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</row>
    <row r="48" spans="1:59" ht="15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</row>
    <row r="49" spans="1:59" ht="15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</row>
    <row r="50" spans="1:59" ht="15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</row>
    <row r="51" spans="1:59" ht="15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</row>
    <row r="52" spans="1:59" ht="15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G52" s="57"/>
    </row>
  </sheetData>
  <sheetProtection/>
  <printOptions/>
  <pageMargins left="0.75" right="0.75" top="1" bottom="1" header="0.5" footer="0.5"/>
  <pageSetup fitToWidth="7" horizontalDpi="300" verticalDpi="300" orientation="landscape" paperSize="9" scale="75" r:id="rId1"/>
  <headerFooter alignWithMargins="0">
    <oddHeader>&amp;L&amp;"Times New Roman,Bold"&amp;14Banka e Shqiperise&amp;12
Sektori i Informacionit</oddHeader>
  </headerFooter>
  <colBreaks count="6" manualBreakCount="6">
    <brk id="10" max="24" man="1"/>
    <brk id="19" max="24" man="1"/>
    <brk id="28" max="24" man="1"/>
    <brk id="37" max="24" man="1"/>
    <brk id="46" max="24" man="1"/>
    <brk id="55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:IV16384"/>
    </sheetView>
  </sheetViews>
  <sheetFormatPr defaultColWidth="13.28125" defaultRowHeight="15.75" customHeight="1"/>
  <cols>
    <col min="1" max="1" width="6.28125" style="34" customWidth="1"/>
    <col min="2" max="2" width="30.8515625" style="34" bestFit="1" customWidth="1"/>
    <col min="3" max="3" width="25.8515625" style="34" hidden="1" customWidth="1"/>
    <col min="4" max="4" width="12.421875" style="34" hidden="1" customWidth="1"/>
    <col min="5" max="5" width="9.421875" style="34" hidden="1" customWidth="1"/>
    <col min="6" max="6" width="21.57421875" style="34" hidden="1" customWidth="1"/>
    <col min="7" max="7" width="18.421875" style="34" hidden="1" customWidth="1"/>
    <col min="8" max="8" width="6.421875" style="34" hidden="1" customWidth="1"/>
    <col min="9" max="9" width="23.8515625" style="34" hidden="1" customWidth="1"/>
    <col min="10" max="10" width="14.00390625" style="34" hidden="1" customWidth="1"/>
    <col min="11" max="11" width="6.28125" style="34" hidden="1" customWidth="1"/>
    <col min="12" max="12" width="26.00390625" style="34" hidden="1" customWidth="1"/>
    <col min="13" max="13" width="13.8515625" style="34" hidden="1" customWidth="1"/>
    <col min="14" max="14" width="5.421875" style="34" hidden="1" customWidth="1"/>
    <col min="15" max="15" width="24.140625" style="34" hidden="1" customWidth="1"/>
    <col min="16" max="16" width="14.00390625" style="34" hidden="1" customWidth="1"/>
    <col min="17" max="17" width="5.7109375" style="34" hidden="1" customWidth="1"/>
    <col min="18" max="18" width="26.7109375" style="34" hidden="1" customWidth="1"/>
    <col min="19" max="19" width="15.00390625" style="34" hidden="1" customWidth="1"/>
    <col min="20" max="20" width="5.57421875" style="34" hidden="1" customWidth="1"/>
    <col min="21" max="21" width="25.7109375" style="34" hidden="1" customWidth="1"/>
    <col min="22" max="22" width="15.8515625" style="34" hidden="1" customWidth="1"/>
    <col min="23" max="23" width="5.7109375" style="34" hidden="1" customWidth="1"/>
    <col min="24" max="24" width="23.00390625" style="34" hidden="1" customWidth="1"/>
    <col min="25" max="25" width="13.8515625" style="34" hidden="1" customWidth="1"/>
    <col min="26" max="26" width="5.28125" style="34" hidden="1" customWidth="1"/>
    <col min="27" max="27" width="24.00390625" style="34" hidden="1" customWidth="1"/>
    <col min="28" max="28" width="15.7109375" style="34" hidden="1" customWidth="1"/>
    <col min="29" max="29" width="5.7109375" style="34" hidden="1" customWidth="1"/>
    <col min="30" max="30" width="21.421875" style="34" hidden="1" customWidth="1"/>
    <col min="31" max="31" width="10.57421875" style="34" hidden="1" customWidth="1"/>
    <col min="32" max="32" width="5.7109375" style="34" hidden="1" customWidth="1"/>
    <col min="33" max="33" width="27.140625" style="34" hidden="1" customWidth="1"/>
    <col min="34" max="34" width="10.57421875" style="34" hidden="1" customWidth="1"/>
    <col min="35" max="35" width="5.7109375" style="34" hidden="1" customWidth="1"/>
    <col min="36" max="36" width="24.00390625" style="34" hidden="1" customWidth="1"/>
    <col min="37" max="37" width="12.421875" style="34" hidden="1" customWidth="1"/>
    <col min="38" max="38" width="5.7109375" style="34" hidden="1" customWidth="1"/>
    <col min="39" max="39" width="21.421875" style="34" hidden="1" customWidth="1"/>
    <col min="40" max="40" width="10.57421875" style="34" hidden="1" customWidth="1"/>
    <col min="41" max="41" width="5.7109375" style="34" hidden="1" customWidth="1"/>
    <col min="42" max="42" width="22.57421875" style="34" hidden="1" customWidth="1"/>
    <col min="43" max="43" width="10.57421875" style="34" hidden="1" customWidth="1"/>
    <col min="44" max="44" width="5.7109375" style="34" hidden="1" customWidth="1"/>
    <col min="45" max="45" width="21.8515625" style="34" hidden="1" customWidth="1"/>
    <col min="46" max="46" width="14.28125" style="34" hidden="1" customWidth="1"/>
    <col min="47" max="47" width="6.421875" style="34" hidden="1" customWidth="1"/>
    <col min="48" max="48" width="21.421875" style="34" hidden="1" customWidth="1"/>
    <col min="49" max="49" width="10.57421875" style="34" hidden="1" customWidth="1"/>
    <col min="50" max="50" width="5.7109375" style="34" hidden="1" customWidth="1"/>
    <col min="51" max="51" width="21.421875" style="34" hidden="1" customWidth="1"/>
    <col min="52" max="52" width="10.57421875" style="34" hidden="1" customWidth="1"/>
    <col min="53" max="53" width="5.7109375" style="34" hidden="1" customWidth="1"/>
    <col min="54" max="54" width="24.421875" style="34" hidden="1" customWidth="1"/>
    <col min="55" max="55" width="17.57421875" style="34" hidden="1" customWidth="1"/>
    <col min="56" max="56" width="5.7109375" style="34" hidden="1" customWidth="1"/>
    <col min="57" max="57" width="21.421875" style="34" hidden="1" customWidth="1"/>
    <col min="58" max="58" width="10.57421875" style="34" hidden="1" customWidth="1"/>
    <col min="59" max="59" width="6.421875" style="34" hidden="1" customWidth="1"/>
    <col min="60" max="60" width="22.421875" style="34" hidden="1" customWidth="1"/>
    <col min="61" max="61" width="13.57421875" style="34" hidden="1" customWidth="1"/>
    <col min="62" max="62" width="5.7109375" style="34" hidden="1" customWidth="1"/>
    <col min="63" max="63" width="23.7109375" style="34" customWidth="1"/>
    <col min="64" max="64" width="14.140625" style="34" customWidth="1"/>
    <col min="65" max="65" width="11.00390625" style="34" customWidth="1"/>
    <col min="66" max="66" width="31.28125" style="34" customWidth="1"/>
    <col min="67" max="67" width="13.140625" style="34" customWidth="1"/>
    <col min="68" max="16384" width="13.28125" style="34" customWidth="1"/>
  </cols>
  <sheetData>
    <row r="1" spans="1:68" ht="15.75" customHeight="1">
      <c r="A1" s="53" t="s">
        <v>0</v>
      </c>
      <c r="B1" s="54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55" t="s">
        <v>1</v>
      </c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56"/>
      <c r="BI1" s="56"/>
      <c r="BJ1" s="56"/>
      <c r="BK1" s="56"/>
      <c r="BL1" s="56"/>
      <c r="BM1" s="56"/>
      <c r="BN1" s="56"/>
      <c r="BO1" s="57"/>
      <c r="BP1" s="57"/>
    </row>
    <row r="2" spans="1:68" ht="15.75" customHeight="1">
      <c r="A2" s="53"/>
      <c r="B2" s="5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55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56"/>
      <c r="BI2" s="56"/>
      <c r="BJ2" s="56"/>
      <c r="BK2" s="56"/>
      <c r="BL2" s="56"/>
      <c r="BM2" s="56"/>
      <c r="BN2" s="56"/>
      <c r="BO2" s="57"/>
      <c r="BP2" s="57"/>
    </row>
    <row r="3" spans="1:68" ht="15.75" customHeight="1">
      <c r="A3" s="39"/>
      <c r="B3" s="58" t="s">
        <v>90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24"/>
      <c r="BI3" s="24"/>
      <c r="BJ3" s="24"/>
      <c r="BK3" s="24"/>
      <c r="BL3" s="24"/>
      <c r="BM3" s="24"/>
      <c r="BN3" s="24"/>
      <c r="BO3" s="57"/>
      <c r="BP3" s="57"/>
    </row>
    <row r="4" spans="1:68" ht="15.75" customHeight="1">
      <c r="A4" s="55" t="s">
        <v>2</v>
      </c>
      <c r="B4" s="39"/>
      <c r="C4" s="53" t="s">
        <v>91</v>
      </c>
      <c r="D4" s="53"/>
      <c r="E4" s="59"/>
      <c r="F4" s="53" t="s">
        <v>93</v>
      </c>
      <c r="G4" s="53"/>
      <c r="H4" s="59"/>
      <c r="I4" s="53" t="s">
        <v>94</v>
      </c>
      <c r="J4" s="53"/>
      <c r="K4" s="53"/>
      <c r="L4" s="53" t="s">
        <v>92</v>
      </c>
      <c r="M4" s="53"/>
      <c r="N4" s="59"/>
      <c r="O4" s="53" t="s">
        <v>95</v>
      </c>
      <c r="P4" s="53"/>
      <c r="Q4" s="59"/>
      <c r="R4" s="53" t="s">
        <v>96</v>
      </c>
      <c r="S4" s="53"/>
      <c r="T4" s="53"/>
      <c r="U4" s="53" t="s">
        <v>97</v>
      </c>
      <c r="V4" s="53"/>
      <c r="W4" s="53"/>
      <c r="X4" s="53" t="s">
        <v>98</v>
      </c>
      <c r="Y4" s="53"/>
      <c r="Z4" s="59"/>
      <c r="AA4" s="53" t="s">
        <v>99</v>
      </c>
      <c r="AB4" s="53"/>
      <c r="AC4" s="59"/>
      <c r="AD4" s="53" t="s">
        <v>100</v>
      </c>
      <c r="AE4" s="53"/>
      <c r="AF4" s="59"/>
      <c r="AG4" s="53" t="s">
        <v>101</v>
      </c>
      <c r="AH4" s="53"/>
      <c r="AI4" s="59"/>
      <c r="AJ4" s="53" t="s">
        <v>102</v>
      </c>
      <c r="AK4" s="53"/>
      <c r="AL4" s="59"/>
      <c r="AM4" s="53" t="s">
        <v>103</v>
      </c>
      <c r="AN4" s="53"/>
      <c r="AO4" s="59"/>
      <c r="AP4" s="53" t="s">
        <v>104</v>
      </c>
      <c r="AQ4" s="53"/>
      <c r="AR4" s="59"/>
      <c r="AS4" s="53" t="s">
        <v>105</v>
      </c>
      <c r="AT4" s="53"/>
      <c r="AU4" s="59"/>
      <c r="AV4" s="53" t="s">
        <v>106</v>
      </c>
      <c r="AW4" s="53"/>
      <c r="AX4" s="59"/>
      <c r="AY4" s="53" t="s">
        <v>107</v>
      </c>
      <c r="AZ4" s="53"/>
      <c r="BA4" s="59"/>
      <c r="BB4" s="53" t="s">
        <v>108</v>
      </c>
      <c r="BC4" s="53"/>
      <c r="BD4" s="59"/>
      <c r="BE4" s="53" t="s">
        <v>109</v>
      </c>
      <c r="BF4" s="53"/>
      <c r="BG4" s="59"/>
      <c r="BH4" s="53" t="s">
        <v>110</v>
      </c>
      <c r="BI4" s="60"/>
      <c r="BJ4" s="60"/>
      <c r="BK4" s="53" t="s">
        <v>111</v>
      </c>
      <c r="BL4" s="53"/>
      <c r="BM4" s="60"/>
      <c r="BN4" s="53" t="s">
        <v>3</v>
      </c>
      <c r="BO4" s="53"/>
      <c r="BP4" s="60"/>
    </row>
    <row r="5" spans="1:68" ht="15.75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60"/>
      <c r="BI5" s="60"/>
      <c r="BJ5" s="60"/>
      <c r="BK5" s="60"/>
      <c r="BL5" s="60"/>
      <c r="BM5" s="60"/>
      <c r="BN5" s="60"/>
      <c r="BO5" s="60"/>
      <c r="BP5" s="60"/>
    </row>
    <row r="6" spans="1:68" ht="15" customHeight="1" thickTop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</row>
    <row r="7" spans="1:68" ht="15.75" customHeight="1">
      <c r="A7" s="59"/>
      <c r="B7" s="39"/>
      <c r="C7" s="49" t="s">
        <v>4</v>
      </c>
      <c r="D7" s="49" t="s">
        <v>4</v>
      </c>
      <c r="E7" s="49"/>
      <c r="F7" s="49" t="s">
        <v>4</v>
      </c>
      <c r="G7" s="49" t="s">
        <v>4</v>
      </c>
      <c r="H7" s="49"/>
      <c r="I7" s="49" t="s">
        <v>4</v>
      </c>
      <c r="J7" s="49" t="s">
        <v>4</v>
      </c>
      <c r="K7" s="49"/>
      <c r="L7" s="49" t="s">
        <v>4</v>
      </c>
      <c r="M7" s="49" t="s">
        <v>4</v>
      </c>
      <c r="N7" s="49"/>
      <c r="O7" s="49" t="s">
        <v>4</v>
      </c>
      <c r="P7" s="49" t="s">
        <v>4</v>
      </c>
      <c r="Q7" s="49"/>
      <c r="R7" s="49" t="s">
        <v>4</v>
      </c>
      <c r="S7" s="49" t="s">
        <v>4</v>
      </c>
      <c r="T7" s="49"/>
      <c r="U7" s="49" t="s">
        <v>4</v>
      </c>
      <c r="V7" s="49" t="s">
        <v>4</v>
      </c>
      <c r="W7" s="49"/>
      <c r="X7" s="49" t="s">
        <v>4</v>
      </c>
      <c r="Y7" s="49" t="s">
        <v>4</v>
      </c>
      <c r="Z7" s="49"/>
      <c r="AA7" s="49" t="s">
        <v>4</v>
      </c>
      <c r="AB7" s="49" t="s">
        <v>4</v>
      </c>
      <c r="AC7" s="49"/>
      <c r="AD7" s="49" t="s">
        <v>4</v>
      </c>
      <c r="AE7" s="49" t="s">
        <v>4</v>
      </c>
      <c r="AF7" s="49"/>
      <c r="AG7" s="49" t="s">
        <v>4</v>
      </c>
      <c r="AH7" s="49" t="s">
        <v>4</v>
      </c>
      <c r="AI7" s="49"/>
      <c r="AJ7" s="49" t="s">
        <v>4</v>
      </c>
      <c r="AK7" s="49" t="s">
        <v>4</v>
      </c>
      <c r="AL7" s="49"/>
      <c r="AM7" s="49" t="s">
        <v>4</v>
      </c>
      <c r="AN7" s="49" t="s">
        <v>4</v>
      </c>
      <c r="AO7" s="49"/>
      <c r="AP7" s="49" t="s">
        <v>4</v>
      </c>
      <c r="AQ7" s="49" t="s">
        <v>4</v>
      </c>
      <c r="AR7" s="49"/>
      <c r="AS7" s="49" t="s">
        <v>4</v>
      </c>
      <c r="AT7" s="49" t="s">
        <v>4</v>
      </c>
      <c r="AU7" s="49"/>
      <c r="AV7" s="49" t="s">
        <v>4</v>
      </c>
      <c r="AW7" s="49" t="s">
        <v>4</v>
      </c>
      <c r="AX7" s="49"/>
      <c r="AY7" s="49" t="s">
        <v>4</v>
      </c>
      <c r="AZ7" s="49" t="s">
        <v>4</v>
      </c>
      <c r="BA7" s="49"/>
      <c r="BB7" s="49" t="s">
        <v>4</v>
      </c>
      <c r="BC7" s="49" t="s">
        <v>4</v>
      </c>
      <c r="BD7" s="49"/>
      <c r="BE7" s="49" t="s">
        <v>4</v>
      </c>
      <c r="BF7" s="49" t="s">
        <v>4</v>
      </c>
      <c r="BG7" s="49"/>
      <c r="BH7" s="49" t="s">
        <v>4</v>
      </c>
      <c r="BI7" s="49" t="s">
        <v>4</v>
      </c>
      <c r="BJ7" s="49"/>
      <c r="BK7" s="49" t="s">
        <v>4</v>
      </c>
      <c r="BL7" s="49" t="s">
        <v>4</v>
      </c>
      <c r="BM7" s="49"/>
      <c r="BN7" s="49" t="s">
        <v>5</v>
      </c>
      <c r="BO7" s="49" t="s">
        <v>5</v>
      </c>
      <c r="BP7" s="49"/>
    </row>
    <row r="8" spans="1:68" ht="15.75" customHeight="1">
      <c r="A8" s="39"/>
      <c r="B8" s="61" t="s">
        <v>6</v>
      </c>
      <c r="C8" s="49" t="s">
        <v>7</v>
      </c>
      <c r="D8" s="49" t="s">
        <v>7</v>
      </c>
      <c r="E8" s="49"/>
      <c r="F8" s="49" t="s">
        <v>7</v>
      </c>
      <c r="G8" s="49" t="s">
        <v>7</v>
      </c>
      <c r="H8" s="49"/>
      <c r="I8" s="49" t="s">
        <v>7</v>
      </c>
      <c r="J8" s="49" t="s">
        <v>7</v>
      </c>
      <c r="K8" s="49"/>
      <c r="L8" s="49" t="s">
        <v>7</v>
      </c>
      <c r="M8" s="49" t="s">
        <v>7</v>
      </c>
      <c r="N8" s="49"/>
      <c r="O8" s="49" t="s">
        <v>7</v>
      </c>
      <c r="P8" s="49" t="s">
        <v>7</v>
      </c>
      <c r="Q8" s="49"/>
      <c r="R8" s="49" t="s">
        <v>7</v>
      </c>
      <c r="S8" s="49" t="s">
        <v>7</v>
      </c>
      <c r="T8" s="49"/>
      <c r="U8" s="49" t="s">
        <v>7</v>
      </c>
      <c r="V8" s="49" t="s">
        <v>7</v>
      </c>
      <c r="W8" s="49"/>
      <c r="X8" s="49" t="s">
        <v>7</v>
      </c>
      <c r="Y8" s="49" t="s">
        <v>7</v>
      </c>
      <c r="Z8" s="49"/>
      <c r="AA8" s="49" t="s">
        <v>7</v>
      </c>
      <c r="AB8" s="49" t="s">
        <v>7</v>
      </c>
      <c r="AC8" s="49"/>
      <c r="AD8" s="49" t="s">
        <v>7</v>
      </c>
      <c r="AE8" s="49" t="s">
        <v>7</v>
      </c>
      <c r="AF8" s="49"/>
      <c r="AG8" s="49" t="s">
        <v>7</v>
      </c>
      <c r="AH8" s="49" t="s">
        <v>7</v>
      </c>
      <c r="AI8" s="49"/>
      <c r="AJ8" s="49" t="s">
        <v>7</v>
      </c>
      <c r="AK8" s="49" t="s">
        <v>7</v>
      </c>
      <c r="AL8" s="49"/>
      <c r="AM8" s="49" t="s">
        <v>7</v>
      </c>
      <c r="AN8" s="49" t="s">
        <v>7</v>
      </c>
      <c r="AO8" s="49"/>
      <c r="AP8" s="49" t="s">
        <v>7</v>
      </c>
      <c r="AQ8" s="49" t="s">
        <v>7</v>
      </c>
      <c r="AR8" s="49"/>
      <c r="AS8" s="49" t="s">
        <v>7</v>
      </c>
      <c r="AT8" s="49" t="s">
        <v>7</v>
      </c>
      <c r="AU8" s="49"/>
      <c r="AV8" s="49" t="s">
        <v>7</v>
      </c>
      <c r="AW8" s="49" t="s">
        <v>7</v>
      </c>
      <c r="AX8" s="49"/>
      <c r="AY8" s="49" t="s">
        <v>7</v>
      </c>
      <c r="AZ8" s="49" t="s">
        <v>7</v>
      </c>
      <c r="BA8" s="49"/>
      <c r="BB8" s="49" t="s">
        <v>7</v>
      </c>
      <c r="BC8" s="49" t="s">
        <v>7</v>
      </c>
      <c r="BD8" s="49"/>
      <c r="BE8" s="49" t="s">
        <v>7</v>
      </c>
      <c r="BF8" s="49" t="s">
        <v>7</v>
      </c>
      <c r="BG8" s="49"/>
      <c r="BH8" s="49" t="s">
        <v>7</v>
      </c>
      <c r="BI8" s="49" t="s">
        <v>7</v>
      </c>
      <c r="BJ8" s="49"/>
      <c r="BK8" s="49" t="s">
        <v>7</v>
      </c>
      <c r="BL8" s="49" t="s">
        <v>7</v>
      </c>
      <c r="BM8" s="49"/>
      <c r="BN8" s="49" t="s">
        <v>8</v>
      </c>
      <c r="BO8" s="49" t="s">
        <v>9</v>
      </c>
      <c r="BP8" s="49"/>
    </row>
    <row r="9" spans="1:68" ht="15.75" customHeight="1">
      <c r="A9" s="39"/>
      <c r="B9" s="39"/>
      <c r="C9" s="49" t="s">
        <v>10</v>
      </c>
      <c r="D9" s="49" t="s">
        <v>9</v>
      </c>
      <c r="E9" s="49"/>
      <c r="F9" s="49" t="s">
        <v>10</v>
      </c>
      <c r="G9" s="49" t="s">
        <v>9</v>
      </c>
      <c r="H9" s="49"/>
      <c r="I9" s="49" t="s">
        <v>10</v>
      </c>
      <c r="J9" s="49" t="s">
        <v>9</v>
      </c>
      <c r="K9" s="49"/>
      <c r="L9" s="49" t="s">
        <v>10</v>
      </c>
      <c r="M9" s="49" t="s">
        <v>9</v>
      </c>
      <c r="N9" s="49"/>
      <c r="O9" s="49" t="s">
        <v>10</v>
      </c>
      <c r="P9" s="49" t="s">
        <v>9</v>
      </c>
      <c r="Q9" s="49"/>
      <c r="R9" s="49" t="s">
        <v>10</v>
      </c>
      <c r="S9" s="49" t="s">
        <v>9</v>
      </c>
      <c r="T9" s="49"/>
      <c r="U9" s="49" t="s">
        <v>10</v>
      </c>
      <c r="V9" s="49" t="s">
        <v>9</v>
      </c>
      <c r="W9" s="49"/>
      <c r="X9" s="49" t="s">
        <v>10</v>
      </c>
      <c r="Y9" s="49" t="s">
        <v>9</v>
      </c>
      <c r="Z9" s="49"/>
      <c r="AA9" s="49" t="s">
        <v>10</v>
      </c>
      <c r="AB9" s="49" t="s">
        <v>9</v>
      </c>
      <c r="AC9" s="49"/>
      <c r="AD9" s="49" t="s">
        <v>10</v>
      </c>
      <c r="AE9" s="49" t="s">
        <v>9</v>
      </c>
      <c r="AF9" s="49"/>
      <c r="AG9" s="49" t="s">
        <v>10</v>
      </c>
      <c r="AH9" s="49" t="s">
        <v>9</v>
      </c>
      <c r="AI9" s="49"/>
      <c r="AJ9" s="49" t="s">
        <v>10</v>
      </c>
      <c r="AK9" s="49" t="s">
        <v>9</v>
      </c>
      <c r="AL9" s="49"/>
      <c r="AM9" s="49" t="s">
        <v>10</v>
      </c>
      <c r="AN9" s="49" t="s">
        <v>9</v>
      </c>
      <c r="AO9" s="49"/>
      <c r="AP9" s="49" t="s">
        <v>10</v>
      </c>
      <c r="AQ9" s="49" t="s">
        <v>9</v>
      </c>
      <c r="AR9" s="49"/>
      <c r="AS9" s="49" t="s">
        <v>10</v>
      </c>
      <c r="AT9" s="49" t="s">
        <v>9</v>
      </c>
      <c r="AU9" s="49"/>
      <c r="AV9" s="49" t="s">
        <v>10</v>
      </c>
      <c r="AW9" s="49" t="s">
        <v>9</v>
      </c>
      <c r="AX9" s="49"/>
      <c r="AY9" s="49" t="s">
        <v>10</v>
      </c>
      <c r="AZ9" s="49" t="s">
        <v>9</v>
      </c>
      <c r="BA9" s="49"/>
      <c r="BB9" s="49" t="s">
        <v>10</v>
      </c>
      <c r="BC9" s="49" t="s">
        <v>9</v>
      </c>
      <c r="BD9" s="49"/>
      <c r="BE9" s="49" t="s">
        <v>10</v>
      </c>
      <c r="BF9" s="49" t="s">
        <v>9</v>
      </c>
      <c r="BG9" s="49"/>
      <c r="BH9" s="49" t="s">
        <v>10</v>
      </c>
      <c r="BI9" s="49" t="s">
        <v>9</v>
      </c>
      <c r="BJ9" s="49"/>
      <c r="BK9" s="49" t="s">
        <v>10</v>
      </c>
      <c r="BL9" s="49" t="s">
        <v>9</v>
      </c>
      <c r="BM9" s="49"/>
      <c r="BN9" s="49" t="s">
        <v>7</v>
      </c>
      <c r="BO9" s="49" t="s">
        <v>11</v>
      </c>
      <c r="BP9" s="49"/>
    </row>
    <row r="10" spans="1:69" ht="15.75" customHeight="1">
      <c r="A10" s="39"/>
      <c r="B10" s="39"/>
      <c r="C10" s="39"/>
      <c r="D10" s="49" t="s">
        <v>12</v>
      </c>
      <c r="E10" s="49"/>
      <c r="F10" s="39"/>
      <c r="G10" s="49" t="s">
        <v>12</v>
      </c>
      <c r="H10" s="49"/>
      <c r="I10" s="39"/>
      <c r="J10" s="49" t="s">
        <v>12</v>
      </c>
      <c r="K10" s="39"/>
      <c r="L10" s="39"/>
      <c r="M10" s="49" t="s">
        <v>12</v>
      </c>
      <c r="N10" s="49"/>
      <c r="O10" s="39"/>
      <c r="P10" s="49" t="s">
        <v>12</v>
      </c>
      <c r="Q10" s="49"/>
      <c r="R10" s="39"/>
      <c r="S10" s="49" t="s">
        <v>12</v>
      </c>
      <c r="T10" s="49"/>
      <c r="U10" s="39"/>
      <c r="V10" s="49" t="s">
        <v>12</v>
      </c>
      <c r="W10" s="49"/>
      <c r="X10" s="55" t="s">
        <v>13</v>
      </c>
      <c r="Y10" s="49" t="s">
        <v>12</v>
      </c>
      <c r="Z10" s="49"/>
      <c r="AA10" s="55" t="s">
        <v>13</v>
      </c>
      <c r="AB10" s="49" t="s">
        <v>12</v>
      </c>
      <c r="AC10" s="49"/>
      <c r="AD10" s="39"/>
      <c r="AE10" s="49" t="s">
        <v>12</v>
      </c>
      <c r="AF10" s="49"/>
      <c r="AG10" s="39"/>
      <c r="AH10" s="49" t="s">
        <v>12</v>
      </c>
      <c r="AI10" s="49"/>
      <c r="AJ10" s="39"/>
      <c r="AK10" s="49" t="s">
        <v>12</v>
      </c>
      <c r="AL10" s="49"/>
      <c r="AM10" s="39"/>
      <c r="AN10" s="49" t="s">
        <v>12</v>
      </c>
      <c r="AO10" s="49"/>
      <c r="AP10" s="39"/>
      <c r="AQ10" s="49" t="s">
        <v>12</v>
      </c>
      <c r="AR10" s="49"/>
      <c r="AS10" s="39"/>
      <c r="AT10" s="49" t="s">
        <v>12</v>
      </c>
      <c r="AU10" s="49"/>
      <c r="AV10" s="39"/>
      <c r="AW10" s="49" t="s">
        <v>12</v>
      </c>
      <c r="AX10" s="49"/>
      <c r="AY10" s="39"/>
      <c r="AZ10" s="49" t="s">
        <v>12</v>
      </c>
      <c r="BA10" s="49"/>
      <c r="BB10" s="39"/>
      <c r="BC10" s="49" t="s">
        <v>12</v>
      </c>
      <c r="BD10" s="49"/>
      <c r="BE10" s="39"/>
      <c r="BF10" s="49" t="s">
        <v>12</v>
      </c>
      <c r="BG10" s="49"/>
      <c r="BH10" s="49"/>
      <c r="BI10" s="49" t="s">
        <v>12</v>
      </c>
      <c r="BJ10" s="49"/>
      <c r="BK10" s="39"/>
      <c r="BL10" s="49" t="s">
        <v>12</v>
      </c>
      <c r="BM10" s="49"/>
      <c r="BN10" s="49" t="s">
        <v>10</v>
      </c>
      <c r="BO10" s="49" t="s">
        <v>12</v>
      </c>
      <c r="BP10" s="49"/>
      <c r="BQ10" s="62"/>
    </row>
    <row r="11" spans="1:68" ht="15.75" customHeight="1" thickBo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</row>
    <row r="12" spans="1:68" ht="15.75" customHeight="1" thickTop="1">
      <c r="A12" s="31" t="s">
        <v>2</v>
      </c>
      <c r="B12" s="32"/>
      <c r="C12" s="33"/>
      <c r="D12" s="32"/>
      <c r="E12" s="32"/>
      <c r="F12" s="33"/>
      <c r="G12" s="32"/>
      <c r="H12" s="32"/>
      <c r="I12" s="33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</row>
    <row r="13" spans="1:68" ht="15.75" customHeight="1">
      <c r="A13" s="35">
        <v>1</v>
      </c>
      <c r="B13" s="36" t="s">
        <v>14</v>
      </c>
      <c r="C13" s="37">
        <v>100.35</v>
      </c>
      <c r="D13" s="38">
        <v>78.43</v>
      </c>
      <c r="E13" s="39"/>
      <c r="F13" s="37">
        <v>101.86</v>
      </c>
      <c r="G13" s="38">
        <v>77.24</v>
      </c>
      <c r="H13" s="39"/>
      <c r="I13" s="37">
        <v>102.84</v>
      </c>
      <c r="J13" s="38">
        <v>76.67</v>
      </c>
      <c r="K13" s="39"/>
      <c r="L13" s="37">
        <v>102.32</v>
      </c>
      <c r="M13" s="38">
        <v>76.6</v>
      </c>
      <c r="N13" s="39"/>
      <c r="O13" s="37">
        <v>102.6</v>
      </c>
      <c r="P13" s="38">
        <v>76.43</v>
      </c>
      <c r="Q13" s="39"/>
      <c r="R13" s="37">
        <v>102</v>
      </c>
      <c r="S13" s="38">
        <v>76.47</v>
      </c>
      <c r="T13" s="39"/>
      <c r="U13" s="37">
        <v>102.31</v>
      </c>
      <c r="V13" s="38">
        <v>76.29</v>
      </c>
      <c r="W13" s="39"/>
      <c r="X13" s="37">
        <v>100.34</v>
      </c>
      <c r="Y13" s="38">
        <v>77.26</v>
      </c>
      <c r="Z13" s="39"/>
      <c r="AA13" s="37">
        <v>101.96</v>
      </c>
      <c r="AB13" s="38">
        <v>76.09</v>
      </c>
      <c r="AC13" s="39"/>
      <c r="AD13" s="37">
        <v>101.01</v>
      </c>
      <c r="AE13" s="38">
        <v>76.93</v>
      </c>
      <c r="AF13" s="39"/>
      <c r="AG13" s="37">
        <v>100.93</v>
      </c>
      <c r="AH13" s="38">
        <v>76.55</v>
      </c>
      <c r="AI13" s="39"/>
      <c r="AJ13" s="37">
        <v>101.05</v>
      </c>
      <c r="AK13" s="38">
        <v>76.19</v>
      </c>
      <c r="AL13" s="39"/>
      <c r="AM13" s="37">
        <v>101.96</v>
      </c>
      <c r="AN13" s="38">
        <v>75.33</v>
      </c>
      <c r="AO13" s="39"/>
      <c r="AP13" s="37">
        <v>102.58</v>
      </c>
      <c r="AQ13" s="38">
        <v>74.93</v>
      </c>
      <c r="AR13" s="39"/>
      <c r="AS13" s="37">
        <v>103.55</v>
      </c>
      <c r="AT13" s="38">
        <v>74.23</v>
      </c>
      <c r="AU13" s="39"/>
      <c r="AV13" s="37">
        <v>103.12</v>
      </c>
      <c r="AW13" s="38">
        <v>74.44</v>
      </c>
      <c r="AX13" s="39"/>
      <c r="AY13" s="37">
        <v>103.22</v>
      </c>
      <c r="AZ13" s="38">
        <v>74.34</v>
      </c>
      <c r="BA13" s="39"/>
      <c r="BB13" s="37">
        <v>103.65</v>
      </c>
      <c r="BC13" s="38">
        <v>74.98</v>
      </c>
      <c r="BD13" s="39"/>
      <c r="BE13" s="37">
        <v>104.53</v>
      </c>
      <c r="BF13" s="38">
        <v>74.92</v>
      </c>
      <c r="BG13" s="39"/>
      <c r="BH13" s="37">
        <v>104.23</v>
      </c>
      <c r="BI13" s="38">
        <v>75.33</v>
      </c>
      <c r="BJ13" s="39"/>
      <c r="BK13" s="37">
        <v>104.11</v>
      </c>
      <c r="BL13" s="38">
        <v>75.82</v>
      </c>
      <c r="BM13" s="39"/>
      <c r="BN13" s="50">
        <f>(C13+F13+I13+L13+O13+R13+U13+X13+AA13+AD13+AG13+AJ13+AM13+AP13+AS13+AV13+AY13+BB13+BE13+BH13+BK13)/21</f>
        <v>102.40571428571428</v>
      </c>
      <c r="BO13" s="114">
        <f>(D13+G13+J13+M13+P13+S13+V13+Y13+AB13+AE13+AH13+AK13+AN13+AQ13+AT13+AW13+AZ13+BC13+BF13+BI13+BL13)/21</f>
        <v>75.9747619047619</v>
      </c>
      <c r="BP13" s="39"/>
    </row>
    <row r="14" spans="1:68" s="47" customFormat="1" ht="15.75" customHeight="1">
      <c r="A14" s="40">
        <v>2</v>
      </c>
      <c r="B14" s="41" t="s">
        <v>15</v>
      </c>
      <c r="C14" s="25">
        <f>1/1.9748</f>
        <v>0.5063803929511849</v>
      </c>
      <c r="D14" s="26">
        <v>155.42</v>
      </c>
      <c r="E14" s="24"/>
      <c r="F14" s="25">
        <f>1/1.9817</f>
        <v>0.5046172478175304</v>
      </c>
      <c r="G14" s="26">
        <v>155.92</v>
      </c>
      <c r="H14" s="24"/>
      <c r="I14" s="25">
        <f>1/1.9798</f>
        <v>0.5051015254066067</v>
      </c>
      <c r="J14" s="26">
        <v>156.09</v>
      </c>
      <c r="K14" s="24"/>
      <c r="L14" s="25">
        <f>1/1.9999</f>
        <v>0.5000250012500626</v>
      </c>
      <c r="M14" s="26">
        <v>156.75</v>
      </c>
      <c r="N14" s="24"/>
      <c r="O14" s="25">
        <f>1/1.9866</f>
        <v>0.5033725963958522</v>
      </c>
      <c r="P14" s="26">
        <v>155.78</v>
      </c>
      <c r="Q14" s="24"/>
      <c r="R14" s="25">
        <f>1/1.977</f>
        <v>0.5058168942842691</v>
      </c>
      <c r="S14" s="26">
        <v>154.21</v>
      </c>
      <c r="T14" s="24"/>
      <c r="U14" s="25">
        <f>1/1.9692</f>
        <v>0.507820434694292</v>
      </c>
      <c r="V14" s="26">
        <v>153.69</v>
      </c>
      <c r="W14" s="24"/>
      <c r="X14" s="25">
        <f>1/1.9829</f>
        <v>0.5043118664582177</v>
      </c>
      <c r="Y14" s="26">
        <v>153.72</v>
      </c>
      <c r="Z14" s="24"/>
      <c r="AA14" s="25">
        <f>1/1.9718</f>
        <v>0.5071508266558474</v>
      </c>
      <c r="AB14" s="26">
        <v>152.97</v>
      </c>
      <c r="AC14" s="24"/>
      <c r="AD14" s="25">
        <f>1/1.9743</f>
        <v>0.5065086359722434</v>
      </c>
      <c r="AE14" s="26">
        <v>153.42</v>
      </c>
      <c r="AF14" s="24"/>
      <c r="AG14" s="25">
        <f>1/1.9679</f>
        <v>0.5081559022308044</v>
      </c>
      <c r="AH14" s="26">
        <v>152.04</v>
      </c>
      <c r="AI14" s="24"/>
      <c r="AJ14" s="25">
        <f>1/1.9772</f>
        <v>0.5057657293141816</v>
      </c>
      <c r="AK14" s="26">
        <v>152.23</v>
      </c>
      <c r="AL14" s="24"/>
      <c r="AM14" s="25">
        <f>1/1.9772</f>
        <v>0.5057657293141816</v>
      </c>
      <c r="AN14" s="26">
        <v>151.87</v>
      </c>
      <c r="AO14" s="24"/>
      <c r="AP14" s="25">
        <f>1/1.9955</f>
        <v>0.5011275369581558</v>
      </c>
      <c r="AQ14" s="26">
        <v>153.38</v>
      </c>
      <c r="AR14" s="24"/>
      <c r="AS14" s="25">
        <f>1/1.9837</f>
        <v>0.5041084841457881</v>
      </c>
      <c r="AT14" s="26">
        <v>152.47</v>
      </c>
      <c r="AU14" s="24"/>
      <c r="AV14" s="25">
        <f>1/1.9837</f>
        <v>0.5041084841457881</v>
      </c>
      <c r="AW14" s="26">
        <v>152.28</v>
      </c>
      <c r="AX14" s="24"/>
      <c r="AY14" s="25">
        <f>1/1.9944</f>
        <v>0.5014039310068191</v>
      </c>
      <c r="AZ14" s="26">
        <v>153.04</v>
      </c>
      <c r="BA14" s="24"/>
      <c r="BB14" s="25">
        <f>1/1.9756</f>
        <v>0.5061753391374773</v>
      </c>
      <c r="BC14" s="26">
        <v>153.54</v>
      </c>
      <c r="BD14" s="24"/>
      <c r="BE14" s="25">
        <f>1/1.9826</f>
        <v>0.5043881771411278</v>
      </c>
      <c r="BF14" s="26">
        <v>155.26</v>
      </c>
      <c r="BG14" s="24"/>
      <c r="BH14" s="25">
        <f>1/1.9803</f>
        <v>0.5049739938393173</v>
      </c>
      <c r="BI14" s="26">
        <v>155.48</v>
      </c>
      <c r="BJ14" s="24"/>
      <c r="BK14" s="25">
        <f>1/1.9688</f>
        <v>0.5079236082893133</v>
      </c>
      <c r="BL14" s="26">
        <v>155.41</v>
      </c>
      <c r="BM14" s="24"/>
      <c r="BN14" s="50">
        <f aca="true" t="shared" si="0" ref="BN14:BN25">(C14+F14+I14+L14+O14+R14+U14+X14+AA14+AD14+AG14+AJ14+AM14+AP14+AS14+AV14+AY14+BB14+BE14+BH14+BK14)/21</f>
        <v>0.5050001113051934</v>
      </c>
      <c r="BO14" s="114">
        <f aca="true" t="shared" si="1" ref="BO14:BO24">(D14+G14+J14+M14+P14+S14+V14+Y14+AB14+AE14+AH14+AK14+AN14+AQ14+AT14+AW14+AZ14+BC14+BF14+BI14+BL14)/21</f>
        <v>154.04619047619047</v>
      </c>
      <c r="BP14" s="24"/>
    </row>
    <row r="15" spans="1:68" ht="15.75" customHeight="1">
      <c r="A15" s="35">
        <v>3</v>
      </c>
      <c r="B15" s="36" t="s">
        <v>16</v>
      </c>
      <c r="C15" s="37">
        <v>1.0054</v>
      </c>
      <c r="D15" s="38">
        <v>78.28</v>
      </c>
      <c r="E15" s="39"/>
      <c r="F15" s="37">
        <v>1.0106</v>
      </c>
      <c r="G15" s="38">
        <v>77.85</v>
      </c>
      <c r="H15" s="39"/>
      <c r="I15" s="37">
        <v>1.0176</v>
      </c>
      <c r="J15" s="38">
        <v>77.48</v>
      </c>
      <c r="K15" s="39"/>
      <c r="L15" s="37">
        <v>1.0073</v>
      </c>
      <c r="M15" s="38">
        <v>77.81</v>
      </c>
      <c r="N15" s="39"/>
      <c r="O15" s="37">
        <v>1.0128</v>
      </c>
      <c r="P15" s="38">
        <v>77.43</v>
      </c>
      <c r="Q15" s="39"/>
      <c r="R15" s="37">
        <v>1.0078</v>
      </c>
      <c r="S15" s="38">
        <v>77.4</v>
      </c>
      <c r="T15" s="39"/>
      <c r="U15" s="37">
        <v>1.0119</v>
      </c>
      <c r="V15" s="38">
        <v>77.13</v>
      </c>
      <c r="W15" s="39"/>
      <c r="X15" s="37">
        <v>0.99</v>
      </c>
      <c r="Y15" s="38">
        <v>78.31</v>
      </c>
      <c r="Z15" s="39"/>
      <c r="AA15" s="37">
        <v>1.0055</v>
      </c>
      <c r="AB15" s="38">
        <v>77.15</v>
      </c>
      <c r="AC15" s="39"/>
      <c r="AD15" s="37">
        <v>1.0009</v>
      </c>
      <c r="AE15" s="38">
        <v>77.64</v>
      </c>
      <c r="AF15" s="39"/>
      <c r="AG15" s="37">
        <v>0.9985</v>
      </c>
      <c r="AH15" s="38">
        <v>77.38</v>
      </c>
      <c r="AI15" s="39"/>
      <c r="AJ15" s="37">
        <v>0.9966</v>
      </c>
      <c r="AK15" s="38">
        <v>77.26</v>
      </c>
      <c r="AL15" s="39"/>
      <c r="AM15" s="37">
        <v>0.9983</v>
      </c>
      <c r="AN15" s="38">
        <v>76.94</v>
      </c>
      <c r="AO15" s="39"/>
      <c r="AP15" s="37">
        <v>1.0085</v>
      </c>
      <c r="AQ15" s="38">
        <v>76.21</v>
      </c>
      <c r="AR15" s="39"/>
      <c r="AS15" s="37">
        <v>1.012</v>
      </c>
      <c r="AT15" s="38">
        <v>75.95</v>
      </c>
      <c r="AU15" s="39"/>
      <c r="AV15" s="37">
        <v>1.0076</v>
      </c>
      <c r="AW15" s="38">
        <v>76.19</v>
      </c>
      <c r="AX15" s="39"/>
      <c r="AY15" s="37">
        <v>1.0074</v>
      </c>
      <c r="AZ15" s="38">
        <v>76.17</v>
      </c>
      <c r="BA15" s="39"/>
      <c r="BB15" s="37">
        <v>1.0252</v>
      </c>
      <c r="BC15" s="38">
        <v>75.81</v>
      </c>
      <c r="BD15" s="39"/>
      <c r="BE15" s="37">
        <v>1.0385</v>
      </c>
      <c r="BF15" s="38">
        <v>75.41</v>
      </c>
      <c r="BG15" s="39"/>
      <c r="BH15" s="37">
        <v>1.037</v>
      </c>
      <c r="BI15" s="38">
        <v>75.71</v>
      </c>
      <c r="BJ15" s="39"/>
      <c r="BK15" s="37">
        <v>1.0376</v>
      </c>
      <c r="BL15" s="38">
        <v>76.08</v>
      </c>
      <c r="BM15" s="39"/>
      <c r="BN15" s="50">
        <f t="shared" si="0"/>
        <v>1.0112857142857141</v>
      </c>
      <c r="BO15" s="114">
        <f t="shared" si="1"/>
        <v>76.93285714285715</v>
      </c>
      <c r="BP15" s="39"/>
    </row>
    <row r="16" spans="1:68" ht="15.75" customHeight="1">
      <c r="A16" s="35">
        <v>4</v>
      </c>
      <c r="B16" s="36" t="s">
        <v>17</v>
      </c>
      <c r="C16" s="37">
        <f>1/1.5667</f>
        <v>0.6382842918235783</v>
      </c>
      <c r="D16" s="38">
        <v>123.37</v>
      </c>
      <c r="E16" s="39"/>
      <c r="F16" s="37">
        <f>1/1.5636</f>
        <v>0.6395497569710923</v>
      </c>
      <c r="G16" s="38">
        <v>123.06</v>
      </c>
      <c r="H16" s="39"/>
      <c r="I16" s="37">
        <f>1/1.5557</f>
        <v>0.64279745452208</v>
      </c>
      <c r="J16" s="38">
        <v>122.78</v>
      </c>
      <c r="K16" s="39"/>
      <c r="L16" s="37">
        <f>1/1.5717</f>
        <v>0.6362537379907106</v>
      </c>
      <c r="M16" s="38">
        <v>123.11</v>
      </c>
      <c r="N16" s="39"/>
      <c r="O16" s="37">
        <f>1/1.5711</f>
        <v>0.6364967220418815</v>
      </c>
      <c r="P16" s="38">
        <v>123.09</v>
      </c>
      <c r="Q16" s="39"/>
      <c r="R16" s="37">
        <f>1/1.5759</f>
        <v>0.6345580303318739</v>
      </c>
      <c r="S16" s="38">
        <v>122.92</v>
      </c>
      <c r="T16" s="39"/>
      <c r="U16" s="37">
        <f>1/1.5726</f>
        <v>0.6358896095637797</v>
      </c>
      <c r="V16" s="38">
        <v>122.71</v>
      </c>
      <c r="W16" s="39"/>
      <c r="X16" s="37">
        <f>1/1.5894</f>
        <v>0.6291682395872656</v>
      </c>
      <c r="Y16" s="38">
        <v>123.09</v>
      </c>
      <c r="Z16" s="39"/>
      <c r="AA16" s="37">
        <f>1/1.5802</f>
        <v>0.6328312871788381</v>
      </c>
      <c r="AB16" s="38">
        <v>122.66</v>
      </c>
      <c r="AC16" s="39"/>
      <c r="AD16" s="37">
        <f>1/1.5795</f>
        <v>0.6331117442228553</v>
      </c>
      <c r="AE16" s="38">
        <v>122.7</v>
      </c>
      <c r="AF16" s="39"/>
      <c r="AG16" s="37">
        <f>1/1.5836</f>
        <v>0.6314725940894166</v>
      </c>
      <c r="AH16" s="38">
        <v>122.41</v>
      </c>
      <c r="AI16" s="39"/>
      <c r="AJ16" s="37">
        <f>1/1.594</f>
        <v>0.6273525721455457</v>
      </c>
      <c r="AK16" s="38">
        <v>122.53</v>
      </c>
      <c r="AL16" s="39"/>
      <c r="AM16" s="37">
        <f>1/1.5965</f>
        <v>0.6263701847792045</v>
      </c>
      <c r="AN16" s="38">
        <v>122.61</v>
      </c>
      <c r="AO16" s="39"/>
      <c r="AP16" s="37">
        <f>1/1.5907</f>
        <v>0.628654051675363</v>
      </c>
      <c r="AQ16" s="38">
        <v>122.36</v>
      </c>
      <c r="AR16" s="39"/>
      <c r="AS16" s="37">
        <f>1/1.5869</f>
        <v>0.630159430335875</v>
      </c>
      <c r="AT16" s="38">
        <v>122.02</v>
      </c>
      <c r="AU16" s="39"/>
      <c r="AV16" s="37">
        <f>1/1.5957</f>
        <v>0.6266842138246538</v>
      </c>
      <c r="AW16" s="38">
        <v>122.41</v>
      </c>
      <c r="AX16" s="39"/>
      <c r="AY16" s="37">
        <f>1/1.5954</f>
        <v>0.6268020559107434</v>
      </c>
      <c r="AZ16" s="38">
        <v>122.46</v>
      </c>
      <c r="BA16" s="39"/>
      <c r="BB16" s="37">
        <f>1/1.5744</f>
        <v>0.6351626016260162</v>
      </c>
      <c r="BC16" s="38">
        <v>122.49</v>
      </c>
      <c r="BD16" s="39"/>
      <c r="BE16" s="37">
        <f>1/1.5601</f>
        <v>0.6409845522722902</v>
      </c>
      <c r="BF16" s="38">
        <v>122.31</v>
      </c>
      <c r="BG16" s="39"/>
      <c r="BH16" s="37">
        <f>1/1.5571</f>
        <v>0.642219510628733</v>
      </c>
      <c r="BI16" s="38">
        <v>122.35</v>
      </c>
      <c r="BJ16" s="39"/>
      <c r="BK16" s="37">
        <f>1/1.5554</f>
        <v>0.6429214350006429</v>
      </c>
      <c r="BL16" s="38">
        <v>122.75</v>
      </c>
      <c r="BM16" s="39"/>
      <c r="BN16" s="50">
        <f t="shared" si="0"/>
        <v>0.634177336977259</v>
      </c>
      <c r="BO16" s="114">
        <f t="shared" si="1"/>
        <v>122.67571428571426</v>
      </c>
      <c r="BP16" s="39"/>
    </row>
    <row r="17" spans="1:68" ht="15.75" customHeight="1">
      <c r="A17" s="35">
        <v>5</v>
      </c>
      <c r="B17" s="36" t="s">
        <v>18</v>
      </c>
      <c r="C17" s="37">
        <v>897.85</v>
      </c>
      <c r="D17" s="38">
        <v>70662.48</v>
      </c>
      <c r="E17" s="39"/>
      <c r="F17" s="37">
        <v>891.45</v>
      </c>
      <c r="G17" s="38">
        <v>70137.61</v>
      </c>
      <c r="H17" s="39"/>
      <c r="I17" s="37">
        <v>897.1</v>
      </c>
      <c r="J17" s="38">
        <v>70730.73</v>
      </c>
      <c r="K17" s="39"/>
      <c r="L17" s="37">
        <v>906.3</v>
      </c>
      <c r="M17" s="38">
        <v>71035.23</v>
      </c>
      <c r="N17" s="39"/>
      <c r="O17" s="37">
        <v>914.8</v>
      </c>
      <c r="P17" s="38">
        <v>71736.33</v>
      </c>
      <c r="Q17" s="39"/>
      <c r="R17" s="37">
        <v>921.8</v>
      </c>
      <c r="S17" s="38">
        <v>71903.28</v>
      </c>
      <c r="T17" s="39"/>
      <c r="U17" s="37">
        <v>907</v>
      </c>
      <c r="V17" s="38">
        <v>70790.78</v>
      </c>
      <c r="W17" s="39"/>
      <c r="X17" s="37">
        <v>935</v>
      </c>
      <c r="Y17" s="38">
        <v>72485.88</v>
      </c>
      <c r="Z17" s="39"/>
      <c r="AA17" s="37">
        <v>925.65</v>
      </c>
      <c r="AB17" s="38">
        <v>71809.03</v>
      </c>
      <c r="AC17" s="39"/>
      <c r="AD17" s="37">
        <v>917.4</v>
      </c>
      <c r="AE17" s="38">
        <v>71289.43</v>
      </c>
      <c r="AF17" s="39"/>
      <c r="AG17" s="37">
        <v>931.8</v>
      </c>
      <c r="AH17" s="38">
        <v>71992.03</v>
      </c>
      <c r="AI17" s="39"/>
      <c r="AJ17" s="37">
        <v>934.4</v>
      </c>
      <c r="AK17" s="38">
        <v>71942.38</v>
      </c>
      <c r="AL17" s="39"/>
      <c r="AM17" s="37">
        <v>951.05</v>
      </c>
      <c r="AN17" s="38">
        <v>73051.34</v>
      </c>
      <c r="AO17" s="39"/>
      <c r="AP17" s="37">
        <v>942.1</v>
      </c>
      <c r="AQ17" s="38">
        <v>72410.39</v>
      </c>
      <c r="AR17" s="39"/>
      <c r="AS17" s="37">
        <v>916.65</v>
      </c>
      <c r="AT17" s="38">
        <v>70456.01</v>
      </c>
      <c r="AU17" s="39"/>
      <c r="AV17" s="37">
        <v>920.6</v>
      </c>
      <c r="AW17" s="38">
        <v>70672.16</v>
      </c>
      <c r="AX17" s="39"/>
      <c r="AY17" s="37">
        <v>915.8</v>
      </c>
      <c r="AZ17" s="38">
        <v>70273.34</v>
      </c>
      <c r="BA17" s="39"/>
      <c r="BB17" s="37">
        <v>899.95</v>
      </c>
      <c r="BC17" s="38">
        <v>69942.99</v>
      </c>
      <c r="BD17" s="39"/>
      <c r="BE17" s="37">
        <v>884.3</v>
      </c>
      <c r="BF17" s="38">
        <v>69252.85</v>
      </c>
      <c r="BG17" s="39"/>
      <c r="BH17" s="37">
        <v>886.5</v>
      </c>
      <c r="BI17" s="38">
        <v>69601.89</v>
      </c>
      <c r="BJ17" s="39"/>
      <c r="BK17" s="37">
        <v>867.35</v>
      </c>
      <c r="BL17" s="38">
        <v>68464.81</v>
      </c>
      <c r="BM17" s="39"/>
      <c r="BN17" s="50">
        <f t="shared" si="0"/>
        <v>912.6119047619045</v>
      </c>
      <c r="BO17" s="114">
        <f t="shared" si="1"/>
        <v>70982.90333333334</v>
      </c>
      <c r="BP17" s="39"/>
    </row>
    <row r="18" spans="1:68" ht="15.75" customHeight="1">
      <c r="A18" s="35">
        <v>6</v>
      </c>
      <c r="B18" s="42" t="s">
        <v>19</v>
      </c>
      <c r="C18" s="37">
        <v>16.74</v>
      </c>
      <c r="D18" s="38">
        <v>1317.47</v>
      </c>
      <c r="E18" s="39"/>
      <c r="F18" s="37">
        <v>17.01</v>
      </c>
      <c r="G18" s="38">
        <v>1338.31</v>
      </c>
      <c r="H18" s="39"/>
      <c r="I18" s="37">
        <v>17.16</v>
      </c>
      <c r="J18" s="38">
        <v>1352.96</v>
      </c>
      <c r="K18" s="39"/>
      <c r="L18" s="37">
        <v>17.44</v>
      </c>
      <c r="M18" s="38">
        <v>1366.94</v>
      </c>
      <c r="N18" s="39"/>
      <c r="O18" s="37">
        <v>17.83</v>
      </c>
      <c r="P18" s="38">
        <v>1398.18</v>
      </c>
      <c r="Q18" s="39"/>
      <c r="R18" s="37">
        <v>17.98</v>
      </c>
      <c r="S18" s="38">
        <v>1402.5</v>
      </c>
      <c r="T18" s="39"/>
      <c r="U18" s="37">
        <v>17.56</v>
      </c>
      <c r="V18" s="38">
        <v>1370.55</v>
      </c>
      <c r="W18" s="39"/>
      <c r="X18" s="37">
        <v>18.29</v>
      </c>
      <c r="Y18" s="38">
        <v>1417.93</v>
      </c>
      <c r="Z18" s="39"/>
      <c r="AA18" s="37">
        <v>17.96</v>
      </c>
      <c r="AB18" s="38">
        <v>1393.28</v>
      </c>
      <c r="AC18" s="39"/>
      <c r="AD18" s="37">
        <v>17.4</v>
      </c>
      <c r="AE18" s="38">
        <v>1352.12</v>
      </c>
      <c r="AF18" s="39"/>
      <c r="AG18" s="37">
        <v>17.81</v>
      </c>
      <c r="AH18" s="38">
        <v>1376.02</v>
      </c>
      <c r="AI18" s="39"/>
      <c r="AJ18" s="37">
        <v>18</v>
      </c>
      <c r="AK18" s="38">
        <v>1385.88</v>
      </c>
      <c r="AL18" s="39"/>
      <c r="AM18" s="37">
        <v>18.7</v>
      </c>
      <c r="AN18" s="38">
        <v>1436.37</v>
      </c>
      <c r="AO18" s="39"/>
      <c r="AP18" s="37">
        <v>18.28</v>
      </c>
      <c r="AQ18" s="38">
        <v>1405.01</v>
      </c>
      <c r="AR18" s="39"/>
      <c r="AS18" s="37">
        <v>17.81</v>
      </c>
      <c r="AT18" s="38">
        <v>1368.92</v>
      </c>
      <c r="AU18" s="39"/>
      <c r="AV18" s="37">
        <v>17.59</v>
      </c>
      <c r="AW18" s="38">
        <v>1350.34</v>
      </c>
      <c r="AX18" s="39"/>
      <c r="AY18" s="37">
        <v>17.64</v>
      </c>
      <c r="AZ18" s="38">
        <v>1353.59</v>
      </c>
      <c r="BA18" s="39"/>
      <c r="BB18" s="37">
        <v>17.06</v>
      </c>
      <c r="BC18" s="38">
        <v>1325.88</v>
      </c>
      <c r="BD18" s="39"/>
      <c r="BE18" s="37">
        <v>16.58</v>
      </c>
      <c r="BF18" s="38">
        <v>1298.44</v>
      </c>
      <c r="BG18" s="39"/>
      <c r="BH18" s="37">
        <v>16.86</v>
      </c>
      <c r="BI18" s="38">
        <v>1323.73</v>
      </c>
      <c r="BJ18" s="39"/>
      <c r="BK18" s="37">
        <v>16.5</v>
      </c>
      <c r="BL18" s="38">
        <v>1302.44</v>
      </c>
      <c r="BM18" s="39"/>
      <c r="BN18" s="50">
        <f t="shared" si="0"/>
        <v>17.53333333333333</v>
      </c>
      <c r="BO18" s="114">
        <f t="shared" si="1"/>
        <v>1363.66</v>
      </c>
      <c r="BP18" s="39"/>
    </row>
    <row r="19" spans="1:68" ht="15.75" customHeight="1">
      <c r="A19" s="35">
        <v>7</v>
      </c>
      <c r="B19" s="36" t="s">
        <v>20</v>
      </c>
      <c r="C19" s="37">
        <f>1/0.9099</f>
        <v>1.0990218705352237</v>
      </c>
      <c r="D19" s="38">
        <v>71.61</v>
      </c>
      <c r="E19" s="39"/>
      <c r="F19" s="37">
        <f>1/0.9099</f>
        <v>1.0990218705352237</v>
      </c>
      <c r="G19" s="38">
        <v>71.59</v>
      </c>
      <c r="H19" s="39"/>
      <c r="I19" s="37">
        <f>1/0.9154</f>
        <v>1.0924186148131965</v>
      </c>
      <c r="J19" s="38">
        <v>72.17</v>
      </c>
      <c r="K19" s="39"/>
      <c r="L19" s="37">
        <f>1/0.9175</f>
        <v>1.0899182561307903</v>
      </c>
      <c r="M19" s="38">
        <v>71.91</v>
      </c>
      <c r="N19" s="39"/>
      <c r="O19" s="37">
        <f>1/0.9239</f>
        <v>1.0823682216690118</v>
      </c>
      <c r="P19" s="38">
        <v>72.45</v>
      </c>
      <c r="Q19" s="39"/>
      <c r="R19" s="37">
        <f>1/0.9269</f>
        <v>1.0788650339842487</v>
      </c>
      <c r="S19" s="38">
        <v>72.3</v>
      </c>
      <c r="T19" s="39"/>
      <c r="U19" s="37">
        <f>1/0.9281</f>
        <v>1.0774701002047193</v>
      </c>
      <c r="V19" s="38">
        <v>72.44</v>
      </c>
      <c r="W19" s="39"/>
      <c r="X19" s="37">
        <f>1/0.9332</f>
        <v>1.0715816545220747</v>
      </c>
      <c r="Y19" s="38">
        <v>72.35</v>
      </c>
      <c r="Z19" s="39"/>
      <c r="AA19" s="37">
        <f>1/0.9322</f>
        <v>1.072731173567904</v>
      </c>
      <c r="AB19" s="38">
        <v>72.32</v>
      </c>
      <c r="AC19" s="39"/>
      <c r="AD19" s="37">
        <f>1/0.9228</f>
        <v>1.083658430862592</v>
      </c>
      <c r="AE19" s="38">
        <v>71.71</v>
      </c>
      <c r="AF19" s="39"/>
      <c r="AG19" s="37">
        <f>1/0.9258</f>
        <v>1.0801468999783972</v>
      </c>
      <c r="AH19" s="38">
        <v>71.53</v>
      </c>
      <c r="AI19" s="39"/>
      <c r="AJ19" s="37">
        <f>1/0.931</f>
        <v>1.0741138560687433</v>
      </c>
      <c r="AK19" s="38">
        <v>71.68</v>
      </c>
      <c r="AL19" s="39"/>
      <c r="AM19" s="37">
        <f>1/0.939</f>
        <v>1.0649627263045793</v>
      </c>
      <c r="AN19" s="38">
        <v>72.13</v>
      </c>
      <c r="AO19" s="39"/>
      <c r="AP19" s="37">
        <f>1/0.9381</f>
        <v>1.065984436627225</v>
      </c>
      <c r="AQ19" s="38">
        <v>72.1</v>
      </c>
      <c r="AR19" s="39"/>
      <c r="AS19" s="37">
        <f>1/0.9425</f>
        <v>1.0610079575596818</v>
      </c>
      <c r="AT19" s="38">
        <v>72.44</v>
      </c>
      <c r="AU19" s="39"/>
      <c r="AV19" s="37">
        <f>1/0.9437</f>
        <v>1.0596587898696619</v>
      </c>
      <c r="AW19" s="38">
        <v>72.45</v>
      </c>
      <c r="AX19" s="39"/>
      <c r="AY19" s="37">
        <f>1/0.9528</f>
        <v>1.0495382031905962</v>
      </c>
      <c r="AZ19" s="38">
        <v>73.11</v>
      </c>
      <c r="BA19" s="39"/>
      <c r="BB19" s="37">
        <f>1/0.9452</f>
        <v>1.0579771476936097</v>
      </c>
      <c r="BC19" s="38">
        <v>73.46</v>
      </c>
      <c r="BD19" s="39"/>
      <c r="BE19" s="37">
        <f>1/0.9327</f>
        <v>1.0721561059290232</v>
      </c>
      <c r="BF19" s="38">
        <v>73.04</v>
      </c>
      <c r="BG19" s="39"/>
      <c r="BH19" s="37">
        <f>1/0.9335</f>
        <v>1.0712372790573113</v>
      </c>
      <c r="BI19" s="38">
        <v>73.29</v>
      </c>
      <c r="BJ19" s="48"/>
      <c r="BK19" s="37">
        <f>1/0.9339</f>
        <v>1.0707784559374667</v>
      </c>
      <c r="BL19" s="38">
        <v>73.72</v>
      </c>
      <c r="BM19" s="48"/>
      <c r="BN19" s="50">
        <f t="shared" si="0"/>
        <v>1.0749817659543466</v>
      </c>
      <c r="BO19" s="114">
        <f t="shared" si="1"/>
        <v>72.37142857142857</v>
      </c>
      <c r="BP19" s="48"/>
    </row>
    <row r="20" spans="1:68" ht="15.75" customHeight="1">
      <c r="A20" s="35">
        <v>8</v>
      </c>
      <c r="B20" s="36" t="s">
        <v>21</v>
      </c>
      <c r="C20" s="37">
        <v>1.027</v>
      </c>
      <c r="D20" s="38">
        <v>76.63</v>
      </c>
      <c r="E20" s="39"/>
      <c r="F20" s="37">
        <v>1.0176</v>
      </c>
      <c r="G20" s="38">
        <v>77.32</v>
      </c>
      <c r="H20" s="39"/>
      <c r="I20" s="37">
        <v>1.0132</v>
      </c>
      <c r="J20" s="38">
        <v>77.82</v>
      </c>
      <c r="K20" s="39"/>
      <c r="L20" s="37">
        <v>1.0063</v>
      </c>
      <c r="M20" s="38">
        <v>77.89</v>
      </c>
      <c r="N20" s="39"/>
      <c r="O20" s="37">
        <v>1.0061</v>
      </c>
      <c r="P20" s="38">
        <v>77.94</v>
      </c>
      <c r="Q20" s="39"/>
      <c r="R20" s="37">
        <v>1.0121</v>
      </c>
      <c r="S20" s="38">
        <v>77.07</v>
      </c>
      <c r="T20" s="39"/>
      <c r="U20" s="37">
        <v>1.0163</v>
      </c>
      <c r="V20" s="38">
        <v>76.8</v>
      </c>
      <c r="W20" s="39"/>
      <c r="X20" s="37">
        <v>1.0163</v>
      </c>
      <c r="Y20" s="38">
        <v>76.28</v>
      </c>
      <c r="Z20" s="39"/>
      <c r="AA20" s="37">
        <v>1.0143</v>
      </c>
      <c r="AB20" s="38">
        <v>76.48</v>
      </c>
      <c r="AC20" s="39"/>
      <c r="AD20" s="37">
        <v>1.0261</v>
      </c>
      <c r="AE20" s="38">
        <v>75.73</v>
      </c>
      <c r="AF20" s="39"/>
      <c r="AG20" s="37">
        <v>1.0234</v>
      </c>
      <c r="AH20" s="38">
        <v>75.49</v>
      </c>
      <c r="AI20" s="39"/>
      <c r="AJ20" s="37">
        <v>1.0097</v>
      </c>
      <c r="AK20" s="38">
        <v>76.25</v>
      </c>
      <c r="AL20" s="39"/>
      <c r="AM20" s="37">
        <v>1.0012</v>
      </c>
      <c r="AN20" s="38">
        <v>76.72</v>
      </c>
      <c r="AO20" s="39"/>
      <c r="AP20" s="37">
        <v>1.0049</v>
      </c>
      <c r="AQ20" s="38">
        <v>76.49</v>
      </c>
      <c r="AR20" s="39"/>
      <c r="AS20" s="37">
        <v>1.0067</v>
      </c>
      <c r="AT20" s="38">
        <v>76.35</v>
      </c>
      <c r="AU20" s="39"/>
      <c r="AV20" s="37">
        <v>1.0072</v>
      </c>
      <c r="AW20" s="38">
        <v>76.22</v>
      </c>
      <c r="AX20" s="39"/>
      <c r="AY20" s="37">
        <v>1.0076</v>
      </c>
      <c r="AZ20" s="38">
        <v>76.16</v>
      </c>
      <c r="BA20" s="39"/>
      <c r="BB20" s="37">
        <v>1.016</v>
      </c>
      <c r="BC20" s="38">
        <v>76.49</v>
      </c>
      <c r="BD20" s="39"/>
      <c r="BE20" s="37">
        <v>1.0171</v>
      </c>
      <c r="BF20" s="38">
        <v>77</v>
      </c>
      <c r="BG20" s="39"/>
      <c r="BH20" s="37">
        <v>1.0122</v>
      </c>
      <c r="BI20" s="38">
        <v>77.57</v>
      </c>
      <c r="BJ20" s="39"/>
      <c r="BK20" s="37">
        <v>1.0112</v>
      </c>
      <c r="BL20" s="38">
        <v>78.06</v>
      </c>
      <c r="BM20" s="39"/>
      <c r="BN20" s="50">
        <f t="shared" si="0"/>
        <v>1.0129761904761903</v>
      </c>
      <c r="BO20" s="114">
        <f t="shared" si="1"/>
        <v>76.79809523809523</v>
      </c>
      <c r="BP20" s="39"/>
    </row>
    <row r="21" spans="1:68" ht="15.75" customHeight="1">
      <c r="A21" s="35">
        <v>9</v>
      </c>
      <c r="B21" s="36" t="s">
        <v>22</v>
      </c>
      <c r="C21" s="37">
        <v>5.9865</v>
      </c>
      <c r="D21" s="38">
        <v>13.15</v>
      </c>
      <c r="E21" s="39"/>
      <c r="F21" s="37">
        <v>5.9947</v>
      </c>
      <c r="G21" s="38">
        <v>13.12</v>
      </c>
      <c r="H21" s="39"/>
      <c r="I21" s="37">
        <v>6.0067</v>
      </c>
      <c r="J21" s="38">
        <v>13.13</v>
      </c>
      <c r="K21" s="39"/>
      <c r="L21" s="37">
        <v>5.9535</v>
      </c>
      <c r="M21" s="38">
        <v>13.17</v>
      </c>
      <c r="N21" s="39"/>
      <c r="O21" s="37">
        <v>5.9559</v>
      </c>
      <c r="P21" s="38">
        <v>13.17</v>
      </c>
      <c r="Q21" s="39"/>
      <c r="R21" s="37">
        <v>5.9404</v>
      </c>
      <c r="S21" s="38">
        <v>13.13</v>
      </c>
      <c r="T21" s="39"/>
      <c r="U21" s="37">
        <v>5.9519</v>
      </c>
      <c r="V21" s="38">
        <v>13.11</v>
      </c>
      <c r="W21" s="39"/>
      <c r="X21" s="37">
        <v>5.9036</v>
      </c>
      <c r="Y21" s="38">
        <v>13.13</v>
      </c>
      <c r="Z21" s="39"/>
      <c r="AA21" s="37">
        <v>5.944</v>
      </c>
      <c r="AB21" s="38">
        <v>13.05</v>
      </c>
      <c r="AC21" s="39"/>
      <c r="AD21" s="37">
        <v>5.9491</v>
      </c>
      <c r="AE21" s="38">
        <v>13.06</v>
      </c>
      <c r="AF21" s="39"/>
      <c r="AG21" s="37">
        <v>5.9426</v>
      </c>
      <c r="AH21" s="38">
        <v>13</v>
      </c>
      <c r="AI21" s="39"/>
      <c r="AJ21" s="37">
        <v>5.8915</v>
      </c>
      <c r="AK21" s="38">
        <v>13.07</v>
      </c>
      <c r="AL21" s="39"/>
      <c r="AM21" s="37">
        <v>5.8872</v>
      </c>
      <c r="AN21" s="38">
        <v>13.05</v>
      </c>
      <c r="AO21" s="39"/>
      <c r="AP21" s="37">
        <v>5.9165</v>
      </c>
      <c r="AQ21" s="38">
        <v>12.99</v>
      </c>
      <c r="AR21" s="39"/>
      <c r="AS21" s="37">
        <v>5.913</v>
      </c>
      <c r="AT21" s="38">
        <v>13</v>
      </c>
      <c r="AU21" s="39"/>
      <c r="AV21" s="37">
        <v>5.863</v>
      </c>
      <c r="AW21" s="38">
        <v>13.09</v>
      </c>
      <c r="AX21" s="39"/>
      <c r="AY21" s="37">
        <v>5.828</v>
      </c>
      <c r="AZ21" s="38">
        <v>13.17</v>
      </c>
      <c r="BA21" s="39"/>
      <c r="BB21" s="37">
        <v>5.9017</v>
      </c>
      <c r="BC21" s="38">
        <v>13.17</v>
      </c>
      <c r="BD21" s="39"/>
      <c r="BE21" s="37">
        <v>5.9808</v>
      </c>
      <c r="BF21" s="38">
        <v>13.09</v>
      </c>
      <c r="BG21" s="39"/>
      <c r="BH21" s="37">
        <v>6.01</v>
      </c>
      <c r="BI21" s="38">
        <v>13.06</v>
      </c>
      <c r="BJ21" s="39"/>
      <c r="BK21" s="37">
        <v>6.0195</v>
      </c>
      <c r="BL21" s="38">
        <v>13.11</v>
      </c>
      <c r="BM21" s="39"/>
      <c r="BN21" s="50">
        <f t="shared" si="0"/>
        <v>5.9400047619047625</v>
      </c>
      <c r="BO21" s="114">
        <f t="shared" si="1"/>
        <v>13.096190476190475</v>
      </c>
      <c r="BP21" s="39"/>
    </row>
    <row r="22" spans="1:68" ht="15.75" customHeight="1">
      <c r="A22" s="35">
        <v>10</v>
      </c>
      <c r="B22" s="36" t="s">
        <v>23</v>
      </c>
      <c r="C22" s="37">
        <v>5.1428</v>
      </c>
      <c r="D22" s="38">
        <v>15.3</v>
      </c>
      <c r="E22" s="39"/>
      <c r="F22" s="37">
        <v>5.1591</v>
      </c>
      <c r="G22" s="38">
        <v>15.25</v>
      </c>
      <c r="H22" s="39"/>
      <c r="I22" s="37">
        <v>5.1388</v>
      </c>
      <c r="J22" s="38">
        <v>15.34</v>
      </c>
      <c r="K22" s="39"/>
      <c r="L22" s="37">
        <v>5.0863</v>
      </c>
      <c r="M22" s="38">
        <v>15.41</v>
      </c>
      <c r="N22" s="39"/>
      <c r="O22" s="37">
        <v>5.0738</v>
      </c>
      <c r="P22" s="38">
        <v>15.46</v>
      </c>
      <c r="Q22" s="39"/>
      <c r="R22" s="37">
        <v>5.0524</v>
      </c>
      <c r="S22" s="38">
        <v>15.44</v>
      </c>
      <c r="T22" s="39"/>
      <c r="U22" s="37">
        <v>5.0558</v>
      </c>
      <c r="V22" s="38">
        <v>15.44</v>
      </c>
      <c r="W22" s="39"/>
      <c r="X22" s="37">
        <v>4.9871</v>
      </c>
      <c r="Y22" s="38">
        <v>15.55</v>
      </c>
      <c r="Z22" s="39"/>
      <c r="AA22" s="37">
        <v>5.0208</v>
      </c>
      <c r="AB22" s="38">
        <v>15.45</v>
      </c>
      <c r="AC22" s="39"/>
      <c r="AD22" s="37">
        <v>5.0265</v>
      </c>
      <c r="AE22" s="38">
        <v>15.46</v>
      </c>
      <c r="AF22" s="39"/>
      <c r="AG22" s="37">
        <v>4.9958</v>
      </c>
      <c r="AH22" s="38">
        <v>15.47</v>
      </c>
      <c r="AI22" s="39"/>
      <c r="AJ22" s="37">
        <v>4.9589</v>
      </c>
      <c r="AK22" s="38">
        <v>15.53</v>
      </c>
      <c r="AL22" s="39"/>
      <c r="AM22" s="37">
        <v>4.9467</v>
      </c>
      <c r="AN22" s="38">
        <v>15.53</v>
      </c>
      <c r="AO22" s="39"/>
      <c r="AP22" s="37">
        <v>4.9797</v>
      </c>
      <c r="AQ22" s="38">
        <v>15.43</v>
      </c>
      <c r="AR22" s="39"/>
      <c r="AS22" s="37">
        <v>5.0039</v>
      </c>
      <c r="AT22" s="38">
        <v>15.36</v>
      </c>
      <c r="AU22" s="39"/>
      <c r="AV22" s="37">
        <v>4.9688</v>
      </c>
      <c r="AW22" s="38">
        <v>15.45</v>
      </c>
      <c r="AX22" s="39"/>
      <c r="AY22" s="37">
        <v>4.9572</v>
      </c>
      <c r="AZ22" s="38">
        <v>15.48</v>
      </c>
      <c r="BA22" s="39"/>
      <c r="BB22" s="37">
        <v>5.0431</v>
      </c>
      <c r="BC22" s="38">
        <v>15.41</v>
      </c>
      <c r="BD22" s="39"/>
      <c r="BE22" s="37">
        <v>5.1305</v>
      </c>
      <c r="BF22" s="38">
        <v>15.26</v>
      </c>
      <c r="BG22" s="39"/>
      <c r="BH22" s="37">
        <v>5.126</v>
      </c>
      <c r="BI22" s="38">
        <v>15.32</v>
      </c>
      <c r="BJ22" s="39"/>
      <c r="BK22" s="37">
        <v>5.1302</v>
      </c>
      <c r="BL22" s="38">
        <v>15.39</v>
      </c>
      <c r="BM22" s="39"/>
      <c r="BN22" s="50">
        <f t="shared" si="0"/>
        <v>5.046866666666666</v>
      </c>
      <c r="BO22" s="114">
        <f t="shared" si="1"/>
        <v>15.415714285714287</v>
      </c>
      <c r="BP22" s="39"/>
    </row>
    <row r="23" spans="1:68" ht="15.75" customHeight="1">
      <c r="A23" s="35">
        <v>11</v>
      </c>
      <c r="B23" s="36" t="s">
        <v>24</v>
      </c>
      <c r="C23" s="37">
        <v>4.7578</v>
      </c>
      <c r="D23" s="38">
        <v>16.54</v>
      </c>
      <c r="E23" s="39"/>
      <c r="F23" s="37">
        <v>4.7685</v>
      </c>
      <c r="G23" s="38">
        <v>16.5</v>
      </c>
      <c r="H23" s="39"/>
      <c r="I23" s="37">
        <v>4.7931</v>
      </c>
      <c r="J23" s="38">
        <v>16.45</v>
      </c>
      <c r="K23" s="39"/>
      <c r="L23" s="37">
        <v>4.7446</v>
      </c>
      <c r="M23" s="38">
        <v>16.52</v>
      </c>
      <c r="N23" s="39"/>
      <c r="O23" s="37">
        <v>4.7451</v>
      </c>
      <c r="P23" s="38">
        <v>16.53</v>
      </c>
      <c r="Q23" s="39"/>
      <c r="R23" s="37">
        <v>4.7331</v>
      </c>
      <c r="S23" s="38">
        <v>16.48</v>
      </c>
      <c r="T23" s="39"/>
      <c r="U23" s="37">
        <v>4.7414</v>
      </c>
      <c r="V23" s="38">
        <v>16.46</v>
      </c>
      <c r="W23" s="39"/>
      <c r="X23" s="37">
        <v>4.6927</v>
      </c>
      <c r="Y23" s="38">
        <v>16.52</v>
      </c>
      <c r="Z23" s="39"/>
      <c r="AA23" s="37">
        <v>4.72</v>
      </c>
      <c r="AB23" s="38">
        <v>16.44</v>
      </c>
      <c r="AC23" s="39"/>
      <c r="AD23" s="37">
        <v>4.7216</v>
      </c>
      <c r="AE23" s="38">
        <v>16.46</v>
      </c>
      <c r="AF23" s="39"/>
      <c r="AG23" s="37">
        <v>4.7088</v>
      </c>
      <c r="AH23" s="38">
        <v>16.41</v>
      </c>
      <c r="AI23" s="39"/>
      <c r="AJ23" s="37">
        <v>4.6813</v>
      </c>
      <c r="AK23" s="38">
        <v>16.45</v>
      </c>
      <c r="AL23" s="39"/>
      <c r="AM23" s="37">
        <v>4.6716</v>
      </c>
      <c r="AN23" s="38">
        <v>16.44</v>
      </c>
      <c r="AO23" s="39"/>
      <c r="AP23" s="37">
        <v>4.6896</v>
      </c>
      <c r="AQ23" s="38">
        <v>16.39</v>
      </c>
      <c r="AR23" s="39"/>
      <c r="AS23" s="37">
        <v>4.7</v>
      </c>
      <c r="AT23" s="38">
        <v>16.35</v>
      </c>
      <c r="AU23" s="39"/>
      <c r="AV23" s="37">
        <v>4.6753</v>
      </c>
      <c r="AW23" s="38">
        <v>16.42</v>
      </c>
      <c r="AX23" s="39"/>
      <c r="AY23" s="37">
        <v>4.6762</v>
      </c>
      <c r="AZ23" s="38">
        <v>16.41</v>
      </c>
      <c r="BA23" s="39"/>
      <c r="BB23" s="37">
        <v>4.7396</v>
      </c>
      <c r="BC23" s="38">
        <v>16.4</v>
      </c>
      <c r="BD23" s="39"/>
      <c r="BE23" s="37">
        <v>4.7816</v>
      </c>
      <c r="BF23" s="38">
        <v>16.38</v>
      </c>
      <c r="BG23" s="39"/>
      <c r="BH23" s="37">
        <v>4.791</v>
      </c>
      <c r="BI23" s="38">
        <v>16.39</v>
      </c>
      <c r="BJ23" s="39"/>
      <c r="BK23" s="37">
        <v>4.7971</v>
      </c>
      <c r="BL23" s="38">
        <v>16.45</v>
      </c>
      <c r="BM23" s="39"/>
      <c r="BN23" s="50">
        <f t="shared" si="0"/>
        <v>4.7299999999999995</v>
      </c>
      <c r="BO23" s="114">
        <f t="shared" si="1"/>
        <v>16.447142857142854</v>
      </c>
      <c r="BP23" s="39"/>
    </row>
    <row r="24" spans="1:68" ht="15.75" customHeight="1">
      <c r="A24" s="35">
        <v>12</v>
      </c>
      <c r="B24" s="36" t="s">
        <v>25</v>
      </c>
      <c r="C24" s="37">
        <f>1/1.6445</f>
        <v>0.6080875646093037</v>
      </c>
      <c r="D24" s="38">
        <v>129.43</v>
      </c>
      <c r="E24" s="39"/>
      <c r="F24" s="37">
        <f>1/1.63522</f>
        <v>0.6115385085798853</v>
      </c>
      <c r="G24" s="38">
        <v>128.66</v>
      </c>
      <c r="H24" s="39"/>
      <c r="I24" s="37">
        <f>1/1.63257</f>
        <v>0.6125311625228933</v>
      </c>
      <c r="J24" s="38">
        <v>128.72</v>
      </c>
      <c r="K24" s="39"/>
      <c r="L24" s="37">
        <f>1/1.62799</f>
        <v>0.6142543873119614</v>
      </c>
      <c r="M24" s="38">
        <v>127.6</v>
      </c>
      <c r="N24" s="39"/>
      <c r="O24" s="37">
        <f>1/1.63784</f>
        <v>0.6105602500854784</v>
      </c>
      <c r="P24" s="38">
        <v>128.44</v>
      </c>
      <c r="Q24" s="39"/>
      <c r="R24" s="37">
        <f>1/1.63494</f>
        <v>0.6116432407305467</v>
      </c>
      <c r="S24" s="38">
        <v>127.53</v>
      </c>
      <c r="T24" s="39"/>
      <c r="U24" s="37">
        <f>1/1.63491</f>
        <v>0.6116544641601066</v>
      </c>
      <c r="V24" s="38">
        <v>127.6</v>
      </c>
      <c r="W24" s="39"/>
      <c r="X24" s="37">
        <f>1/1.63358</f>
        <v>0.6121524504462591</v>
      </c>
      <c r="Y24" s="38">
        <v>126.64</v>
      </c>
      <c r="Z24" s="39"/>
      <c r="AA24" s="37">
        <f>1/1.64477</f>
        <v>0.6079877429671018</v>
      </c>
      <c r="AB24" s="38">
        <v>127.6</v>
      </c>
      <c r="AC24" s="39"/>
      <c r="AD24" s="37">
        <f>1/1.64043</f>
        <v>0.6095962643940918</v>
      </c>
      <c r="AE24" s="38">
        <v>127.47</v>
      </c>
      <c r="AF24" s="39"/>
      <c r="AG24" s="37">
        <f>1/1.64221</f>
        <v>0.6089355198178065</v>
      </c>
      <c r="AH24" s="38">
        <v>126.88</v>
      </c>
      <c r="AI24" s="39"/>
      <c r="AJ24" s="37">
        <f>1/1.64134</f>
        <v>0.6092582889590212</v>
      </c>
      <c r="AK24" s="38">
        <v>126.37</v>
      </c>
      <c r="AL24" s="39"/>
      <c r="AM24" s="37">
        <f>1/1.64612</f>
        <v>0.6074891259446455</v>
      </c>
      <c r="AN24" s="38">
        <v>126.44</v>
      </c>
      <c r="AO24" s="39"/>
      <c r="AP24" s="37">
        <f>1/1.64357</f>
        <v>0.6084316457467586</v>
      </c>
      <c r="AQ24" s="38">
        <v>126.33</v>
      </c>
      <c r="AR24" s="39"/>
      <c r="AS24" s="37">
        <f>1/1.64001</f>
        <v>0.6097523795586612</v>
      </c>
      <c r="AT24" s="38">
        <v>126.06</v>
      </c>
      <c r="AU24" s="39"/>
      <c r="AV24" s="37">
        <f>1/1.64083</f>
        <v>0.6094476575879281</v>
      </c>
      <c r="AW24" s="38">
        <v>125.96</v>
      </c>
      <c r="AX24" s="39"/>
      <c r="AY24" s="37">
        <f>1/1.64282</f>
        <v>0.6087094142998016</v>
      </c>
      <c r="AZ24" s="38">
        <v>126.06</v>
      </c>
      <c r="BA24" s="39"/>
      <c r="BB24" s="37">
        <f>1/1.64434</f>
        <v>0.6081467336438936</v>
      </c>
      <c r="BC24" s="38">
        <v>127.8</v>
      </c>
      <c r="BD24" s="39"/>
      <c r="BE24" s="37">
        <f>1/1.6338</f>
        <v>0.6120700208103808</v>
      </c>
      <c r="BF24" s="38">
        <v>127.95</v>
      </c>
      <c r="BG24" s="39"/>
      <c r="BH24" s="37">
        <f>1/1.62976</f>
        <v>0.6135872766542313</v>
      </c>
      <c r="BI24" s="38">
        <v>127.96</v>
      </c>
      <c r="BJ24" s="39"/>
      <c r="BK24" s="37">
        <f>1/1.62554</f>
        <v>0.6151801862765605</v>
      </c>
      <c r="BL24" s="38">
        <v>128.31</v>
      </c>
      <c r="BM24" s="39"/>
      <c r="BN24" s="50">
        <f t="shared" si="0"/>
        <v>0.6105244897670151</v>
      </c>
      <c r="BO24" s="114">
        <f t="shared" si="1"/>
        <v>127.41952380952381</v>
      </c>
      <c r="BP24" s="39"/>
    </row>
    <row r="25" spans="1:68" ht="15.75" customHeight="1" thickBot="1">
      <c r="A25" s="43">
        <v>13</v>
      </c>
      <c r="B25" s="44" t="s">
        <v>26</v>
      </c>
      <c r="C25" s="45">
        <v>1</v>
      </c>
      <c r="D25" s="46">
        <v>78.7</v>
      </c>
      <c r="E25" s="30"/>
      <c r="F25" s="45">
        <v>1</v>
      </c>
      <c r="G25" s="46">
        <v>78.68</v>
      </c>
      <c r="H25" s="30"/>
      <c r="I25" s="45">
        <v>1</v>
      </c>
      <c r="J25" s="46">
        <v>78.84</v>
      </c>
      <c r="K25" s="30"/>
      <c r="L25" s="45">
        <v>1</v>
      </c>
      <c r="M25" s="46">
        <v>78.38</v>
      </c>
      <c r="N25" s="30"/>
      <c r="O25" s="45">
        <v>1</v>
      </c>
      <c r="P25" s="46">
        <v>78.42</v>
      </c>
      <c r="Q25" s="30"/>
      <c r="R25" s="45">
        <v>1</v>
      </c>
      <c r="S25" s="46">
        <v>78</v>
      </c>
      <c r="T25" s="30"/>
      <c r="U25" s="45">
        <v>1</v>
      </c>
      <c r="V25" s="46">
        <v>78.05</v>
      </c>
      <c r="W25" s="30"/>
      <c r="X25" s="45">
        <v>1</v>
      </c>
      <c r="Y25" s="46">
        <v>77.53</v>
      </c>
      <c r="Z25" s="30"/>
      <c r="AA25" s="45">
        <v>1</v>
      </c>
      <c r="AB25" s="46">
        <v>77.58</v>
      </c>
      <c r="AC25" s="30"/>
      <c r="AD25" s="45">
        <v>1</v>
      </c>
      <c r="AE25" s="46">
        <v>77.71</v>
      </c>
      <c r="AF25" s="30"/>
      <c r="AG25" s="45">
        <v>1</v>
      </c>
      <c r="AH25" s="46">
        <v>77.26</v>
      </c>
      <c r="AI25" s="30"/>
      <c r="AJ25" s="45">
        <v>1</v>
      </c>
      <c r="AK25" s="46">
        <v>76.99</v>
      </c>
      <c r="AL25" s="30"/>
      <c r="AM25" s="45">
        <v>1</v>
      </c>
      <c r="AN25" s="46">
        <v>76.81</v>
      </c>
      <c r="AO25" s="30"/>
      <c r="AP25" s="45">
        <v>1</v>
      </c>
      <c r="AQ25" s="46">
        <v>76.86</v>
      </c>
      <c r="AR25" s="30"/>
      <c r="AS25" s="45">
        <v>1</v>
      </c>
      <c r="AT25" s="46">
        <v>76.86</v>
      </c>
      <c r="AU25" s="30"/>
      <c r="AV25" s="45">
        <v>1</v>
      </c>
      <c r="AW25" s="46">
        <v>76.77</v>
      </c>
      <c r="AX25" s="30"/>
      <c r="AY25" s="45">
        <v>1</v>
      </c>
      <c r="AZ25" s="46">
        <v>76.73</v>
      </c>
      <c r="BA25" s="30"/>
      <c r="BB25" s="45">
        <v>1</v>
      </c>
      <c r="BC25" s="46">
        <v>77.72</v>
      </c>
      <c r="BD25" s="30"/>
      <c r="BE25" s="45">
        <v>1</v>
      </c>
      <c r="BF25" s="46">
        <v>78.31</v>
      </c>
      <c r="BG25" s="30"/>
      <c r="BH25" s="45">
        <v>1</v>
      </c>
      <c r="BI25" s="46">
        <v>78.51</v>
      </c>
      <c r="BJ25" s="30"/>
      <c r="BK25" s="45">
        <v>1</v>
      </c>
      <c r="BL25" s="46">
        <v>78.94</v>
      </c>
      <c r="BM25" s="30"/>
      <c r="BN25" s="51">
        <f t="shared" si="0"/>
        <v>1</v>
      </c>
      <c r="BO25" s="115">
        <f>(D25+G25+J25+M25+P25+S25+V25+Y25+AB25+AE25+AH25+AK25+AN25+AQ25+AT25+AW25+AZ25+BC25+BF25+BI25+BL25)/21</f>
        <v>77.79285714285713</v>
      </c>
      <c r="BP25" s="30"/>
    </row>
    <row r="26" spans="1:68" ht="15.75" customHeight="1">
      <c r="A26" s="40"/>
      <c r="B26" s="41"/>
      <c r="C26" s="25"/>
      <c r="D26" s="26"/>
      <c r="E26" s="24"/>
      <c r="F26" s="25"/>
      <c r="G26" s="26"/>
      <c r="H26" s="24"/>
      <c r="I26" s="25"/>
      <c r="J26" s="26"/>
      <c r="K26" s="24"/>
      <c r="L26" s="25"/>
      <c r="M26" s="26"/>
      <c r="N26" s="24"/>
      <c r="O26" s="25"/>
      <c r="P26" s="26"/>
      <c r="Q26" s="24"/>
      <c r="R26" s="25"/>
      <c r="S26" s="26"/>
      <c r="T26" s="24"/>
      <c r="U26" s="25"/>
      <c r="V26" s="26"/>
      <c r="W26" s="24"/>
      <c r="X26" s="25"/>
      <c r="Y26" s="26"/>
      <c r="Z26" s="24"/>
      <c r="AA26" s="25"/>
      <c r="AB26" s="26"/>
      <c r="AC26" s="24"/>
      <c r="AD26" s="25"/>
      <c r="AE26" s="26"/>
      <c r="AF26" s="24"/>
      <c r="AG26" s="25"/>
      <c r="AH26" s="26"/>
      <c r="AI26" s="24"/>
      <c r="AJ26" s="25"/>
      <c r="AK26" s="26"/>
      <c r="AL26" s="24"/>
      <c r="AM26" s="25"/>
      <c r="AN26" s="26"/>
      <c r="AO26" s="24"/>
      <c r="AP26" s="25"/>
      <c r="AQ26" s="26"/>
      <c r="AR26" s="24"/>
      <c r="AS26" s="25"/>
      <c r="AT26" s="26"/>
      <c r="AU26" s="24"/>
      <c r="AV26" s="25"/>
      <c r="AW26" s="26"/>
      <c r="AX26" s="24"/>
      <c r="AY26" s="25"/>
      <c r="AZ26" s="26"/>
      <c r="BA26" s="24"/>
      <c r="BB26" s="25"/>
      <c r="BC26" s="26"/>
      <c r="BD26" s="24"/>
      <c r="BE26" s="25"/>
      <c r="BF26" s="26"/>
      <c r="BG26" s="24"/>
      <c r="BH26" s="24"/>
      <c r="BI26" s="24"/>
      <c r="BJ26" s="24"/>
      <c r="BK26" s="25"/>
      <c r="BL26" s="26"/>
      <c r="BM26" s="24"/>
      <c r="BN26" s="25"/>
      <c r="BO26" s="26"/>
      <c r="BP26" s="24"/>
    </row>
    <row r="27" spans="1:68" ht="15.75" customHeight="1">
      <c r="A27" s="40"/>
      <c r="B27" s="41"/>
      <c r="C27" s="25"/>
      <c r="D27" s="26"/>
      <c r="E27" s="24"/>
      <c r="F27" s="25"/>
      <c r="G27" s="26"/>
      <c r="H27" s="24"/>
      <c r="I27" s="25"/>
      <c r="J27" s="26"/>
      <c r="K27" s="24"/>
      <c r="L27" s="25"/>
      <c r="M27" s="26"/>
      <c r="N27" s="24"/>
      <c r="O27" s="25"/>
      <c r="P27" s="26"/>
      <c r="Q27" s="24"/>
      <c r="R27" s="25"/>
      <c r="S27" s="26"/>
      <c r="T27" s="24"/>
      <c r="U27" s="25"/>
      <c r="V27" s="26"/>
      <c r="W27" s="24"/>
      <c r="X27" s="25"/>
      <c r="Y27" s="26"/>
      <c r="Z27" s="24"/>
      <c r="AA27" s="25"/>
      <c r="AB27" s="26"/>
      <c r="AC27" s="24"/>
      <c r="AD27" s="25"/>
      <c r="AE27" s="26"/>
      <c r="AF27" s="24"/>
      <c r="AG27" s="25"/>
      <c r="AH27" s="26"/>
      <c r="AI27" s="24"/>
      <c r="AJ27" s="25"/>
      <c r="AK27" s="26"/>
      <c r="AL27" s="24"/>
      <c r="AM27" s="25"/>
      <c r="AN27" s="26"/>
      <c r="AO27" s="24"/>
      <c r="AP27" s="25"/>
      <c r="AQ27" s="26"/>
      <c r="AR27" s="24"/>
      <c r="AS27" s="25"/>
      <c r="AT27" s="26"/>
      <c r="AU27" s="24"/>
      <c r="AV27" s="25"/>
      <c r="AW27" s="26"/>
      <c r="AX27" s="24"/>
      <c r="AY27" s="25"/>
      <c r="AZ27" s="26"/>
      <c r="BA27" s="24"/>
      <c r="BB27" s="25"/>
      <c r="BC27" s="26"/>
      <c r="BD27" s="24"/>
      <c r="BE27" s="25"/>
      <c r="BF27" s="26"/>
      <c r="BG27" s="24"/>
      <c r="BH27" s="24"/>
      <c r="BI27" s="24"/>
      <c r="BJ27" s="24"/>
      <c r="BK27" s="25"/>
      <c r="BL27" s="26"/>
      <c r="BM27" s="24"/>
      <c r="BN27" s="25"/>
      <c r="BO27" s="26"/>
      <c r="BP27" s="24"/>
    </row>
    <row r="28" spans="1:68" ht="15.75" customHeight="1">
      <c r="A28" s="40"/>
      <c r="B28" s="41"/>
      <c r="C28" s="25"/>
      <c r="D28" s="26"/>
      <c r="E28" s="24"/>
      <c r="F28" s="25"/>
      <c r="G28" s="26"/>
      <c r="H28" s="24"/>
      <c r="I28" s="25"/>
      <c r="J28" s="26"/>
      <c r="K28" s="24"/>
      <c r="L28" s="25"/>
      <c r="M28" s="26"/>
      <c r="N28" s="24"/>
      <c r="O28" s="25"/>
      <c r="P28" s="26"/>
      <c r="Q28" s="24"/>
      <c r="R28" s="25"/>
      <c r="S28" s="26"/>
      <c r="T28" s="24"/>
      <c r="U28" s="25"/>
      <c r="V28" s="26"/>
      <c r="W28" s="24"/>
      <c r="X28" s="25"/>
      <c r="Y28" s="26"/>
      <c r="Z28" s="24"/>
      <c r="AA28" s="25"/>
      <c r="AB28" s="26"/>
      <c r="AC28" s="24"/>
      <c r="AD28" s="25"/>
      <c r="AE28" s="26"/>
      <c r="AF28" s="24"/>
      <c r="AG28" s="25"/>
      <c r="AH28" s="26"/>
      <c r="AI28" s="24"/>
      <c r="AJ28" s="25"/>
      <c r="AK28" s="26"/>
      <c r="AL28" s="24"/>
      <c r="AM28" s="25"/>
      <c r="AN28" s="26"/>
      <c r="AO28" s="24"/>
      <c r="AP28" s="25"/>
      <c r="AQ28" s="26"/>
      <c r="AR28" s="24"/>
      <c r="AS28" s="25"/>
      <c r="AT28" s="26"/>
      <c r="AU28" s="24"/>
      <c r="AV28" s="25"/>
      <c r="AW28" s="26"/>
      <c r="AX28" s="24"/>
      <c r="AY28" s="25"/>
      <c r="AZ28" s="26"/>
      <c r="BA28" s="24"/>
      <c r="BB28" s="25"/>
      <c r="BC28" s="26"/>
      <c r="BD28" s="24"/>
      <c r="BE28" s="25"/>
      <c r="BF28" s="26"/>
      <c r="BG28" s="24"/>
      <c r="BH28" s="24"/>
      <c r="BI28" s="24"/>
      <c r="BJ28" s="24"/>
      <c r="BK28" s="25"/>
      <c r="BL28" s="26"/>
      <c r="BM28" s="24"/>
      <c r="BN28" s="25"/>
      <c r="BO28" s="26"/>
      <c r="BP28" s="24"/>
    </row>
    <row r="29" spans="1:68" ht="15.75" customHeight="1">
      <c r="A29" s="40"/>
      <c r="B29" s="41"/>
      <c r="C29" s="25"/>
      <c r="D29" s="26"/>
      <c r="E29" s="24"/>
      <c r="F29" s="25"/>
      <c r="G29" s="26"/>
      <c r="H29" s="24"/>
      <c r="I29" s="25"/>
      <c r="J29" s="26"/>
      <c r="K29" s="24"/>
      <c r="L29" s="25"/>
      <c r="M29" s="26"/>
      <c r="N29" s="24"/>
      <c r="O29" s="25"/>
      <c r="P29" s="26"/>
      <c r="Q29" s="24"/>
      <c r="R29" s="25"/>
      <c r="S29" s="26"/>
      <c r="T29" s="24"/>
      <c r="U29" s="25"/>
      <c r="V29" s="26"/>
      <c r="W29" s="24"/>
      <c r="X29" s="25"/>
      <c r="Y29" s="26"/>
      <c r="Z29" s="24"/>
      <c r="AA29" s="25"/>
      <c r="AB29" s="26"/>
      <c r="AC29" s="24"/>
      <c r="AD29" s="25"/>
      <c r="AE29" s="26"/>
      <c r="AF29" s="24"/>
      <c r="AG29" s="25"/>
      <c r="AH29" s="26"/>
      <c r="AI29" s="24"/>
      <c r="AJ29" s="25"/>
      <c r="AK29" s="26"/>
      <c r="AL29" s="24"/>
      <c r="AM29" s="25"/>
      <c r="AN29" s="26"/>
      <c r="AO29" s="24"/>
      <c r="AP29" s="25"/>
      <c r="AQ29" s="26"/>
      <c r="AR29" s="24"/>
      <c r="AS29" s="25"/>
      <c r="AT29" s="26"/>
      <c r="AU29" s="24"/>
      <c r="AV29" s="25"/>
      <c r="AW29" s="26"/>
      <c r="AX29" s="24"/>
      <c r="AY29" s="25"/>
      <c r="AZ29" s="26"/>
      <c r="BA29" s="24"/>
      <c r="BB29" s="25"/>
      <c r="BC29" s="26"/>
      <c r="BD29" s="24"/>
      <c r="BE29" s="25"/>
      <c r="BF29" s="26"/>
      <c r="BG29" s="24"/>
      <c r="BH29" s="24"/>
      <c r="BI29" s="24"/>
      <c r="BJ29" s="24"/>
      <c r="BK29" s="25"/>
      <c r="BL29" s="26"/>
      <c r="BM29" s="24"/>
      <c r="BN29" s="25"/>
      <c r="BO29" s="26"/>
      <c r="BP29" s="24"/>
    </row>
    <row r="30" spans="1:68" ht="15.75" customHeight="1">
      <c r="A30" s="40"/>
      <c r="B30" s="41"/>
      <c r="C30" s="25"/>
      <c r="D30" s="26"/>
      <c r="E30" s="24"/>
      <c r="F30" s="25"/>
      <c r="G30" s="26"/>
      <c r="H30" s="24"/>
      <c r="I30" s="25"/>
      <c r="J30" s="26"/>
      <c r="K30" s="24"/>
      <c r="L30" s="25"/>
      <c r="M30" s="26"/>
      <c r="N30" s="24"/>
      <c r="O30" s="25"/>
      <c r="P30" s="26"/>
      <c r="Q30" s="24"/>
      <c r="R30" s="25"/>
      <c r="S30" s="26"/>
      <c r="T30" s="24"/>
      <c r="U30" s="25"/>
      <c r="V30" s="26"/>
      <c r="W30" s="24"/>
      <c r="X30" s="25"/>
      <c r="Y30" s="26"/>
      <c r="Z30" s="24"/>
      <c r="AA30" s="25"/>
      <c r="AB30" s="26"/>
      <c r="AC30" s="24"/>
      <c r="AD30" s="25"/>
      <c r="AE30" s="26"/>
      <c r="AF30" s="24"/>
      <c r="AG30" s="25"/>
      <c r="AH30" s="26"/>
      <c r="AI30" s="24"/>
      <c r="AJ30" s="25"/>
      <c r="AK30" s="26"/>
      <c r="AL30" s="24"/>
      <c r="AM30" s="25"/>
      <c r="AN30" s="26"/>
      <c r="AO30" s="24"/>
      <c r="AP30" s="25"/>
      <c r="AQ30" s="26"/>
      <c r="AR30" s="24"/>
      <c r="AS30" s="25"/>
      <c r="AT30" s="26"/>
      <c r="AU30" s="24"/>
      <c r="AV30" s="25"/>
      <c r="AW30" s="26"/>
      <c r="AX30" s="24"/>
      <c r="AY30" s="25"/>
      <c r="AZ30" s="26"/>
      <c r="BA30" s="24"/>
      <c r="BB30" s="25"/>
      <c r="BC30" s="26"/>
      <c r="BD30" s="24"/>
      <c r="BE30" s="25"/>
      <c r="BF30" s="26"/>
      <c r="BG30" s="24"/>
      <c r="BH30" s="24"/>
      <c r="BI30" s="24"/>
      <c r="BJ30" s="24"/>
      <c r="BK30" s="25"/>
      <c r="BL30" s="26"/>
      <c r="BM30" s="24"/>
      <c r="BN30" s="25"/>
      <c r="BO30" s="26"/>
      <c r="BP30" s="24"/>
    </row>
    <row r="31" spans="1:68" ht="15.75" customHeight="1">
      <c r="A31" s="40"/>
      <c r="B31" s="41"/>
      <c r="C31" s="25"/>
      <c r="D31" s="26"/>
      <c r="E31" s="24"/>
      <c r="F31" s="25"/>
      <c r="G31" s="26"/>
      <c r="H31" s="24"/>
      <c r="I31" s="25"/>
      <c r="J31" s="26"/>
      <c r="K31" s="24"/>
      <c r="L31" s="25"/>
      <c r="M31" s="26"/>
      <c r="N31" s="24"/>
      <c r="O31" s="25"/>
      <c r="P31" s="26"/>
      <c r="Q31" s="24"/>
      <c r="R31" s="25"/>
      <c r="S31" s="26"/>
      <c r="T31" s="24"/>
      <c r="U31" s="25"/>
      <c r="V31" s="26"/>
      <c r="W31" s="24"/>
      <c r="X31" s="25"/>
      <c r="Y31" s="26"/>
      <c r="Z31" s="24"/>
      <c r="AA31" s="25"/>
      <c r="AB31" s="26"/>
      <c r="AC31" s="24"/>
      <c r="AD31" s="25"/>
      <c r="AE31" s="26"/>
      <c r="AF31" s="24"/>
      <c r="AG31" s="25"/>
      <c r="AH31" s="26"/>
      <c r="AI31" s="24"/>
      <c r="AJ31" s="25"/>
      <c r="AK31" s="26"/>
      <c r="AL31" s="24"/>
      <c r="AM31" s="25"/>
      <c r="AN31" s="26"/>
      <c r="AO31" s="24"/>
      <c r="AP31" s="25"/>
      <c r="AQ31" s="26"/>
      <c r="AR31" s="24"/>
      <c r="AS31" s="25"/>
      <c r="AT31" s="26"/>
      <c r="AU31" s="24"/>
      <c r="AV31" s="25"/>
      <c r="AW31" s="26"/>
      <c r="AX31" s="24"/>
      <c r="AY31" s="25"/>
      <c r="AZ31" s="26"/>
      <c r="BA31" s="24"/>
      <c r="BB31" s="25"/>
      <c r="BC31" s="26"/>
      <c r="BD31" s="24"/>
      <c r="BE31" s="25"/>
      <c r="BF31" s="26"/>
      <c r="BG31" s="24"/>
      <c r="BH31" s="24"/>
      <c r="BI31" s="24"/>
      <c r="BJ31" s="24"/>
      <c r="BK31" s="25"/>
      <c r="BL31" s="26"/>
      <c r="BM31" s="24"/>
      <c r="BN31" s="25"/>
      <c r="BO31" s="26"/>
      <c r="BP31" s="24"/>
    </row>
    <row r="32" spans="1:68" ht="15.75" customHeight="1">
      <c r="A32" s="40"/>
      <c r="B32" s="41"/>
      <c r="C32" s="25"/>
      <c r="D32" s="26"/>
      <c r="E32" s="24"/>
      <c r="F32" s="25"/>
      <c r="G32" s="26"/>
      <c r="H32" s="24"/>
      <c r="I32" s="25"/>
      <c r="J32" s="26"/>
      <c r="K32" s="24"/>
      <c r="L32" s="25"/>
      <c r="M32" s="26"/>
      <c r="N32" s="24"/>
      <c r="O32" s="25"/>
      <c r="P32" s="26"/>
      <c r="Q32" s="24"/>
      <c r="R32" s="25"/>
      <c r="S32" s="26"/>
      <c r="T32" s="24"/>
      <c r="U32" s="25"/>
      <c r="V32" s="26"/>
      <c r="W32" s="24"/>
      <c r="X32" s="25"/>
      <c r="Y32" s="26"/>
      <c r="Z32" s="24"/>
      <c r="AA32" s="25"/>
      <c r="AB32" s="26"/>
      <c r="AC32" s="24"/>
      <c r="AD32" s="25"/>
      <c r="AE32" s="26"/>
      <c r="AF32" s="24"/>
      <c r="AG32" s="25"/>
      <c r="AH32" s="26"/>
      <c r="AI32" s="24"/>
      <c r="AJ32" s="25"/>
      <c r="AK32" s="26"/>
      <c r="AL32" s="24"/>
      <c r="AM32" s="25"/>
      <c r="AN32" s="26"/>
      <c r="AO32" s="24"/>
      <c r="AP32" s="25"/>
      <c r="AQ32" s="26"/>
      <c r="AR32" s="24"/>
      <c r="AS32" s="25"/>
      <c r="AT32" s="26"/>
      <c r="AU32" s="24"/>
      <c r="AV32" s="25"/>
      <c r="AW32" s="26"/>
      <c r="AX32" s="24"/>
      <c r="AY32" s="25"/>
      <c r="AZ32" s="26"/>
      <c r="BA32" s="24"/>
      <c r="BB32" s="25"/>
      <c r="BC32" s="26"/>
      <c r="BD32" s="24"/>
      <c r="BE32" s="25"/>
      <c r="BF32" s="26"/>
      <c r="BG32" s="24"/>
      <c r="BH32" s="24"/>
      <c r="BI32" s="24"/>
      <c r="BJ32" s="24"/>
      <c r="BK32" s="25"/>
      <c r="BL32" s="26"/>
      <c r="BM32" s="24"/>
      <c r="BN32" s="25"/>
      <c r="BO32" s="26"/>
      <c r="BP32" s="24"/>
    </row>
    <row r="33" spans="1:68" ht="15.75" customHeight="1">
      <c r="A33" s="40"/>
      <c r="B33" s="63"/>
      <c r="C33" s="25"/>
      <c r="D33" s="26"/>
      <c r="E33" s="24"/>
      <c r="F33" s="25"/>
      <c r="G33" s="26"/>
      <c r="H33" s="24"/>
      <c r="I33" s="25"/>
      <c r="J33" s="26"/>
      <c r="K33" s="24"/>
      <c r="L33" s="25"/>
      <c r="M33" s="26"/>
      <c r="N33" s="24"/>
      <c r="O33" s="25"/>
      <c r="P33" s="26"/>
      <c r="Q33" s="24"/>
      <c r="R33" s="25"/>
      <c r="S33" s="26"/>
      <c r="T33" s="24"/>
      <c r="U33" s="25"/>
      <c r="V33" s="26"/>
      <c r="W33" s="24"/>
      <c r="X33" s="25"/>
      <c r="Y33" s="26"/>
      <c r="Z33" s="24"/>
      <c r="AA33" s="25"/>
      <c r="AB33" s="26"/>
      <c r="AC33" s="24"/>
      <c r="AD33" s="25"/>
      <c r="AE33" s="26"/>
      <c r="AF33" s="24"/>
      <c r="AG33" s="25"/>
      <c r="AH33" s="26"/>
      <c r="AI33" s="24"/>
      <c r="AJ33" s="25"/>
      <c r="AK33" s="26"/>
      <c r="AL33" s="24"/>
      <c r="AM33" s="25"/>
      <c r="AN33" s="26"/>
      <c r="AO33" s="24"/>
      <c r="AP33" s="25"/>
      <c r="AQ33" s="26"/>
      <c r="AR33" s="24"/>
      <c r="AS33" s="25"/>
      <c r="AT33" s="26"/>
      <c r="AU33" s="24"/>
      <c r="AV33" s="25"/>
      <c r="AW33" s="26"/>
      <c r="AX33" s="24"/>
      <c r="AY33" s="25"/>
      <c r="AZ33" s="26"/>
      <c r="BA33" s="24"/>
      <c r="BB33" s="25"/>
      <c r="BC33" s="26"/>
      <c r="BD33" s="24"/>
      <c r="BE33" s="25"/>
      <c r="BF33" s="26"/>
      <c r="BG33" s="24"/>
      <c r="BH33" s="24"/>
      <c r="BI33" s="24"/>
      <c r="BJ33" s="24"/>
      <c r="BK33" s="25"/>
      <c r="BL33" s="26"/>
      <c r="BM33" s="24"/>
      <c r="BN33" s="25"/>
      <c r="BO33" s="26"/>
      <c r="BP33" s="24"/>
    </row>
    <row r="34" spans="1:68" ht="15.75" customHeight="1">
      <c r="A34" s="40"/>
      <c r="B34" s="63"/>
      <c r="C34" s="25"/>
      <c r="D34" s="26"/>
      <c r="E34" s="24"/>
      <c r="F34" s="25"/>
      <c r="G34" s="26"/>
      <c r="H34" s="24"/>
      <c r="I34" s="25"/>
      <c r="J34" s="26"/>
      <c r="K34" s="24"/>
      <c r="L34" s="25"/>
      <c r="M34" s="26"/>
      <c r="N34" s="24"/>
      <c r="O34" s="25"/>
      <c r="P34" s="26"/>
      <c r="Q34" s="24"/>
      <c r="R34" s="25"/>
      <c r="S34" s="26"/>
      <c r="T34" s="64"/>
      <c r="U34" s="25"/>
      <c r="V34" s="26"/>
      <c r="W34" s="24"/>
      <c r="X34" s="25"/>
      <c r="Y34" s="26"/>
      <c r="Z34" s="24"/>
      <c r="AA34" s="25"/>
      <c r="AB34" s="26"/>
      <c r="AC34" s="24"/>
      <c r="AD34" s="25"/>
      <c r="AE34" s="26"/>
      <c r="AF34" s="24"/>
      <c r="AG34" s="25"/>
      <c r="AH34" s="26"/>
      <c r="AI34" s="24"/>
      <c r="AJ34" s="25"/>
      <c r="AK34" s="26"/>
      <c r="AL34" s="24"/>
      <c r="AM34" s="25"/>
      <c r="AN34" s="26"/>
      <c r="AO34" s="24"/>
      <c r="AP34" s="25"/>
      <c r="AQ34" s="26"/>
      <c r="AR34" s="24"/>
      <c r="AS34" s="25"/>
      <c r="AT34" s="26"/>
      <c r="AU34" s="24"/>
      <c r="AV34" s="25"/>
      <c r="AW34" s="26"/>
      <c r="AX34" s="24"/>
      <c r="AY34" s="25"/>
      <c r="AZ34" s="26"/>
      <c r="BA34" s="24"/>
      <c r="BB34" s="25"/>
      <c r="BC34" s="26"/>
      <c r="BD34" s="24"/>
      <c r="BE34" s="25"/>
      <c r="BF34" s="26"/>
      <c r="BG34" s="24"/>
      <c r="BH34" s="24"/>
      <c r="BI34" s="24"/>
      <c r="BJ34" s="24"/>
      <c r="BK34" s="25"/>
      <c r="BL34" s="26"/>
      <c r="BM34" s="24"/>
      <c r="BN34" s="25"/>
      <c r="BO34" s="26"/>
      <c r="BP34" s="65"/>
    </row>
    <row r="35" spans="1:68" ht="15.75" customHeight="1">
      <c r="A35" s="40"/>
      <c r="B35" s="63"/>
      <c r="C35" s="25"/>
      <c r="D35" s="26"/>
      <c r="E35" s="24"/>
      <c r="F35" s="25"/>
      <c r="G35" s="26"/>
      <c r="H35" s="24"/>
      <c r="I35" s="25"/>
      <c r="J35" s="26"/>
      <c r="K35" s="24"/>
      <c r="L35" s="25"/>
      <c r="M35" s="26"/>
      <c r="N35" s="24"/>
      <c r="O35" s="25"/>
      <c r="P35" s="26"/>
      <c r="Q35" s="24"/>
      <c r="R35" s="25"/>
      <c r="S35" s="26"/>
      <c r="T35" s="24"/>
      <c r="U35" s="25"/>
      <c r="V35" s="26"/>
      <c r="W35" s="24"/>
      <c r="X35" s="25"/>
      <c r="Y35" s="26"/>
      <c r="Z35" s="24"/>
      <c r="AA35" s="25"/>
      <c r="AB35" s="26"/>
      <c r="AC35" s="24"/>
      <c r="AD35" s="25"/>
      <c r="AE35" s="26"/>
      <c r="AF35" s="24"/>
      <c r="AG35" s="25"/>
      <c r="AH35" s="26"/>
      <c r="AI35" s="24"/>
      <c r="AJ35" s="25"/>
      <c r="AK35" s="26"/>
      <c r="AL35" s="24"/>
      <c r="AM35" s="25"/>
      <c r="AN35" s="26"/>
      <c r="AO35" s="24"/>
      <c r="AP35" s="25"/>
      <c r="AQ35" s="26"/>
      <c r="AR35" s="24"/>
      <c r="AS35" s="25"/>
      <c r="AT35" s="26"/>
      <c r="AU35" s="24"/>
      <c r="AV35" s="25"/>
      <c r="AW35" s="26"/>
      <c r="AX35" s="24"/>
      <c r="AY35" s="25"/>
      <c r="AZ35" s="26"/>
      <c r="BA35" s="24"/>
      <c r="BB35" s="25"/>
      <c r="BC35" s="26"/>
      <c r="BD35" s="24"/>
      <c r="BE35" s="25"/>
      <c r="BF35" s="26"/>
      <c r="BG35" s="24"/>
      <c r="BH35" s="24"/>
      <c r="BI35" s="24"/>
      <c r="BJ35" s="24"/>
      <c r="BK35" s="25"/>
      <c r="BL35" s="26"/>
      <c r="BM35" s="24"/>
      <c r="BN35" s="25"/>
      <c r="BO35" s="26"/>
      <c r="BP35" s="65"/>
    </row>
    <row r="36" spans="1:68" ht="15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7"/>
      <c r="BH36" s="24"/>
      <c r="BI36" s="24"/>
      <c r="BJ36" s="24"/>
      <c r="BK36" s="24"/>
      <c r="BL36" s="24"/>
      <c r="BM36" s="24"/>
      <c r="BN36" s="66"/>
      <c r="BO36" s="66"/>
      <c r="BP36" s="67"/>
    </row>
    <row r="37" spans="1:68" ht="15.7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</row>
    <row r="38" spans="1:68" ht="15.7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</row>
    <row r="39" spans="1:68" ht="15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</row>
    <row r="40" spans="1:68" ht="15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</row>
    <row r="41" spans="1:68" ht="15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</row>
    <row r="42" spans="1:68" ht="15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</row>
    <row r="43" spans="1:68" ht="15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</row>
    <row r="44" spans="1:68" ht="15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</row>
    <row r="45" spans="1:68" ht="15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</row>
    <row r="46" spans="1:68" ht="15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</row>
    <row r="47" spans="1:68" ht="15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</row>
    <row r="48" spans="1:68" ht="15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</row>
    <row r="49" spans="1:68" ht="15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</row>
    <row r="50" spans="1:68" ht="15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</row>
    <row r="51" spans="1:68" ht="15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</row>
    <row r="52" spans="1:68" ht="15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3" r:id="rId1"/>
  <headerFooter alignWithMargins="0">
    <oddHeader>&amp;L&amp;"Times New Roman,Bold"&amp;14Banka e Shqiperise&amp;12
Sektori i Informacionit</oddHeader>
  </headerFooter>
  <colBreaks count="1" manualBreakCount="1">
    <brk id="60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2"/>
  <sheetViews>
    <sheetView zoomScale="75" zoomScaleNormal="75" zoomScalePageLayoutView="0" workbookViewId="0" topLeftCell="A1">
      <pane xSplit="2" ySplit="11" topLeftCell="BK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R37" sqref="BR37"/>
    </sheetView>
  </sheetViews>
  <sheetFormatPr defaultColWidth="13.28125" defaultRowHeight="15.75" customHeight="1"/>
  <cols>
    <col min="1" max="1" width="6.28125" style="0" customWidth="1"/>
    <col min="2" max="2" width="30.8515625" style="0" customWidth="1"/>
    <col min="3" max="3" width="25.8515625" style="0" hidden="1" customWidth="1"/>
    <col min="4" max="4" width="12.421875" style="0" hidden="1" customWidth="1"/>
    <col min="5" max="5" width="7.57421875" style="0" hidden="1" customWidth="1"/>
    <col min="6" max="6" width="21.57421875" style="0" hidden="1" customWidth="1"/>
    <col min="7" max="7" width="18.421875" style="0" hidden="1" customWidth="1"/>
    <col min="8" max="8" width="6.421875" style="0" hidden="1" customWidth="1"/>
    <col min="9" max="9" width="23.8515625" style="0" hidden="1" customWidth="1"/>
    <col min="10" max="10" width="14.00390625" style="0" hidden="1" customWidth="1"/>
    <col min="11" max="11" width="6.28125" style="0" hidden="1" customWidth="1"/>
    <col min="12" max="12" width="26.00390625" style="0" hidden="1" customWidth="1"/>
    <col min="13" max="13" width="13.8515625" style="0" hidden="1" customWidth="1"/>
    <col min="14" max="14" width="5.421875" style="0" hidden="1" customWidth="1"/>
    <col min="15" max="15" width="24.140625" style="0" hidden="1" customWidth="1"/>
    <col min="16" max="16" width="14.00390625" style="0" hidden="1" customWidth="1"/>
    <col min="17" max="17" width="5.7109375" style="0" hidden="1" customWidth="1"/>
    <col min="18" max="18" width="21.7109375" style="0" hidden="1" customWidth="1"/>
    <col min="19" max="19" width="15.00390625" style="0" hidden="1" customWidth="1"/>
    <col min="20" max="20" width="5.57421875" style="0" hidden="1" customWidth="1"/>
    <col min="21" max="21" width="25.7109375" style="0" hidden="1" customWidth="1"/>
    <col min="22" max="22" width="15.8515625" style="0" hidden="1" customWidth="1"/>
    <col min="23" max="23" width="5.7109375" style="0" hidden="1" customWidth="1"/>
    <col min="24" max="24" width="23.00390625" style="0" hidden="1" customWidth="1"/>
    <col min="25" max="25" width="13.8515625" style="0" hidden="1" customWidth="1"/>
    <col min="26" max="26" width="5.28125" style="0" hidden="1" customWidth="1"/>
    <col min="27" max="27" width="24.00390625" style="0" hidden="1" customWidth="1"/>
    <col min="28" max="28" width="15.7109375" style="0" hidden="1" customWidth="1"/>
    <col min="29" max="29" width="5.7109375" style="0" hidden="1" customWidth="1"/>
    <col min="30" max="30" width="25.140625" style="0" hidden="1" customWidth="1"/>
    <col min="31" max="31" width="14.00390625" style="0" hidden="1" customWidth="1"/>
    <col min="32" max="32" width="5.7109375" style="0" hidden="1" customWidth="1"/>
    <col min="33" max="33" width="27.140625" style="0" hidden="1" customWidth="1"/>
    <col min="34" max="34" width="10.57421875" style="0" hidden="1" customWidth="1"/>
    <col min="35" max="35" width="5.7109375" style="0" hidden="1" customWidth="1"/>
    <col min="36" max="36" width="24.00390625" style="0" hidden="1" customWidth="1"/>
    <col min="37" max="37" width="12.421875" style="0" hidden="1" customWidth="1"/>
    <col min="38" max="38" width="5.7109375" style="0" hidden="1" customWidth="1"/>
    <col min="39" max="39" width="21.421875" style="0" hidden="1" customWidth="1"/>
    <col min="40" max="40" width="10.57421875" style="0" hidden="1" customWidth="1"/>
    <col min="41" max="41" width="5.7109375" style="0" hidden="1" customWidth="1"/>
    <col min="42" max="42" width="22.57421875" style="0" hidden="1" customWidth="1"/>
    <col min="43" max="43" width="10.57421875" style="0" hidden="1" customWidth="1"/>
    <col min="44" max="44" width="5.7109375" style="0" hidden="1" customWidth="1"/>
    <col min="45" max="45" width="21.8515625" style="0" hidden="1" customWidth="1"/>
    <col min="46" max="46" width="14.28125" style="0" hidden="1" customWidth="1"/>
    <col min="47" max="47" width="6.421875" style="0" hidden="1" customWidth="1"/>
    <col min="48" max="48" width="21.421875" style="0" hidden="1" customWidth="1"/>
    <col min="49" max="49" width="10.57421875" style="0" hidden="1" customWidth="1"/>
    <col min="50" max="50" width="5.7109375" style="0" hidden="1" customWidth="1"/>
    <col min="51" max="51" width="21.421875" style="0" hidden="1" customWidth="1"/>
    <col min="52" max="52" width="13.421875" style="0" hidden="1" customWidth="1"/>
    <col min="53" max="53" width="5.7109375" style="0" hidden="1" customWidth="1"/>
    <col min="54" max="54" width="24.421875" style="0" hidden="1" customWidth="1"/>
    <col min="55" max="55" width="17.57421875" style="0" hidden="1" customWidth="1"/>
    <col min="56" max="56" width="5.7109375" style="0" hidden="1" customWidth="1"/>
    <col min="57" max="57" width="21.421875" style="0" hidden="1" customWidth="1"/>
    <col min="58" max="58" width="15.421875" style="0" hidden="1" customWidth="1"/>
    <col min="59" max="59" width="6.421875" style="0" hidden="1" customWidth="1"/>
    <col min="60" max="60" width="22.421875" style="0" hidden="1" customWidth="1"/>
    <col min="61" max="61" width="11.00390625" style="0" hidden="1" customWidth="1"/>
    <col min="62" max="62" width="10.28125" style="0" hidden="1" customWidth="1"/>
    <col min="63" max="63" width="23.7109375" style="0" customWidth="1"/>
    <col min="64" max="64" width="14.140625" style="0" customWidth="1"/>
    <col min="65" max="65" width="11.00390625" style="0" customWidth="1"/>
    <col min="66" max="66" width="21.7109375" style="0" customWidth="1"/>
    <col min="67" max="67" width="13.140625" style="0" customWidth="1"/>
  </cols>
  <sheetData>
    <row r="1" spans="1:68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7"/>
      <c r="BM1" s="7"/>
      <c r="BN1" s="7"/>
      <c r="BO1" s="8"/>
      <c r="BP1" s="8"/>
    </row>
    <row r="2" spans="1:68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7"/>
      <c r="BM2" s="7"/>
      <c r="BN2" s="7"/>
      <c r="BO2" s="8"/>
      <c r="BP2" s="8"/>
    </row>
    <row r="3" spans="1:68" ht="15.75" customHeight="1">
      <c r="A3" s="5"/>
      <c r="B3" s="3" t="s">
        <v>112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9"/>
      <c r="BM3" s="9"/>
      <c r="BN3" s="9"/>
      <c r="BO3" s="8"/>
      <c r="BP3" s="8"/>
    </row>
    <row r="4" spans="1:68" ht="15.75" customHeight="1">
      <c r="A4" s="6" t="s">
        <v>2</v>
      </c>
      <c r="B4" s="5"/>
      <c r="C4" s="4" t="s">
        <v>113</v>
      </c>
      <c r="D4" s="4"/>
      <c r="E4" s="10"/>
      <c r="F4" s="4" t="s">
        <v>114</v>
      </c>
      <c r="G4" s="4"/>
      <c r="H4" s="10"/>
      <c r="I4" s="4" t="s">
        <v>115</v>
      </c>
      <c r="J4" s="4"/>
      <c r="K4" s="4"/>
      <c r="L4" s="4" t="s">
        <v>116</v>
      </c>
      <c r="M4" s="4"/>
      <c r="N4" s="10"/>
      <c r="O4" s="4" t="s">
        <v>117</v>
      </c>
      <c r="P4" s="4"/>
      <c r="Q4" s="10"/>
      <c r="R4" s="4" t="s">
        <v>118</v>
      </c>
      <c r="S4" s="4"/>
      <c r="T4" s="4"/>
      <c r="U4" s="4" t="s">
        <v>119</v>
      </c>
      <c r="V4" s="4"/>
      <c r="W4" s="4"/>
      <c r="X4" s="4" t="s">
        <v>120</v>
      </c>
      <c r="Y4" s="4"/>
      <c r="Z4" s="10"/>
      <c r="AA4" s="4" t="s">
        <v>121</v>
      </c>
      <c r="AB4" s="4"/>
      <c r="AC4" s="10"/>
      <c r="AD4" s="4" t="s">
        <v>122</v>
      </c>
      <c r="AE4" s="4"/>
      <c r="AF4" s="10"/>
      <c r="AG4" s="4" t="s">
        <v>123</v>
      </c>
      <c r="AH4" s="4"/>
      <c r="AI4" s="10"/>
      <c r="AJ4" s="4" t="s">
        <v>124</v>
      </c>
      <c r="AK4" s="4"/>
      <c r="AL4" s="10"/>
      <c r="AM4" s="4" t="s">
        <v>125</v>
      </c>
      <c r="AN4" s="4"/>
      <c r="AO4" s="10"/>
      <c r="AP4" s="4" t="s">
        <v>126</v>
      </c>
      <c r="AQ4" s="4"/>
      <c r="AR4" s="10"/>
      <c r="AS4" s="4" t="s">
        <v>127</v>
      </c>
      <c r="AT4" s="4"/>
      <c r="AU4" s="10"/>
      <c r="AV4" s="4" t="s">
        <v>128</v>
      </c>
      <c r="AW4" s="4"/>
      <c r="AX4" s="10"/>
      <c r="AY4" s="4" t="s">
        <v>129</v>
      </c>
      <c r="AZ4" s="4"/>
      <c r="BA4" s="10"/>
      <c r="BB4" s="4" t="s">
        <v>130</v>
      </c>
      <c r="BC4" s="4"/>
      <c r="BD4" s="10"/>
      <c r="BE4" s="4" t="s">
        <v>131</v>
      </c>
      <c r="BF4" s="4"/>
      <c r="BG4" s="10"/>
      <c r="BH4" s="4" t="s">
        <v>132</v>
      </c>
      <c r="BI4" s="17"/>
      <c r="BJ4" s="17"/>
      <c r="BK4" s="4" t="s">
        <v>133</v>
      </c>
      <c r="BL4" s="4"/>
      <c r="BM4" s="17"/>
      <c r="BN4" s="4" t="s">
        <v>3</v>
      </c>
      <c r="BO4" s="4"/>
      <c r="BP4" s="17"/>
    </row>
    <row r="5" spans="1:68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17"/>
      <c r="BI5" s="17"/>
      <c r="BJ5" s="17"/>
      <c r="BK5" s="17"/>
      <c r="BL5" s="17"/>
      <c r="BM5" s="17"/>
      <c r="BN5" s="17"/>
      <c r="BO5" s="17"/>
      <c r="BP5" s="17"/>
    </row>
    <row r="6" spans="1:68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</row>
    <row r="7" spans="1:68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4</v>
      </c>
      <c r="BI7" s="12" t="s">
        <v>4</v>
      </c>
      <c r="BJ7" s="12"/>
      <c r="BK7" s="12" t="s">
        <v>4</v>
      </c>
      <c r="BL7" s="12" t="s">
        <v>4</v>
      </c>
      <c r="BM7" s="12"/>
      <c r="BN7" s="49" t="s">
        <v>5</v>
      </c>
      <c r="BO7" s="49" t="s">
        <v>5</v>
      </c>
      <c r="BP7" s="12"/>
    </row>
    <row r="8" spans="1:68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7</v>
      </c>
      <c r="BI8" s="12" t="s">
        <v>7</v>
      </c>
      <c r="BJ8" s="12"/>
      <c r="BK8" s="12" t="s">
        <v>7</v>
      </c>
      <c r="BL8" s="12" t="s">
        <v>7</v>
      </c>
      <c r="BM8" s="12"/>
      <c r="BN8" s="49" t="s">
        <v>8</v>
      </c>
      <c r="BO8" s="49" t="s">
        <v>9</v>
      </c>
      <c r="BP8" s="12"/>
    </row>
    <row r="9" spans="1:68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10</v>
      </c>
      <c r="BI9" s="12" t="s">
        <v>9</v>
      </c>
      <c r="BJ9" s="12"/>
      <c r="BK9" s="12" t="s">
        <v>10</v>
      </c>
      <c r="BL9" s="12" t="s">
        <v>9</v>
      </c>
      <c r="BM9" s="12"/>
      <c r="BN9" s="49" t="s">
        <v>7</v>
      </c>
      <c r="BO9" s="49" t="s">
        <v>11</v>
      </c>
      <c r="BP9" s="12"/>
    </row>
    <row r="10" spans="1:69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5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5"/>
      <c r="BI10" s="12" t="s">
        <v>12</v>
      </c>
      <c r="BJ10" s="12"/>
      <c r="BK10" s="5"/>
      <c r="BL10" s="12" t="s">
        <v>12</v>
      </c>
      <c r="BM10" s="12"/>
      <c r="BN10" s="49" t="s">
        <v>10</v>
      </c>
      <c r="BO10" s="49" t="s">
        <v>12</v>
      </c>
      <c r="BP10" s="12"/>
      <c r="BQ10" s="1"/>
    </row>
    <row r="11" spans="1:68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39"/>
      <c r="BO11" s="39"/>
      <c r="BP11" s="5"/>
    </row>
    <row r="12" spans="1:68" s="34" customFormat="1" ht="16.5" customHeight="1" thickTop="1">
      <c r="A12" s="31" t="s">
        <v>2</v>
      </c>
      <c r="B12" s="32"/>
      <c r="C12" s="33"/>
      <c r="D12" s="32"/>
      <c r="E12" s="32"/>
      <c r="F12" s="33"/>
      <c r="G12" s="32"/>
      <c r="H12" s="32"/>
      <c r="I12" s="33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</row>
    <row r="13" spans="1:68" s="34" customFormat="1" ht="15.75" customHeight="1">
      <c r="A13" s="35">
        <v>1</v>
      </c>
      <c r="B13" s="36" t="s">
        <v>14</v>
      </c>
      <c r="C13" s="37">
        <v>104.63</v>
      </c>
      <c r="D13" s="38">
        <v>75.52</v>
      </c>
      <c r="E13" s="39"/>
      <c r="F13" s="37">
        <v>105.24</v>
      </c>
      <c r="G13" s="38">
        <v>75.04</v>
      </c>
      <c r="H13" s="39"/>
      <c r="I13" s="37">
        <v>104.7</v>
      </c>
      <c r="J13" s="38">
        <v>75.2</v>
      </c>
      <c r="K13" s="39"/>
      <c r="L13" s="37">
        <v>105.29</v>
      </c>
      <c r="M13" s="38">
        <v>74.97</v>
      </c>
      <c r="N13" s="39"/>
      <c r="O13" s="37">
        <v>103.95</v>
      </c>
      <c r="P13" s="38">
        <v>76.47</v>
      </c>
      <c r="Q13" s="39"/>
      <c r="R13" s="37">
        <v>103.05</v>
      </c>
      <c r="S13" s="38">
        <v>76.61</v>
      </c>
      <c r="T13" s="39"/>
      <c r="U13" s="37">
        <v>103.73</v>
      </c>
      <c r="V13" s="38">
        <v>76.21</v>
      </c>
      <c r="W13" s="39"/>
      <c r="X13" s="37">
        <v>103.46</v>
      </c>
      <c r="Y13" s="38">
        <v>76.15</v>
      </c>
      <c r="Z13" s="39"/>
      <c r="AA13" s="37">
        <v>105.29</v>
      </c>
      <c r="AB13" s="38">
        <v>75.02</v>
      </c>
      <c r="AC13" s="39"/>
      <c r="AD13" s="37">
        <v>105.01</v>
      </c>
      <c r="AE13" s="38">
        <v>74.96</v>
      </c>
      <c r="AF13" s="39"/>
      <c r="AG13" s="37">
        <v>104.69</v>
      </c>
      <c r="AH13" s="38">
        <v>75.27</v>
      </c>
      <c r="AI13" s="39"/>
      <c r="AJ13" s="37">
        <v>103.85</v>
      </c>
      <c r="AK13" s="38">
        <v>75.41</v>
      </c>
      <c r="AL13" s="39"/>
      <c r="AM13" s="37">
        <v>103.95</v>
      </c>
      <c r="AN13" s="38">
        <v>75.18</v>
      </c>
      <c r="AO13" s="39"/>
      <c r="AP13" s="37">
        <v>103.55</v>
      </c>
      <c r="AQ13" s="38">
        <v>75</v>
      </c>
      <c r="AR13" s="39"/>
      <c r="AS13" s="37">
        <v>103.16</v>
      </c>
      <c r="AT13" s="38">
        <v>75</v>
      </c>
      <c r="AU13" s="39"/>
      <c r="AV13" s="37">
        <v>103.68</v>
      </c>
      <c r="AW13" s="38">
        <v>74.89</v>
      </c>
      <c r="AX13" s="39"/>
      <c r="AY13" s="37">
        <v>103.42</v>
      </c>
      <c r="AZ13" s="38">
        <v>74.97</v>
      </c>
      <c r="BA13" s="39"/>
      <c r="BB13" s="37">
        <v>103.85</v>
      </c>
      <c r="BC13" s="38">
        <v>74.68</v>
      </c>
      <c r="BD13" s="39"/>
      <c r="BE13" s="37">
        <v>104.69</v>
      </c>
      <c r="BF13" s="38">
        <v>74.29</v>
      </c>
      <c r="BG13" s="39"/>
      <c r="BH13" s="37">
        <v>105.19</v>
      </c>
      <c r="BI13" s="38">
        <v>74.49</v>
      </c>
      <c r="BJ13" s="39"/>
      <c r="BK13" s="37">
        <v>105.43</v>
      </c>
      <c r="BL13" s="38">
        <v>74.6</v>
      </c>
      <c r="BM13" s="39"/>
      <c r="BN13" s="50">
        <f>(C13+F13+I13+L13+O13+R13+U13+X13+AA13+AD13+AG13+AJ13+AM13+AP13+AS13+AV13+AY13+BB13+BE13+BH13+BK13)/21</f>
        <v>104.27666666666667</v>
      </c>
      <c r="BO13" s="50">
        <f>(D13+G13+J13+M13+P13+S13+V13+Y13+AB13+AE13+AH13+AK13+AN13+AQ13+AT13+AW13+AZ13+BC13+BF13+BI13+BL13)/21</f>
        <v>75.23476190476191</v>
      </c>
      <c r="BP13" s="39"/>
    </row>
    <row r="14" spans="1:68" s="47" customFormat="1" ht="15.75" customHeight="1">
      <c r="A14" s="40">
        <v>2</v>
      </c>
      <c r="B14" s="41" t="s">
        <v>15</v>
      </c>
      <c r="C14" s="25">
        <f>1/1.9869</f>
        <v>0.5032965926820675</v>
      </c>
      <c r="D14" s="26">
        <v>157.01</v>
      </c>
      <c r="E14" s="24"/>
      <c r="F14" s="25">
        <f>1/1.9734</f>
        <v>0.5067396371744197</v>
      </c>
      <c r="G14" s="26">
        <v>155.85</v>
      </c>
      <c r="H14" s="24"/>
      <c r="I14" s="25">
        <f>1/1.9676</f>
        <v>0.5082333807684488</v>
      </c>
      <c r="J14" s="26">
        <v>154.92</v>
      </c>
      <c r="K14" s="24"/>
      <c r="L14" s="25">
        <f>1/1.9579</f>
        <v>0.5107513151846366</v>
      </c>
      <c r="M14" s="26">
        <v>154.54</v>
      </c>
      <c r="N14" s="24"/>
      <c r="O14" s="25">
        <f>1/1.9586</f>
        <v>0.5105687736138058</v>
      </c>
      <c r="P14" s="26">
        <v>155.69</v>
      </c>
      <c r="Q14" s="24"/>
      <c r="R14" s="25">
        <f>1/1.9548</f>
        <v>0.511561285041948</v>
      </c>
      <c r="S14" s="26">
        <v>154.32</v>
      </c>
      <c r="T14" s="24"/>
      <c r="U14" s="25">
        <f>1/1.9602</f>
        <v>0.5101520253035404</v>
      </c>
      <c r="V14" s="26">
        <v>154.96</v>
      </c>
      <c r="W14" s="24"/>
      <c r="X14" s="25">
        <f>1/1.9484</f>
        <v>0.5132416341613631</v>
      </c>
      <c r="Y14" s="26">
        <v>153.5</v>
      </c>
      <c r="Z14" s="24"/>
      <c r="AA14" s="25">
        <f>1/1.9382</f>
        <v>0.5159426271798576</v>
      </c>
      <c r="AB14" s="26">
        <v>153.09</v>
      </c>
      <c r="AC14" s="24"/>
      <c r="AD14" s="25">
        <f>1/1.9479</f>
        <v>0.513373376456697</v>
      </c>
      <c r="AE14" s="26">
        <v>153.33</v>
      </c>
      <c r="AF14" s="24"/>
      <c r="AG14" s="25">
        <f>1/1.9493</f>
        <v>0.5130046683424819</v>
      </c>
      <c r="AH14" s="26">
        <v>153.6</v>
      </c>
      <c r="AI14" s="24"/>
      <c r="AJ14" s="25">
        <f>1/1.9588</f>
        <v>0.5105166428425566</v>
      </c>
      <c r="AK14" s="26">
        <v>153.4</v>
      </c>
      <c r="AL14" s="24"/>
      <c r="AM14" s="25">
        <f>1/1.9623</f>
        <v>0.5096060745044081</v>
      </c>
      <c r="AN14" s="26">
        <v>153.35</v>
      </c>
      <c r="AO14" s="24"/>
      <c r="AP14" s="25">
        <f>1/1.9664</f>
        <v>0.5085435313262815</v>
      </c>
      <c r="AQ14" s="26">
        <v>152.72</v>
      </c>
      <c r="AR14" s="24"/>
      <c r="AS14" s="25">
        <f>1/1.9764</f>
        <v>0.5059704513256426</v>
      </c>
      <c r="AT14" s="26">
        <v>152.91</v>
      </c>
      <c r="AU14" s="24"/>
      <c r="AV14" s="25">
        <f>1/1.979</f>
        <v>0.5053057099545225</v>
      </c>
      <c r="AW14" s="26">
        <v>153.66</v>
      </c>
      <c r="AX14" s="24"/>
      <c r="AY14" s="25">
        <f>1/1.9772</f>
        <v>0.5057657293141816</v>
      </c>
      <c r="AZ14" s="26">
        <v>153.29</v>
      </c>
      <c r="BA14" s="24"/>
      <c r="BB14" s="25">
        <f>1/1.9766</f>
        <v>0.5059192552868562</v>
      </c>
      <c r="BC14" s="26">
        <v>153.29</v>
      </c>
      <c r="BD14" s="24"/>
      <c r="BE14" s="25">
        <f>1/1.9788</f>
        <v>0.5053567818880129</v>
      </c>
      <c r="BF14" s="26">
        <v>153.9</v>
      </c>
      <c r="BG14" s="24"/>
      <c r="BH14" s="25">
        <f>1/1.9729</f>
        <v>0.506868062243398</v>
      </c>
      <c r="BI14" s="26">
        <v>154.6</v>
      </c>
      <c r="BJ14" s="24"/>
      <c r="BK14" s="25">
        <f>1/1.9732</f>
        <v>0.5067909993918508</v>
      </c>
      <c r="BL14" s="26">
        <v>155.19</v>
      </c>
      <c r="BM14" s="24"/>
      <c r="BN14" s="50">
        <f aca="true" t="shared" si="0" ref="BN14:BN25">(C14+F14+I14+L14+O14+R14+U14+X14+AA14+AD14+AG14+AJ14+AM14+AP14+AS14+AV14+AY14+BB14+BE14+BH14+BK14)/21</f>
        <v>0.5089289787612846</v>
      </c>
      <c r="BO14" s="50">
        <f aca="true" t="shared" si="1" ref="BO14:BO25">(D14+G14+J14+M14+P14+S14+V14+Y14+AB14+AE14+AH14+AK14+AN14+AQ14+AT14+AW14+AZ14+BC14+BF14+BI14+BL14)/21</f>
        <v>154.14857142857142</v>
      </c>
      <c r="BP14" s="24"/>
    </row>
    <row r="15" spans="1:68" s="34" customFormat="1" ht="15.75" customHeight="1">
      <c r="A15" s="35">
        <v>3</v>
      </c>
      <c r="B15" s="36" t="s">
        <v>16</v>
      </c>
      <c r="C15" s="37">
        <v>1.0466</v>
      </c>
      <c r="D15" s="38">
        <v>75.5</v>
      </c>
      <c r="E15" s="39"/>
      <c r="F15" s="37">
        <v>1.0524</v>
      </c>
      <c r="G15" s="38">
        <v>75.04</v>
      </c>
      <c r="H15" s="39"/>
      <c r="I15" s="37">
        <v>1.0502</v>
      </c>
      <c r="J15" s="38">
        <v>74.97</v>
      </c>
      <c r="K15" s="39"/>
      <c r="L15" s="37">
        <v>1.0543</v>
      </c>
      <c r="M15" s="38">
        <v>74.87</v>
      </c>
      <c r="N15" s="39"/>
      <c r="O15" s="37">
        <v>1.0548</v>
      </c>
      <c r="P15" s="38">
        <v>75.36</v>
      </c>
      <c r="Q15" s="39"/>
      <c r="R15" s="37">
        <v>1.0429</v>
      </c>
      <c r="S15" s="38">
        <v>75.7</v>
      </c>
      <c r="T15" s="39"/>
      <c r="U15" s="37">
        <v>1.0483</v>
      </c>
      <c r="V15" s="38">
        <v>75.41</v>
      </c>
      <c r="W15" s="39"/>
      <c r="X15" s="37">
        <v>1.0453</v>
      </c>
      <c r="Y15" s="38">
        <v>75.37</v>
      </c>
      <c r="Z15" s="39"/>
      <c r="AA15" s="37">
        <v>1.0577</v>
      </c>
      <c r="AB15" s="38">
        <v>74.68</v>
      </c>
      <c r="AC15" s="39"/>
      <c r="AD15" s="37">
        <v>1.0537</v>
      </c>
      <c r="AE15" s="38">
        <v>74.7</v>
      </c>
      <c r="AF15" s="39"/>
      <c r="AG15" s="37">
        <v>1.053</v>
      </c>
      <c r="AH15" s="38">
        <v>74.83</v>
      </c>
      <c r="AI15" s="39"/>
      <c r="AJ15" s="37">
        <v>1.0438</v>
      </c>
      <c r="AK15" s="38">
        <v>75.03</v>
      </c>
      <c r="AL15" s="39"/>
      <c r="AM15" s="37">
        <v>1.0424</v>
      </c>
      <c r="AN15" s="38">
        <v>74.97</v>
      </c>
      <c r="AO15" s="39"/>
      <c r="AP15" s="37">
        <v>1.0333</v>
      </c>
      <c r="AQ15" s="38">
        <v>75.16</v>
      </c>
      <c r="AR15" s="39"/>
      <c r="AS15" s="37">
        <v>1.025</v>
      </c>
      <c r="AT15" s="38">
        <v>75.48</v>
      </c>
      <c r="AU15" s="39"/>
      <c r="AV15" s="37">
        <v>1.0288</v>
      </c>
      <c r="AW15" s="38">
        <v>75.47</v>
      </c>
      <c r="AX15" s="39"/>
      <c r="AY15" s="37">
        <v>1.026</v>
      </c>
      <c r="AZ15" s="38">
        <v>75.56</v>
      </c>
      <c r="BA15" s="39"/>
      <c r="BB15" s="37">
        <v>1.0256</v>
      </c>
      <c r="BC15" s="38">
        <v>75.61</v>
      </c>
      <c r="BD15" s="39"/>
      <c r="BE15" s="37">
        <v>1.0345</v>
      </c>
      <c r="BF15" s="38">
        <v>75.18</v>
      </c>
      <c r="BG15" s="39"/>
      <c r="BH15" s="37">
        <v>1.0456</v>
      </c>
      <c r="BI15" s="38">
        <v>74.94</v>
      </c>
      <c r="BJ15" s="39"/>
      <c r="BK15" s="37">
        <v>1.0501</v>
      </c>
      <c r="BL15" s="38">
        <v>74.9</v>
      </c>
      <c r="BM15" s="39"/>
      <c r="BN15" s="50">
        <f t="shared" si="0"/>
        <v>1.0435380952380955</v>
      </c>
      <c r="BO15" s="50">
        <f t="shared" si="1"/>
        <v>75.17761904761906</v>
      </c>
      <c r="BP15" s="39"/>
    </row>
    <row r="16" spans="1:68" s="34" customFormat="1" ht="15.75" customHeight="1">
      <c r="A16" s="35">
        <v>4</v>
      </c>
      <c r="B16" s="36" t="s">
        <v>17</v>
      </c>
      <c r="C16" s="37">
        <f>1/1.5492</f>
        <v>0.6454944487477408</v>
      </c>
      <c r="D16" s="38">
        <v>122.31</v>
      </c>
      <c r="E16" s="39"/>
      <c r="F16" s="37">
        <f>1/1.548</f>
        <v>0.6459948320413437</v>
      </c>
      <c r="G16" s="38">
        <v>122.23</v>
      </c>
      <c r="H16" s="39"/>
      <c r="I16" s="37">
        <f>1/1.5496</f>
        <v>0.6453278265358802</v>
      </c>
      <c r="J16" s="38">
        <v>121.92</v>
      </c>
      <c r="K16" s="39"/>
      <c r="L16" s="37">
        <f>1/1.5462</f>
        <v>0.6467468632777131</v>
      </c>
      <c r="M16" s="38">
        <v>122.1</v>
      </c>
      <c r="N16" s="39"/>
      <c r="O16" s="37">
        <f>1/1.5341</f>
        <v>0.6518479890489538</v>
      </c>
      <c r="P16" s="38">
        <v>121.93</v>
      </c>
      <c r="Q16" s="39"/>
      <c r="R16" s="37">
        <f>1/1.5469</f>
        <v>0.6464541987200207</v>
      </c>
      <c r="S16" s="38">
        <v>122.09</v>
      </c>
      <c r="T16" s="39"/>
      <c r="U16" s="37">
        <f>1/1.5445</f>
        <v>0.6474587245063127</v>
      </c>
      <c r="V16" s="38">
        <v>122.06</v>
      </c>
      <c r="W16" s="39"/>
      <c r="X16" s="37">
        <f>1/1.5485</f>
        <v>0.6457862447529867</v>
      </c>
      <c r="Y16" s="38">
        <v>121.99</v>
      </c>
      <c r="Z16" s="39"/>
      <c r="AA16" s="37">
        <f>1/1.5427</f>
        <v>0.6482141699617554</v>
      </c>
      <c r="AB16" s="38">
        <v>121.83</v>
      </c>
      <c r="AC16" s="39"/>
      <c r="AD16" s="37">
        <f>1/1.5505</f>
        <v>0.6449532408900355</v>
      </c>
      <c r="AE16" s="38">
        <v>122.02</v>
      </c>
      <c r="AF16" s="39"/>
      <c r="AG16" s="37">
        <f>1/1.5499</f>
        <v>0.6452029163171817</v>
      </c>
      <c r="AH16" s="38">
        <v>122.1</v>
      </c>
      <c r="AI16" s="39"/>
      <c r="AJ16" s="37">
        <f>1/1.5607</f>
        <v>0.6407381303261357</v>
      </c>
      <c r="AK16" s="38">
        <v>122.25</v>
      </c>
      <c r="AL16" s="39"/>
      <c r="AM16" s="37">
        <f>1/1.5632</f>
        <v>0.6397134083930399</v>
      </c>
      <c r="AN16" s="38">
        <v>122.11</v>
      </c>
      <c r="AO16" s="39"/>
      <c r="AP16" s="37">
        <f>1/1.5742</f>
        <v>0.6352432981832041</v>
      </c>
      <c r="AQ16" s="38">
        <v>122.13</v>
      </c>
      <c r="AR16" s="39"/>
      <c r="AS16" s="37">
        <f>1/1.5771</f>
        <v>0.6340752013188764</v>
      </c>
      <c r="AT16" s="38">
        <v>122.06</v>
      </c>
      <c r="AU16" s="39"/>
      <c r="AV16" s="37">
        <f>1/1.572</f>
        <v>0.6361323155216285</v>
      </c>
      <c r="AW16" s="38">
        <v>122.05</v>
      </c>
      <c r="AX16" s="39"/>
      <c r="AY16" s="37">
        <f>1/1.5747</f>
        <v>0.6350415952244872</v>
      </c>
      <c r="AZ16" s="38">
        <v>122.13</v>
      </c>
      <c r="BA16" s="39"/>
      <c r="BB16" s="37">
        <f>1/1.5765</f>
        <v>0.6343165239454488</v>
      </c>
      <c r="BC16" s="38">
        <v>122.21</v>
      </c>
      <c r="BD16" s="39"/>
      <c r="BE16" s="37">
        <f>1/1.5683</f>
        <v>0.6376331059108589</v>
      </c>
      <c r="BF16" s="38">
        <v>122.12</v>
      </c>
      <c r="BG16" s="39"/>
      <c r="BH16" s="37">
        <f>1/1.5563</f>
        <v>0.6425496369594551</v>
      </c>
      <c r="BI16" s="38">
        <v>122.09</v>
      </c>
      <c r="BJ16" s="39"/>
      <c r="BK16" s="37">
        <f>1/1.5502</f>
        <v>0.6450780544445878</v>
      </c>
      <c r="BL16" s="38">
        <v>122.01</v>
      </c>
      <c r="BM16" s="39"/>
      <c r="BN16" s="50">
        <f t="shared" si="0"/>
        <v>0.6425715583346496</v>
      </c>
      <c r="BO16" s="50">
        <f t="shared" si="1"/>
        <v>122.08285714285714</v>
      </c>
      <c r="BP16" s="39"/>
    </row>
    <row r="17" spans="1:68" s="34" customFormat="1" ht="15.75" customHeight="1">
      <c r="A17" s="35">
        <v>5</v>
      </c>
      <c r="B17" s="36" t="s">
        <v>18</v>
      </c>
      <c r="C17" s="37">
        <v>854.2</v>
      </c>
      <c r="D17" s="38">
        <v>67499.95</v>
      </c>
      <c r="E17" s="39"/>
      <c r="F17" s="37">
        <v>864.1</v>
      </c>
      <c r="G17" s="38">
        <v>68241.76</v>
      </c>
      <c r="H17" s="39"/>
      <c r="I17" s="37">
        <v>877.4</v>
      </c>
      <c r="J17" s="38">
        <v>69080.99</v>
      </c>
      <c r="K17" s="39"/>
      <c r="L17" s="37">
        <v>873.65</v>
      </c>
      <c r="M17" s="38">
        <v>68959.92</v>
      </c>
      <c r="N17" s="39"/>
      <c r="O17" s="37">
        <v>872.9</v>
      </c>
      <c r="P17" s="38">
        <v>69385.18</v>
      </c>
      <c r="Q17" s="39"/>
      <c r="R17" s="37">
        <v>887.4</v>
      </c>
      <c r="S17" s="38">
        <v>70054.13</v>
      </c>
      <c r="T17" s="39"/>
      <c r="U17" s="37">
        <v>882.5</v>
      </c>
      <c r="V17" s="38">
        <v>69762.73</v>
      </c>
      <c r="W17" s="39"/>
      <c r="X17" s="37">
        <v>876.95</v>
      </c>
      <c r="Y17" s="38">
        <v>69088.86</v>
      </c>
      <c r="Z17" s="39"/>
      <c r="AA17" s="37">
        <v>862.85</v>
      </c>
      <c r="AB17" s="38">
        <v>68152.21</v>
      </c>
      <c r="AC17" s="39"/>
      <c r="AD17" s="37">
        <v>866.65</v>
      </c>
      <c r="AE17" s="38">
        <v>68217.27</v>
      </c>
      <c r="AF17" s="39"/>
      <c r="AG17" s="37">
        <v>884.85</v>
      </c>
      <c r="AH17" s="38">
        <v>69723.97</v>
      </c>
      <c r="AI17" s="39"/>
      <c r="AJ17" s="37">
        <v>908</v>
      </c>
      <c r="AK17" s="38">
        <v>71107.75</v>
      </c>
      <c r="AL17" s="39"/>
      <c r="AM17" s="37">
        <v>905.8</v>
      </c>
      <c r="AN17" s="38">
        <v>70787.7</v>
      </c>
      <c r="AO17" s="39"/>
      <c r="AP17" s="37">
        <v>924.15</v>
      </c>
      <c r="AQ17" s="38">
        <v>71772.38</v>
      </c>
      <c r="AR17" s="39"/>
      <c r="AS17" s="37">
        <v>928.2</v>
      </c>
      <c r="AT17" s="38">
        <v>71814.83</v>
      </c>
      <c r="AU17" s="39"/>
      <c r="AV17" s="37">
        <v>922.35</v>
      </c>
      <c r="AW17" s="38">
        <v>71614.71</v>
      </c>
      <c r="AX17" s="39"/>
      <c r="AY17" s="37">
        <v>923.8</v>
      </c>
      <c r="AZ17" s="38">
        <v>71621.64</v>
      </c>
      <c r="BA17" s="39"/>
      <c r="BB17" s="37">
        <v>923.5</v>
      </c>
      <c r="BC17" s="38">
        <v>71617.43</v>
      </c>
      <c r="BD17" s="39"/>
      <c r="BE17" s="37">
        <v>891.7</v>
      </c>
      <c r="BF17" s="38">
        <v>69353.64</v>
      </c>
      <c r="BG17" s="39"/>
      <c r="BH17" s="37">
        <v>892.8</v>
      </c>
      <c r="BI17" s="38">
        <v>69959.81</v>
      </c>
      <c r="BJ17" s="39"/>
      <c r="BK17" s="37">
        <v>879.6</v>
      </c>
      <c r="BL17" s="38">
        <v>69181.09</v>
      </c>
      <c r="BM17" s="39"/>
      <c r="BN17" s="50">
        <f t="shared" si="0"/>
        <v>890.6357142857142</v>
      </c>
      <c r="BO17" s="50">
        <f t="shared" si="1"/>
        <v>69857.04523809522</v>
      </c>
      <c r="BP17" s="39"/>
    </row>
    <row r="18" spans="1:68" s="34" customFormat="1" ht="15.75" customHeight="1">
      <c r="A18" s="35">
        <v>6</v>
      </c>
      <c r="B18" s="42" t="s">
        <v>19</v>
      </c>
      <c r="C18" s="37">
        <v>16.3</v>
      </c>
      <c r="D18" s="38">
        <v>1288.05</v>
      </c>
      <c r="E18" s="39"/>
      <c r="F18" s="37">
        <v>16.59</v>
      </c>
      <c r="G18" s="38">
        <v>1310.18</v>
      </c>
      <c r="H18" s="39"/>
      <c r="I18" s="37">
        <v>16.72</v>
      </c>
      <c r="J18" s="38">
        <v>1316.43</v>
      </c>
      <c r="K18" s="39"/>
      <c r="L18" s="37">
        <v>16.74</v>
      </c>
      <c r="M18" s="38">
        <v>1321.34</v>
      </c>
      <c r="N18" s="39"/>
      <c r="O18" s="37">
        <v>16.65</v>
      </c>
      <c r="P18" s="38">
        <v>1323.48</v>
      </c>
      <c r="Q18" s="39"/>
      <c r="R18" s="37">
        <v>16.98</v>
      </c>
      <c r="S18" s="38">
        <v>1340.45</v>
      </c>
      <c r="T18" s="39"/>
      <c r="U18" s="37">
        <v>16.8</v>
      </c>
      <c r="V18" s="38">
        <v>1328.06</v>
      </c>
      <c r="W18" s="39"/>
      <c r="X18" s="37">
        <v>17.04</v>
      </c>
      <c r="Y18" s="38">
        <v>1342.46</v>
      </c>
      <c r="Z18" s="39"/>
      <c r="AA18" s="37">
        <v>16.71</v>
      </c>
      <c r="AB18" s="38">
        <v>1319.84</v>
      </c>
      <c r="AC18" s="39"/>
      <c r="AD18" s="37">
        <v>16.64</v>
      </c>
      <c r="AE18" s="38">
        <v>1309.8</v>
      </c>
      <c r="AF18" s="39"/>
      <c r="AG18" s="37">
        <v>16.81</v>
      </c>
      <c r="AH18" s="38">
        <v>1324.59</v>
      </c>
      <c r="AI18" s="39"/>
      <c r="AJ18" s="37">
        <v>17.14</v>
      </c>
      <c r="AK18" s="38">
        <v>1342.28</v>
      </c>
      <c r="AL18" s="39"/>
      <c r="AM18" s="37">
        <v>17.01</v>
      </c>
      <c r="AN18" s="38">
        <v>1329.32</v>
      </c>
      <c r="AO18" s="39"/>
      <c r="AP18" s="37">
        <v>17.73</v>
      </c>
      <c r="AQ18" s="38">
        <v>1376.97</v>
      </c>
      <c r="AR18" s="39"/>
      <c r="AS18" s="37">
        <v>18.02</v>
      </c>
      <c r="AT18" s="38">
        <v>1394.21</v>
      </c>
      <c r="AU18" s="39"/>
      <c r="AV18" s="37">
        <v>17.98</v>
      </c>
      <c r="AW18" s="38">
        <v>1396.03</v>
      </c>
      <c r="AX18" s="39"/>
      <c r="AY18" s="37">
        <v>18.15</v>
      </c>
      <c r="AZ18" s="38">
        <v>1407.16</v>
      </c>
      <c r="BA18" s="39"/>
      <c r="BB18" s="37">
        <v>18.15</v>
      </c>
      <c r="BC18" s="38">
        <v>1407.53</v>
      </c>
      <c r="BD18" s="39"/>
      <c r="BE18" s="37">
        <v>17.2</v>
      </c>
      <c r="BF18" s="38">
        <v>1337.76</v>
      </c>
      <c r="BG18" s="39"/>
      <c r="BH18" s="37">
        <v>17.28</v>
      </c>
      <c r="BI18" s="38">
        <v>1354.06</v>
      </c>
      <c r="BJ18" s="39"/>
      <c r="BK18" s="37">
        <v>16.66</v>
      </c>
      <c r="BL18" s="38">
        <v>1310.32</v>
      </c>
      <c r="BM18" s="39"/>
      <c r="BN18" s="50">
        <f t="shared" si="0"/>
        <v>17.10952380952381</v>
      </c>
      <c r="BO18" s="50">
        <f t="shared" si="1"/>
        <v>1341.92</v>
      </c>
      <c r="BP18" s="39"/>
    </row>
    <row r="19" spans="1:68" s="34" customFormat="1" ht="15.75" customHeight="1">
      <c r="A19" s="35">
        <v>7</v>
      </c>
      <c r="B19" s="36" t="s">
        <v>20</v>
      </c>
      <c r="C19" s="37">
        <f>1/0.933</f>
        <v>1.0718113612004287</v>
      </c>
      <c r="D19" s="38">
        <v>73.73</v>
      </c>
      <c r="E19" s="39"/>
      <c r="F19" s="37">
        <f>1/0.9413</f>
        <v>1.0623605651758206</v>
      </c>
      <c r="G19" s="38">
        <v>74.34</v>
      </c>
      <c r="H19" s="39"/>
      <c r="I19" s="37">
        <f>1/0.9462</f>
        <v>1.056859015007398</v>
      </c>
      <c r="J19" s="38">
        <v>74.5</v>
      </c>
      <c r="K19" s="39"/>
      <c r="L19" s="37">
        <f>1/0.9465</f>
        <v>1.0565240359218173</v>
      </c>
      <c r="M19" s="38">
        <v>74.71</v>
      </c>
      <c r="N19" s="39"/>
      <c r="O19" s="37">
        <f>1/0.9413</f>
        <v>1.0623605651758206</v>
      </c>
      <c r="P19" s="38">
        <v>74.82</v>
      </c>
      <c r="Q19" s="39"/>
      <c r="R19" s="37">
        <f>1/0.9407</f>
        <v>1.0630381630700543</v>
      </c>
      <c r="S19" s="38">
        <v>74.26</v>
      </c>
      <c r="T19" s="39"/>
      <c r="U19" s="37">
        <f>1/0.9446</f>
        <v>1.0586491636671607</v>
      </c>
      <c r="V19" s="38">
        <v>74.67</v>
      </c>
      <c r="W19" s="39"/>
      <c r="X19" s="37">
        <f>1/0.9441</f>
        <v>1.0592098294672174</v>
      </c>
      <c r="Y19" s="38">
        <v>74.38</v>
      </c>
      <c r="Z19" s="39"/>
      <c r="AA19" s="37">
        <f>1/0.9315</f>
        <v>1.0735373054213635</v>
      </c>
      <c r="AB19" s="38">
        <v>73.57</v>
      </c>
      <c r="AC19" s="39"/>
      <c r="AD19" s="37">
        <f>1/0.9358</f>
        <v>1.068604402650139</v>
      </c>
      <c r="AE19" s="38">
        <v>73.66</v>
      </c>
      <c r="AF19" s="39"/>
      <c r="AG19" s="37">
        <f>1/0.9457</f>
        <v>1.0574177857671567</v>
      </c>
      <c r="AH19" s="38">
        <v>74.52</v>
      </c>
      <c r="AI19" s="39"/>
      <c r="AJ19" s="37">
        <f>1/0.9559</f>
        <v>1.046134532900931</v>
      </c>
      <c r="AK19" s="38">
        <v>74.86</v>
      </c>
      <c r="AL19" s="39"/>
      <c r="AM19" s="37">
        <f>1/0.9594</f>
        <v>1.0423181154888472</v>
      </c>
      <c r="AN19" s="38">
        <v>74.98</v>
      </c>
      <c r="AO19" s="39"/>
      <c r="AP19" s="37">
        <f>1/0.9626</f>
        <v>1.0388531061707875</v>
      </c>
      <c r="AQ19" s="38">
        <v>74.76</v>
      </c>
      <c r="AR19" s="39"/>
      <c r="AS19" s="37">
        <f>1/0.9597</f>
        <v>1.0419922892570594</v>
      </c>
      <c r="AT19" s="38">
        <v>74.25</v>
      </c>
      <c r="AU19" s="39"/>
      <c r="AV19" s="37">
        <f>1/0.9603</f>
        <v>1.0413412475268145</v>
      </c>
      <c r="AW19" s="38">
        <v>74.56</v>
      </c>
      <c r="AX19" s="39"/>
      <c r="AY19" s="37">
        <f>1/0.9586</f>
        <v>1.0431879824744419</v>
      </c>
      <c r="AZ19" s="38">
        <v>74.32</v>
      </c>
      <c r="BA19" s="39"/>
      <c r="BB19" s="37">
        <f>1/0.9612</f>
        <v>1.0403662089055348</v>
      </c>
      <c r="BC19" s="38">
        <v>74.54</v>
      </c>
      <c r="BD19" s="39"/>
      <c r="BE19" s="37">
        <f>1/0.9577</f>
        <v>1.0441683199331733</v>
      </c>
      <c r="BF19" s="38">
        <v>74.49</v>
      </c>
      <c r="BG19" s="39"/>
      <c r="BH19" s="37">
        <f>1/0.9583</f>
        <v>1.0435145570280704</v>
      </c>
      <c r="BI19" s="38">
        <v>75.09</v>
      </c>
      <c r="BJ19" s="48"/>
      <c r="BK19" s="37">
        <f>1/0.956</f>
        <v>1.0460251046025104</v>
      </c>
      <c r="BL19" s="38">
        <v>75.19</v>
      </c>
      <c r="BM19" s="48"/>
      <c r="BN19" s="50">
        <f t="shared" si="0"/>
        <v>1.0532511265148834</v>
      </c>
      <c r="BO19" s="50">
        <f t="shared" si="1"/>
        <v>74.48571428571428</v>
      </c>
      <c r="BP19" s="48"/>
    </row>
    <row r="20" spans="1:68" s="34" customFormat="1" ht="15.75" customHeight="1">
      <c r="A20" s="35">
        <v>8</v>
      </c>
      <c r="B20" s="36" t="s">
        <v>21</v>
      </c>
      <c r="C20" s="37">
        <v>1.0167</v>
      </c>
      <c r="D20" s="38">
        <v>77.72</v>
      </c>
      <c r="E20" s="39"/>
      <c r="F20" s="37">
        <v>1.0181</v>
      </c>
      <c r="G20" s="38">
        <v>77.57</v>
      </c>
      <c r="H20" s="39"/>
      <c r="I20" s="37">
        <v>1.0112</v>
      </c>
      <c r="J20" s="38">
        <v>77.86</v>
      </c>
      <c r="K20" s="39"/>
      <c r="L20" s="37">
        <v>1.0052</v>
      </c>
      <c r="M20" s="38">
        <v>78.52</v>
      </c>
      <c r="N20" s="39"/>
      <c r="O20" s="37">
        <v>1.0103</v>
      </c>
      <c r="P20" s="38">
        <v>78.68</v>
      </c>
      <c r="Q20" s="39"/>
      <c r="R20" s="37">
        <v>1.0091</v>
      </c>
      <c r="S20" s="38">
        <v>78.23</v>
      </c>
      <c r="T20" s="39"/>
      <c r="U20" s="37">
        <v>1.0068</v>
      </c>
      <c r="V20" s="38">
        <v>78.52</v>
      </c>
      <c r="W20" s="39"/>
      <c r="X20" s="37">
        <v>1.0071</v>
      </c>
      <c r="Y20" s="38">
        <v>78.23</v>
      </c>
      <c r="Z20" s="39"/>
      <c r="AA20" s="37">
        <v>1.004</v>
      </c>
      <c r="AB20" s="38">
        <v>78.67</v>
      </c>
      <c r="AC20" s="39"/>
      <c r="AD20" s="37">
        <v>1.0014</v>
      </c>
      <c r="AE20" s="38">
        <v>78.6</v>
      </c>
      <c r="AF20" s="39"/>
      <c r="AG20" s="37">
        <v>0.9982</v>
      </c>
      <c r="AH20" s="38">
        <v>78.94</v>
      </c>
      <c r="AI20" s="39"/>
      <c r="AJ20" s="37">
        <v>0.9926</v>
      </c>
      <c r="AK20" s="38">
        <v>78.9</v>
      </c>
      <c r="AL20" s="39"/>
      <c r="AM20" s="37">
        <v>0.9919</v>
      </c>
      <c r="AN20" s="38">
        <v>78.79</v>
      </c>
      <c r="AO20" s="39"/>
      <c r="AP20" s="37">
        <v>0.9894</v>
      </c>
      <c r="AQ20" s="38">
        <v>78.5</v>
      </c>
      <c r="AR20" s="39"/>
      <c r="AS20" s="37">
        <v>0.9847</v>
      </c>
      <c r="AT20" s="38">
        <v>78.57</v>
      </c>
      <c r="AU20" s="39"/>
      <c r="AV20" s="37">
        <v>0.988</v>
      </c>
      <c r="AW20" s="38">
        <v>78.59</v>
      </c>
      <c r="AX20" s="39"/>
      <c r="AY20" s="37">
        <v>0.9898</v>
      </c>
      <c r="AZ20" s="38">
        <v>78.33</v>
      </c>
      <c r="BA20" s="39"/>
      <c r="BB20" s="37">
        <v>0.9889</v>
      </c>
      <c r="BC20" s="38">
        <v>78.42</v>
      </c>
      <c r="BD20" s="39"/>
      <c r="BE20" s="37">
        <v>0.9949</v>
      </c>
      <c r="BF20" s="38">
        <v>78.18</v>
      </c>
      <c r="BG20" s="39"/>
      <c r="BH20" s="37">
        <v>0.9911</v>
      </c>
      <c r="BI20" s="38">
        <v>79.06</v>
      </c>
      <c r="BJ20" s="39"/>
      <c r="BK20" s="37">
        <v>0.991</v>
      </c>
      <c r="BL20" s="38">
        <v>79.36</v>
      </c>
      <c r="BM20" s="39"/>
      <c r="BN20" s="50">
        <f t="shared" si="0"/>
        <v>0.9995428571428572</v>
      </c>
      <c r="BO20" s="50">
        <f t="shared" si="1"/>
        <v>78.48761904761903</v>
      </c>
      <c r="BP20" s="39"/>
    </row>
    <row r="21" spans="1:68" s="34" customFormat="1" ht="15.75" customHeight="1">
      <c r="A21" s="35">
        <v>9</v>
      </c>
      <c r="B21" s="36" t="s">
        <v>22</v>
      </c>
      <c r="C21" s="37">
        <v>6.032</v>
      </c>
      <c r="D21" s="38">
        <v>13.1</v>
      </c>
      <c r="E21" s="39"/>
      <c r="F21" s="37">
        <v>6.0336</v>
      </c>
      <c r="G21" s="38">
        <v>13.09</v>
      </c>
      <c r="H21" s="39"/>
      <c r="I21" s="37">
        <v>6.0377</v>
      </c>
      <c r="J21" s="38">
        <v>13.04</v>
      </c>
      <c r="K21" s="39"/>
      <c r="L21" s="37">
        <v>6.0049</v>
      </c>
      <c r="M21" s="38">
        <v>13.14</v>
      </c>
      <c r="N21" s="39"/>
      <c r="O21" s="37">
        <v>6.0629</v>
      </c>
      <c r="P21" s="38">
        <v>13.11</v>
      </c>
      <c r="Q21" s="39"/>
      <c r="R21" s="37">
        <v>6.0037</v>
      </c>
      <c r="S21" s="38">
        <v>13.15</v>
      </c>
      <c r="T21" s="39"/>
      <c r="U21" s="37">
        <v>5.9995</v>
      </c>
      <c r="V21" s="38">
        <v>13.18</v>
      </c>
      <c r="W21" s="39"/>
      <c r="X21" s="37">
        <v>5.991</v>
      </c>
      <c r="Y21" s="38">
        <v>13.15</v>
      </c>
      <c r="Z21" s="39"/>
      <c r="AA21" s="37">
        <v>6.0296</v>
      </c>
      <c r="AB21" s="38">
        <v>13.1</v>
      </c>
      <c r="AC21" s="39"/>
      <c r="AD21" s="37">
        <v>6.0178</v>
      </c>
      <c r="AE21" s="38">
        <v>13.08</v>
      </c>
      <c r="AF21" s="39"/>
      <c r="AG21" s="37">
        <v>6.0281</v>
      </c>
      <c r="AH21" s="38">
        <v>13.07</v>
      </c>
      <c r="AI21" s="39"/>
      <c r="AJ21" s="37">
        <v>5.9607</v>
      </c>
      <c r="AK21" s="38">
        <v>13.14</v>
      </c>
      <c r="AL21" s="39"/>
      <c r="AM21" s="37">
        <v>5.9257</v>
      </c>
      <c r="AN21" s="38">
        <v>13.19</v>
      </c>
      <c r="AO21" s="39"/>
      <c r="AP21" s="37">
        <v>5.9097</v>
      </c>
      <c r="AQ21" s="38">
        <v>13.14</v>
      </c>
      <c r="AR21" s="39"/>
      <c r="AS21" s="37">
        <v>5.9011</v>
      </c>
      <c r="AT21" s="38">
        <v>13.11</v>
      </c>
      <c r="AU21" s="39"/>
      <c r="AV21" s="37">
        <v>5.913</v>
      </c>
      <c r="AW21" s="38">
        <v>13.13</v>
      </c>
      <c r="AX21" s="39"/>
      <c r="AY21" s="37">
        <v>5.9051</v>
      </c>
      <c r="AZ21" s="38">
        <v>13.13</v>
      </c>
      <c r="BA21" s="39"/>
      <c r="BB21" s="37">
        <v>5.886</v>
      </c>
      <c r="BC21" s="38">
        <v>13.18</v>
      </c>
      <c r="BD21" s="39"/>
      <c r="BE21" s="37">
        <v>5.9462</v>
      </c>
      <c r="BF21" s="38">
        <v>13.08</v>
      </c>
      <c r="BG21" s="39"/>
      <c r="BH21" s="37">
        <v>5.9899</v>
      </c>
      <c r="BI21" s="38">
        <v>13.08</v>
      </c>
      <c r="BJ21" s="39"/>
      <c r="BK21" s="37">
        <v>6.0236</v>
      </c>
      <c r="BL21" s="38">
        <v>13.06</v>
      </c>
      <c r="BM21" s="39"/>
      <c r="BN21" s="50">
        <f t="shared" si="0"/>
        <v>5.9810380952380955</v>
      </c>
      <c r="BO21" s="50">
        <f t="shared" si="1"/>
        <v>13.116666666666669</v>
      </c>
      <c r="BP21" s="39"/>
    </row>
    <row r="22" spans="1:68" s="34" customFormat="1" ht="15.75" customHeight="1">
      <c r="A22" s="35">
        <v>10</v>
      </c>
      <c r="B22" s="36" t="s">
        <v>23</v>
      </c>
      <c r="C22" s="37">
        <v>5.12</v>
      </c>
      <c r="D22" s="38">
        <v>15.43</v>
      </c>
      <c r="E22" s="39"/>
      <c r="F22" s="37">
        <v>5.118</v>
      </c>
      <c r="G22" s="38">
        <v>15.43</v>
      </c>
      <c r="H22" s="39"/>
      <c r="I22" s="37">
        <v>5.08</v>
      </c>
      <c r="J22" s="38">
        <v>15.5</v>
      </c>
      <c r="K22" s="39"/>
      <c r="L22" s="37">
        <v>5.0788</v>
      </c>
      <c r="M22" s="38">
        <v>15.54</v>
      </c>
      <c r="N22" s="39"/>
      <c r="O22" s="37">
        <v>5.134</v>
      </c>
      <c r="P22" s="38">
        <v>15.48</v>
      </c>
      <c r="Q22" s="39"/>
      <c r="R22" s="37">
        <v>5.081</v>
      </c>
      <c r="S22" s="38">
        <v>15.54</v>
      </c>
      <c r="T22" s="39"/>
      <c r="U22" s="37">
        <v>5.0733</v>
      </c>
      <c r="V22" s="38">
        <v>15.58</v>
      </c>
      <c r="W22" s="39"/>
      <c r="X22" s="37">
        <v>5.07</v>
      </c>
      <c r="Y22" s="38">
        <v>15.54</v>
      </c>
      <c r="Z22" s="39"/>
      <c r="AA22" s="37">
        <v>5.0785</v>
      </c>
      <c r="AB22" s="38">
        <v>15.55</v>
      </c>
      <c r="AC22" s="39"/>
      <c r="AD22" s="37">
        <v>5.0708</v>
      </c>
      <c r="AE22" s="38">
        <v>15.52</v>
      </c>
      <c r="AF22" s="39"/>
      <c r="AG22" s="37">
        <v>5.0683</v>
      </c>
      <c r="AH22" s="38">
        <v>15.55</v>
      </c>
      <c r="AI22" s="39"/>
      <c r="AJ22" s="37">
        <v>5.0018</v>
      </c>
      <c r="AK22" s="38">
        <v>15.66</v>
      </c>
      <c r="AL22" s="39"/>
      <c r="AM22" s="37">
        <v>4.9974</v>
      </c>
      <c r="AN22" s="38">
        <v>15.64</v>
      </c>
      <c r="AO22" s="39"/>
      <c r="AP22" s="37">
        <v>4.9917</v>
      </c>
      <c r="AQ22" s="38">
        <v>15.56</v>
      </c>
      <c r="AR22" s="39"/>
      <c r="AS22" s="37">
        <v>4.9875</v>
      </c>
      <c r="AT22" s="38">
        <v>15.51</v>
      </c>
      <c r="AU22" s="39"/>
      <c r="AV22" s="37">
        <v>5.0265</v>
      </c>
      <c r="AW22" s="38">
        <v>15.45</v>
      </c>
      <c r="AX22" s="39"/>
      <c r="AY22" s="37">
        <v>5.012</v>
      </c>
      <c r="AZ22" s="38">
        <v>15.47</v>
      </c>
      <c r="BA22" s="39"/>
      <c r="BB22" s="37">
        <v>4.9983</v>
      </c>
      <c r="BC22" s="38">
        <v>15.52</v>
      </c>
      <c r="BD22" s="39"/>
      <c r="BE22" s="37">
        <v>5.0126</v>
      </c>
      <c r="BF22" s="38">
        <v>15.52</v>
      </c>
      <c r="BG22" s="39"/>
      <c r="BH22" s="37">
        <v>5.0606</v>
      </c>
      <c r="BI22" s="38">
        <v>15.48</v>
      </c>
      <c r="BJ22" s="39"/>
      <c r="BK22" s="37">
        <v>5.11</v>
      </c>
      <c r="BL22" s="38">
        <v>15.39</v>
      </c>
      <c r="BM22" s="39"/>
      <c r="BN22" s="50">
        <f t="shared" si="0"/>
        <v>5.055766666666666</v>
      </c>
      <c r="BO22" s="50">
        <f t="shared" si="1"/>
        <v>15.517142857142858</v>
      </c>
      <c r="BP22" s="39"/>
    </row>
    <row r="23" spans="1:68" s="34" customFormat="1" ht="15.75" customHeight="1">
      <c r="A23" s="35">
        <v>11</v>
      </c>
      <c r="B23" s="36" t="s">
        <v>24</v>
      </c>
      <c r="C23" s="37">
        <v>4.8136</v>
      </c>
      <c r="D23" s="38">
        <v>16.42</v>
      </c>
      <c r="E23" s="39"/>
      <c r="F23" s="37">
        <v>4.819</v>
      </c>
      <c r="G23" s="38">
        <v>16.39</v>
      </c>
      <c r="H23" s="39"/>
      <c r="I23" s="37">
        <v>4.8147</v>
      </c>
      <c r="J23" s="38">
        <v>16.35</v>
      </c>
      <c r="K23" s="39"/>
      <c r="L23" s="37">
        <v>4.8251</v>
      </c>
      <c r="M23" s="38">
        <v>16.36</v>
      </c>
      <c r="N23" s="39"/>
      <c r="O23" s="37">
        <v>4.8639</v>
      </c>
      <c r="P23" s="38">
        <v>16.34</v>
      </c>
      <c r="Q23" s="39"/>
      <c r="R23" s="37">
        <v>4.823</v>
      </c>
      <c r="S23" s="38">
        <v>16.37</v>
      </c>
      <c r="T23" s="39"/>
      <c r="U23" s="37">
        <v>4.8295</v>
      </c>
      <c r="V23" s="38">
        <v>16.37</v>
      </c>
      <c r="W23" s="39"/>
      <c r="X23" s="37">
        <v>4.8174</v>
      </c>
      <c r="Y23" s="38">
        <v>16.35</v>
      </c>
      <c r="Z23" s="39"/>
      <c r="AA23" s="37">
        <v>4.8356</v>
      </c>
      <c r="AB23" s="38">
        <v>16.33</v>
      </c>
      <c r="AC23" s="39"/>
      <c r="AD23" s="37">
        <v>4.8122</v>
      </c>
      <c r="AE23" s="38">
        <v>16.36</v>
      </c>
      <c r="AF23" s="39"/>
      <c r="AG23" s="37">
        <v>4.8126</v>
      </c>
      <c r="AH23" s="38">
        <v>16.37</v>
      </c>
      <c r="AI23" s="39"/>
      <c r="AJ23" s="37">
        <v>4.7783</v>
      </c>
      <c r="AK23" s="38">
        <v>16.39</v>
      </c>
      <c r="AL23" s="39"/>
      <c r="AM23" s="37">
        <v>4.771</v>
      </c>
      <c r="AN23" s="38">
        <v>16.38</v>
      </c>
      <c r="AO23" s="39"/>
      <c r="AP23" s="37">
        <v>4.7372</v>
      </c>
      <c r="AQ23" s="38">
        <v>16.39</v>
      </c>
      <c r="AR23" s="39"/>
      <c r="AS23" s="37">
        <v>4.7288</v>
      </c>
      <c r="AT23" s="38">
        <v>16.36</v>
      </c>
      <c r="AU23" s="39"/>
      <c r="AV23" s="37">
        <v>4.7452</v>
      </c>
      <c r="AW23" s="38">
        <v>16.36</v>
      </c>
      <c r="AX23" s="39"/>
      <c r="AY23" s="37">
        <v>4.7367</v>
      </c>
      <c r="AZ23" s="38">
        <v>16.37</v>
      </c>
      <c r="BA23" s="39"/>
      <c r="BB23" s="37">
        <v>4.7311</v>
      </c>
      <c r="BC23" s="38">
        <v>16.39</v>
      </c>
      <c r="BD23" s="39"/>
      <c r="BE23" s="37">
        <v>4.7559</v>
      </c>
      <c r="BF23" s="38">
        <v>16.35</v>
      </c>
      <c r="BG23" s="39"/>
      <c r="BH23" s="37">
        <v>4.7929</v>
      </c>
      <c r="BI23" s="38">
        <v>16.35</v>
      </c>
      <c r="BJ23" s="39"/>
      <c r="BK23" s="37">
        <v>4.8118</v>
      </c>
      <c r="BL23" s="38">
        <v>16.35</v>
      </c>
      <c r="BM23" s="39"/>
      <c r="BN23" s="50">
        <f t="shared" si="0"/>
        <v>4.793119047619047</v>
      </c>
      <c r="BO23" s="50">
        <f t="shared" si="1"/>
        <v>16.36666666666667</v>
      </c>
      <c r="BP23" s="39"/>
    </row>
    <row r="24" spans="1:68" s="34" customFormat="1" ht="15.75" customHeight="1">
      <c r="A24" s="35">
        <v>12</v>
      </c>
      <c r="B24" s="36" t="s">
        <v>25</v>
      </c>
      <c r="C24" s="37">
        <f>1/1.62461</f>
        <v>0.6155323431469706</v>
      </c>
      <c r="D24" s="38">
        <v>128.38</v>
      </c>
      <c r="E24" s="39"/>
      <c r="F24" s="37">
        <f>1/1.62102</f>
        <v>0.6168955349101184</v>
      </c>
      <c r="G24" s="38">
        <v>128.02</v>
      </c>
      <c r="H24" s="39"/>
      <c r="I24" s="37">
        <f>1/1.61987</f>
        <v>0.6173334897244841</v>
      </c>
      <c r="J24" s="38">
        <v>127.54</v>
      </c>
      <c r="K24" s="39"/>
      <c r="L24" s="37">
        <f>1/1.62149</f>
        <v>0.6167167235073913</v>
      </c>
      <c r="M24" s="38">
        <v>127.99</v>
      </c>
      <c r="N24" s="39"/>
      <c r="O24" s="37">
        <f>1/1.61598</f>
        <v>0.6188195398457902</v>
      </c>
      <c r="P24" s="38">
        <v>128.45</v>
      </c>
      <c r="Q24" s="39"/>
      <c r="R24" s="37">
        <f>1/1.61467</f>
        <v>0.6193215951247004</v>
      </c>
      <c r="S24" s="38">
        <v>127.47</v>
      </c>
      <c r="T24" s="39"/>
      <c r="U24" s="37">
        <f>1/1.62062</f>
        <v>0.6170477965223187</v>
      </c>
      <c r="V24" s="38">
        <v>128.11</v>
      </c>
      <c r="W24" s="39"/>
      <c r="X24" s="37">
        <f>1/1.61927</f>
        <v>0.6175622348342155</v>
      </c>
      <c r="Y24" s="38">
        <v>127.57</v>
      </c>
      <c r="Z24" s="39"/>
      <c r="AA24" s="37">
        <f>1/1.61927</f>
        <v>0.6175622348342155</v>
      </c>
      <c r="AB24" s="38">
        <v>127.9</v>
      </c>
      <c r="AC24" s="39"/>
      <c r="AD24" s="37">
        <f>1/1.6147</f>
        <v>0.6193100885613426</v>
      </c>
      <c r="AE24" s="38">
        <v>127.1</v>
      </c>
      <c r="AF24" s="39"/>
      <c r="AG24" s="37">
        <f>1/1.61845</f>
        <v>0.6178751274367451</v>
      </c>
      <c r="AH24" s="38">
        <v>127.53</v>
      </c>
      <c r="AI24" s="39"/>
      <c r="AJ24" s="37">
        <f>1/1.61754</f>
        <v>0.6182227332863485</v>
      </c>
      <c r="AK24" s="38">
        <v>126.67</v>
      </c>
      <c r="AL24" s="39"/>
      <c r="AM24" s="37">
        <f>1/1.62413</f>
        <v>0.6157142593265317</v>
      </c>
      <c r="AN24" s="38">
        <v>126.92</v>
      </c>
      <c r="AO24" s="39"/>
      <c r="AP24" s="37">
        <f>1/1.62798</f>
        <v>0.6142581604196612</v>
      </c>
      <c r="AQ24" s="38">
        <v>126.43</v>
      </c>
      <c r="AR24" s="39"/>
      <c r="AS24" s="37">
        <f>1/1.63424</f>
        <v>0.6119052281182691</v>
      </c>
      <c r="AT24" s="38">
        <v>126.44</v>
      </c>
      <c r="AU24" s="39"/>
      <c r="AV24" s="37">
        <f>1/1.63453</f>
        <v>0.6117966632609986</v>
      </c>
      <c r="AW24" s="38">
        <v>126.91</v>
      </c>
      <c r="AX24" s="39"/>
      <c r="AY24" s="37">
        <f>1/1.63333</f>
        <v>0.6122461474411173</v>
      </c>
      <c r="AZ24" s="38">
        <v>126.63</v>
      </c>
      <c r="BA24" s="39"/>
      <c r="BB24" s="37">
        <f>1/1.63333</f>
        <v>0.6122461474411173</v>
      </c>
      <c r="BC24" s="38">
        <v>126.66</v>
      </c>
      <c r="BD24" s="39"/>
      <c r="BE24" s="37">
        <f>1/1.63397</f>
        <v>0.6120063403856865</v>
      </c>
      <c r="BF24" s="38">
        <v>127.09</v>
      </c>
      <c r="BG24" s="39"/>
      <c r="BH24" s="37">
        <f>1/1.62895</f>
        <v>0.6138923846649683</v>
      </c>
      <c r="BI24" s="38">
        <v>127.64</v>
      </c>
      <c r="BJ24" s="39"/>
      <c r="BK24" s="37">
        <f>1/1.62339</f>
        <v>0.6159949242018246</v>
      </c>
      <c r="BL24" s="38">
        <v>127.68</v>
      </c>
      <c r="BM24" s="39"/>
      <c r="BN24" s="50">
        <f t="shared" si="0"/>
        <v>0.6158218903330865</v>
      </c>
      <c r="BO24" s="50">
        <f t="shared" si="1"/>
        <v>127.38714285714286</v>
      </c>
      <c r="BP24" s="39"/>
    </row>
    <row r="25" spans="1:68" s="34" customFormat="1" ht="15.75" customHeight="1" thickBot="1">
      <c r="A25" s="43">
        <v>13</v>
      </c>
      <c r="B25" s="44" t="s">
        <v>26</v>
      </c>
      <c r="C25" s="45">
        <v>1</v>
      </c>
      <c r="D25" s="46">
        <v>79.02</v>
      </c>
      <c r="E25" s="30"/>
      <c r="F25" s="45">
        <v>1</v>
      </c>
      <c r="G25" s="46">
        <v>78.97</v>
      </c>
      <c r="H25" s="30"/>
      <c r="I25" s="45">
        <v>1</v>
      </c>
      <c r="J25" s="46">
        <v>78.73</v>
      </c>
      <c r="K25" s="30"/>
      <c r="L25" s="45">
        <v>1</v>
      </c>
      <c r="M25" s="46">
        <v>78.93</v>
      </c>
      <c r="N25" s="30"/>
      <c r="O25" s="45">
        <v>1</v>
      </c>
      <c r="P25" s="46">
        <v>79.49</v>
      </c>
      <c r="Q25" s="30"/>
      <c r="R25" s="45">
        <v>1</v>
      </c>
      <c r="S25" s="46">
        <v>78.94</v>
      </c>
      <c r="T25" s="30"/>
      <c r="U25" s="45">
        <v>1</v>
      </c>
      <c r="V25" s="46">
        <v>79.05</v>
      </c>
      <c r="W25" s="30"/>
      <c r="X25" s="45">
        <v>1</v>
      </c>
      <c r="Y25" s="46">
        <v>78.78</v>
      </c>
      <c r="Z25" s="30"/>
      <c r="AA25" s="45">
        <v>1</v>
      </c>
      <c r="AB25" s="46">
        <v>78.99</v>
      </c>
      <c r="AC25" s="30"/>
      <c r="AD25" s="45">
        <v>1</v>
      </c>
      <c r="AE25" s="46">
        <v>78.71</v>
      </c>
      <c r="AF25" s="30"/>
      <c r="AG25" s="45">
        <v>1</v>
      </c>
      <c r="AH25" s="46">
        <v>78.8</v>
      </c>
      <c r="AI25" s="30"/>
      <c r="AJ25" s="45">
        <v>1</v>
      </c>
      <c r="AK25" s="46">
        <v>78.31</v>
      </c>
      <c r="AL25" s="30"/>
      <c r="AM25" s="45">
        <v>1</v>
      </c>
      <c r="AN25" s="46">
        <v>78.15</v>
      </c>
      <c r="AO25" s="30"/>
      <c r="AP25" s="45">
        <v>1</v>
      </c>
      <c r="AQ25" s="46">
        <v>77.66</v>
      </c>
      <c r="AR25" s="30"/>
      <c r="AS25" s="45">
        <v>1</v>
      </c>
      <c r="AT25" s="46">
        <v>77.37</v>
      </c>
      <c r="AU25" s="30"/>
      <c r="AV25" s="45">
        <v>1</v>
      </c>
      <c r="AW25" s="46">
        <v>77.64</v>
      </c>
      <c r="AX25" s="30"/>
      <c r="AY25" s="45">
        <v>1</v>
      </c>
      <c r="AZ25" s="46">
        <v>77.53</v>
      </c>
      <c r="BA25" s="30"/>
      <c r="BB25" s="45">
        <v>1</v>
      </c>
      <c r="BC25" s="46">
        <v>77.55</v>
      </c>
      <c r="BD25" s="30"/>
      <c r="BE25" s="45">
        <v>1</v>
      </c>
      <c r="BF25" s="46">
        <v>77.78</v>
      </c>
      <c r="BG25" s="30"/>
      <c r="BH25" s="45">
        <v>1</v>
      </c>
      <c r="BI25" s="46">
        <v>78.36</v>
      </c>
      <c r="BJ25" s="30"/>
      <c r="BK25" s="45">
        <v>1</v>
      </c>
      <c r="BL25" s="46">
        <v>78.65</v>
      </c>
      <c r="BM25" s="30"/>
      <c r="BN25" s="51">
        <f t="shared" si="0"/>
        <v>1</v>
      </c>
      <c r="BO25" s="51">
        <f t="shared" si="1"/>
        <v>78.44809523809525</v>
      </c>
      <c r="BP25" s="30"/>
    </row>
    <row r="26" spans="1:68" s="34" customFormat="1" ht="15.75" customHeight="1">
      <c r="A26" s="40"/>
      <c r="B26" s="41"/>
      <c r="C26" s="25"/>
      <c r="D26" s="26"/>
      <c r="E26" s="24"/>
      <c r="F26" s="25"/>
      <c r="G26" s="26"/>
      <c r="H26" s="24"/>
      <c r="I26" s="25"/>
      <c r="J26" s="26"/>
      <c r="K26" s="24"/>
      <c r="L26" s="25"/>
      <c r="M26" s="26"/>
      <c r="N26" s="24"/>
      <c r="O26" s="25"/>
      <c r="P26" s="26"/>
      <c r="Q26" s="24"/>
      <c r="R26" s="25"/>
      <c r="S26" s="26"/>
      <c r="T26" s="24"/>
      <c r="U26" s="25"/>
      <c r="V26" s="26"/>
      <c r="W26" s="24"/>
      <c r="X26" s="25"/>
      <c r="Y26" s="26"/>
      <c r="Z26" s="24"/>
      <c r="AA26" s="25"/>
      <c r="AB26" s="26"/>
      <c r="AC26" s="24"/>
      <c r="AD26" s="25"/>
      <c r="AE26" s="26"/>
      <c r="AF26" s="24"/>
      <c r="AG26" s="25"/>
      <c r="AH26" s="26"/>
      <c r="AI26" s="24"/>
      <c r="AJ26" s="25"/>
      <c r="AK26" s="26"/>
      <c r="AL26" s="24"/>
      <c r="AM26" s="25"/>
      <c r="AN26" s="26"/>
      <c r="AO26" s="24"/>
      <c r="AP26" s="25"/>
      <c r="AQ26" s="26"/>
      <c r="AR26" s="24"/>
      <c r="AS26" s="25"/>
      <c r="AT26" s="26"/>
      <c r="AU26" s="24"/>
      <c r="AV26" s="25"/>
      <c r="AW26" s="26"/>
      <c r="AX26" s="24"/>
      <c r="AY26" s="25"/>
      <c r="AZ26" s="26"/>
      <c r="BA26" s="24"/>
      <c r="BB26" s="25"/>
      <c r="BC26" s="26"/>
      <c r="BD26" s="24"/>
      <c r="BE26" s="25"/>
      <c r="BF26" s="26"/>
      <c r="BG26" s="24"/>
      <c r="BH26" s="24"/>
      <c r="BI26" s="24"/>
      <c r="BJ26" s="24"/>
      <c r="BK26" s="25"/>
      <c r="BL26" s="26"/>
      <c r="BM26" s="24"/>
      <c r="BN26" s="25"/>
      <c r="BO26" s="26"/>
      <c r="BP26" s="24"/>
    </row>
    <row r="27" spans="1:68" ht="15.75" customHeight="1">
      <c r="A27" s="18"/>
      <c r="B27" s="19"/>
      <c r="C27" s="20"/>
      <c r="D27" s="21"/>
      <c r="E27" s="9"/>
      <c r="F27" s="20"/>
      <c r="G27" s="21"/>
      <c r="H27" s="9"/>
      <c r="I27" s="20"/>
      <c r="J27" s="21"/>
      <c r="K27" s="9"/>
      <c r="L27" s="20"/>
      <c r="M27" s="21"/>
      <c r="N27" s="9"/>
      <c r="O27" s="20"/>
      <c r="P27" s="21"/>
      <c r="Q27" s="9"/>
      <c r="R27" s="20"/>
      <c r="S27" s="21"/>
      <c r="T27" s="9"/>
      <c r="U27" s="20"/>
      <c r="V27" s="21"/>
      <c r="W27" s="9"/>
      <c r="X27" s="20"/>
      <c r="Y27" s="21"/>
      <c r="Z27" s="9"/>
      <c r="AA27" s="20"/>
      <c r="AB27" s="21"/>
      <c r="AC27" s="9"/>
      <c r="AD27" s="20"/>
      <c r="AE27" s="21"/>
      <c r="AF27" s="9"/>
      <c r="AG27" s="20"/>
      <c r="AH27" s="21"/>
      <c r="AI27" s="9"/>
      <c r="AJ27" s="20"/>
      <c r="AK27" s="21"/>
      <c r="AL27" s="9"/>
      <c r="AM27" s="20"/>
      <c r="AN27" s="21"/>
      <c r="AO27" s="9"/>
      <c r="AP27" s="20"/>
      <c r="AQ27" s="21"/>
      <c r="AR27" s="9"/>
      <c r="AS27" s="20"/>
      <c r="AT27" s="21"/>
      <c r="AU27" s="9"/>
      <c r="AV27" s="20"/>
      <c r="AW27" s="21"/>
      <c r="AX27" s="9"/>
      <c r="AY27" s="20"/>
      <c r="AZ27" s="21"/>
      <c r="BA27" s="9"/>
      <c r="BB27" s="20"/>
      <c r="BC27" s="21"/>
      <c r="BD27" s="9"/>
      <c r="BE27" s="20"/>
      <c r="BF27" s="21"/>
      <c r="BG27" s="9"/>
      <c r="BH27" s="9"/>
      <c r="BI27" s="9"/>
      <c r="BJ27" s="9"/>
      <c r="BK27" s="20"/>
      <c r="BL27" s="21"/>
      <c r="BM27" s="9"/>
      <c r="BN27" s="20"/>
      <c r="BO27" s="21"/>
      <c r="BP27" s="9"/>
    </row>
    <row r="28" spans="1:68" ht="15.75" customHeight="1">
      <c r="A28" s="18"/>
      <c r="B28" s="19"/>
      <c r="C28" s="20"/>
      <c r="D28" s="21"/>
      <c r="E28" s="9"/>
      <c r="F28" s="20"/>
      <c r="G28" s="21"/>
      <c r="H28" s="9"/>
      <c r="I28" s="20"/>
      <c r="J28" s="21"/>
      <c r="K28" s="9"/>
      <c r="L28" s="20"/>
      <c r="M28" s="21"/>
      <c r="N28" s="9"/>
      <c r="O28" s="20"/>
      <c r="P28" s="21"/>
      <c r="Q28" s="9"/>
      <c r="R28" s="20"/>
      <c r="S28" s="21"/>
      <c r="T28" s="9"/>
      <c r="U28" s="20"/>
      <c r="V28" s="21"/>
      <c r="W28" s="9"/>
      <c r="X28" s="20"/>
      <c r="Y28" s="21"/>
      <c r="Z28" s="9"/>
      <c r="AA28" s="20"/>
      <c r="AB28" s="21"/>
      <c r="AC28" s="9"/>
      <c r="AD28" s="20"/>
      <c r="AE28" s="21"/>
      <c r="AF28" s="9"/>
      <c r="AG28" s="20"/>
      <c r="AH28" s="21"/>
      <c r="AI28" s="9"/>
      <c r="AJ28" s="20"/>
      <c r="AK28" s="21"/>
      <c r="AL28" s="9"/>
      <c r="AM28" s="20"/>
      <c r="AN28" s="21"/>
      <c r="AO28" s="9"/>
      <c r="AP28" s="20"/>
      <c r="AQ28" s="21"/>
      <c r="AR28" s="9"/>
      <c r="AS28" s="20"/>
      <c r="AT28" s="21"/>
      <c r="AU28" s="9"/>
      <c r="AV28" s="20"/>
      <c r="AW28" s="21"/>
      <c r="AX28" s="9"/>
      <c r="AY28" s="20"/>
      <c r="AZ28" s="21"/>
      <c r="BA28" s="9"/>
      <c r="BB28" s="20"/>
      <c r="BC28" s="21"/>
      <c r="BD28" s="9"/>
      <c r="BE28" s="20"/>
      <c r="BF28" s="21"/>
      <c r="BG28" s="9"/>
      <c r="BH28" s="9"/>
      <c r="BI28" s="9"/>
      <c r="BJ28" s="9"/>
      <c r="BK28" s="20"/>
      <c r="BL28" s="21"/>
      <c r="BM28" s="9"/>
      <c r="BN28" s="20"/>
      <c r="BO28" s="21"/>
      <c r="BP28" s="9"/>
    </row>
    <row r="29" spans="1:68" ht="15.75" customHeight="1">
      <c r="A29" s="18"/>
      <c r="B29" s="19"/>
      <c r="C29" s="20"/>
      <c r="D29" s="21"/>
      <c r="E29" s="9"/>
      <c r="F29" s="20"/>
      <c r="G29" s="21"/>
      <c r="H29" s="9"/>
      <c r="I29" s="20"/>
      <c r="J29" s="21"/>
      <c r="K29" s="9"/>
      <c r="L29" s="20"/>
      <c r="M29" s="21"/>
      <c r="N29" s="9"/>
      <c r="O29" s="20"/>
      <c r="P29" s="21"/>
      <c r="Q29" s="9"/>
      <c r="R29" s="20"/>
      <c r="S29" s="21"/>
      <c r="T29" s="9"/>
      <c r="U29" s="20"/>
      <c r="V29" s="21"/>
      <c r="W29" s="9"/>
      <c r="X29" s="20"/>
      <c r="Y29" s="21"/>
      <c r="Z29" s="9"/>
      <c r="AA29" s="20"/>
      <c r="AB29" s="21"/>
      <c r="AC29" s="9"/>
      <c r="AD29" s="20"/>
      <c r="AE29" s="21"/>
      <c r="AF29" s="9"/>
      <c r="AG29" s="20"/>
      <c r="AH29" s="21"/>
      <c r="AI29" s="9"/>
      <c r="AJ29" s="20"/>
      <c r="AK29" s="21"/>
      <c r="AL29" s="9"/>
      <c r="AM29" s="20"/>
      <c r="AN29" s="21"/>
      <c r="AO29" s="9"/>
      <c r="AP29" s="20"/>
      <c r="AQ29" s="21"/>
      <c r="AR29" s="9"/>
      <c r="AS29" s="20"/>
      <c r="AT29" s="21"/>
      <c r="AU29" s="9"/>
      <c r="AV29" s="20"/>
      <c r="AW29" s="21"/>
      <c r="AX29" s="9"/>
      <c r="AY29" s="20"/>
      <c r="AZ29" s="21"/>
      <c r="BA29" s="9"/>
      <c r="BB29" s="20"/>
      <c r="BC29" s="21"/>
      <c r="BD29" s="9"/>
      <c r="BE29" s="20"/>
      <c r="BF29" s="21"/>
      <c r="BG29" s="9"/>
      <c r="BH29" s="9"/>
      <c r="BI29" s="9"/>
      <c r="BJ29" s="9"/>
      <c r="BK29" s="20"/>
      <c r="BL29" s="21"/>
      <c r="BM29" s="9"/>
      <c r="BN29" s="20"/>
      <c r="BO29" s="21"/>
      <c r="BP29" s="9"/>
    </row>
    <row r="30" spans="1:68" ht="15.75" customHeight="1">
      <c r="A30" s="18"/>
      <c r="B30" s="19"/>
      <c r="C30" s="20"/>
      <c r="D30" s="21"/>
      <c r="E30" s="9"/>
      <c r="F30" s="20"/>
      <c r="G30" s="21"/>
      <c r="H30" s="9"/>
      <c r="I30" s="20"/>
      <c r="J30" s="21"/>
      <c r="K30" s="9"/>
      <c r="L30" s="20"/>
      <c r="M30" s="21"/>
      <c r="N30" s="9"/>
      <c r="O30" s="20"/>
      <c r="P30" s="21"/>
      <c r="Q30" s="9"/>
      <c r="R30" s="20"/>
      <c r="S30" s="21"/>
      <c r="T30" s="9"/>
      <c r="U30" s="20"/>
      <c r="V30" s="21"/>
      <c r="W30" s="9"/>
      <c r="X30" s="20"/>
      <c r="Y30" s="21"/>
      <c r="Z30" s="9"/>
      <c r="AA30" s="20"/>
      <c r="AB30" s="21"/>
      <c r="AC30" s="9"/>
      <c r="AD30" s="20"/>
      <c r="AE30" s="21"/>
      <c r="AF30" s="9"/>
      <c r="AG30" s="20"/>
      <c r="AH30" s="21"/>
      <c r="AI30" s="9"/>
      <c r="AJ30" s="20"/>
      <c r="AK30" s="21"/>
      <c r="AL30" s="9"/>
      <c r="AM30" s="20"/>
      <c r="AN30" s="21"/>
      <c r="AO30" s="9"/>
      <c r="AP30" s="20"/>
      <c r="AQ30" s="21"/>
      <c r="AR30" s="9"/>
      <c r="AS30" s="20"/>
      <c r="AT30" s="21"/>
      <c r="AU30" s="9"/>
      <c r="AV30" s="20"/>
      <c r="AW30" s="21"/>
      <c r="AX30" s="9"/>
      <c r="AY30" s="20"/>
      <c r="AZ30" s="21"/>
      <c r="BA30" s="9"/>
      <c r="BB30" s="20"/>
      <c r="BC30" s="21"/>
      <c r="BD30" s="9"/>
      <c r="BE30" s="20"/>
      <c r="BF30" s="21"/>
      <c r="BG30" s="9"/>
      <c r="BH30" s="9"/>
      <c r="BI30" s="9"/>
      <c r="BJ30" s="9"/>
      <c r="BK30" s="20"/>
      <c r="BL30" s="21"/>
      <c r="BM30" s="9"/>
      <c r="BN30" s="20"/>
      <c r="BO30" s="21"/>
      <c r="BP30" s="9"/>
    </row>
    <row r="31" spans="1:68" ht="15.75" customHeight="1">
      <c r="A31" s="18"/>
      <c r="B31" s="19"/>
      <c r="C31" s="20"/>
      <c r="D31" s="21"/>
      <c r="E31" s="9"/>
      <c r="F31" s="20"/>
      <c r="G31" s="21"/>
      <c r="H31" s="9"/>
      <c r="I31" s="20"/>
      <c r="J31" s="21"/>
      <c r="K31" s="9"/>
      <c r="L31" s="20"/>
      <c r="M31" s="21"/>
      <c r="N31" s="9"/>
      <c r="O31" s="20"/>
      <c r="P31" s="21"/>
      <c r="Q31" s="9"/>
      <c r="R31" s="20"/>
      <c r="S31" s="21"/>
      <c r="T31" s="9"/>
      <c r="U31" s="20"/>
      <c r="V31" s="21"/>
      <c r="W31" s="9"/>
      <c r="X31" s="20"/>
      <c r="Y31" s="21"/>
      <c r="Z31" s="9"/>
      <c r="AA31" s="20"/>
      <c r="AB31" s="21"/>
      <c r="AC31" s="9"/>
      <c r="AD31" s="20"/>
      <c r="AE31" s="21"/>
      <c r="AF31" s="9"/>
      <c r="AG31" s="20"/>
      <c r="AH31" s="21"/>
      <c r="AI31" s="9"/>
      <c r="AJ31" s="20"/>
      <c r="AK31" s="21"/>
      <c r="AL31" s="9"/>
      <c r="AM31" s="20"/>
      <c r="AN31" s="21"/>
      <c r="AO31" s="9"/>
      <c r="AP31" s="20"/>
      <c r="AQ31" s="21"/>
      <c r="AR31" s="9"/>
      <c r="AS31" s="20"/>
      <c r="AT31" s="21"/>
      <c r="AU31" s="9"/>
      <c r="AV31" s="20"/>
      <c r="AW31" s="21"/>
      <c r="AX31" s="9"/>
      <c r="AY31" s="20"/>
      <c r="AZ31" s="21"/>
      <c r="BA31" s="9"/>
      <c r="BB31" s="20"/>
      <c r="BC31" s="21"/>
      <c r="BD31" s="9"/>
      <c r="BE31" s="20"/>
      <c r="BF31" s="21"/>
      <c r="BG31" s="9"/>
      <c r="BH31" s="9"/>
      <c r="BI31" s="9"/>
      <c r="BJ31" s="9"/>
      <c r="BK31" s="20"/>
      <c r="BL31" s="21"/>
      <c r="BM31" s="9"/>
      <c r="BN31" s="20"/>
      <c r="BO31" s="21"/>
      <c r="BP31" s="9"/>
    </row>
    <row r="32" spans="1:68" ht="15.75" customHeight="1">
      <c r="A32" s="18"/>
      <c r="B32" s="19"/>
      <c r="C32" s="20"/>
      <c r="D32" s="21"/>
      <c r="E32" s="9"/>
      <c r="F32" s="20"/>
      <c r="G32" s="21"/>
      <c r="H32" s="9"/>
      <c r="I32" s="20"/>
      <c r="J32" s="21"/>
      <c r="K32" s="9"/>
      <c r="L32" s="20"/>
      <c r="M32" s="21"/>
      <c r="N32" s="9"/>
      <c r="O32" s="20"/>
      <c r="P32" s="21"/>
      <c r="Q32" s="9"/>
      <c r="R32" s="20"/>
      <c r="S32" s="21"/>
      <c r="T32" s="9"/>
      <c r="U32" s="20"/>
      <c r="V32" s="21"/>
      <c r="W32" s="9"/>
      <c r="X32" s="20"/>
      <c r="Y32" s="21"/>
      <c r="Z32" s="9"/>
      <c r="AA32" s="20"/>
      <c r="AB32" s="21"/>
      <c r="AC32" s="9"/>
      <c r="AD32" s="20"/>
      <c r="AE32" s="21"/>
      <c r="AF32" s="9"/>
      <c r="AG32" s="20"/>
      <c r="AH32" s="21"/>
      <c r="AI32" s="9"/>
      <c r="AJ32" s="20"/>
      <c r="AK32" s="21"/>
      <c r="AL32" s="9"/>
      <c r="AM32" s="20"/>
      <c r="AN32" s="21"/>
      <c r="AO32" s="9"/>
      <c r="AP32" s="20"/>
      <c r="AQ32" s="21"/>
      <c r="AR32" s="9"/>
      <c r="AS32" s="20"/>
      <c r="AT32" s="21"/>
      <c r="AU32" s="9"/>
      <c r="AV32" s="20"/>
      <c r="AW32" s="21"/>
      <c r="AX32" s="9"/>
      <c r="AY32" s="20"/>
      <c r="AZ32" s="21"/>
      <c r="BA32" s="9"/>
      <c r="BB32" s="20"/>
      <c r="BC32" s="21"/>
      <c r="BD32" s="9"/>
      <c r="BE32" s="20"/>
      <c r="BF32" s="21"/>
      <c r="BG32" s="9"/>
      <c r="BH32" s="9"/>
      <c r="BI32" s="9"/>
      <c r="BJ32" s="9"/>
      <c r="BK32" s="20"/>
      <c r="BL32" s="21"/>
      <c r="BM32" s="9"/>
      <c r="BN32" s="20"/>
      <c r="BO32" s="21"/>
      <c r="BP32" s="9"/>
    </row>
    <row r="33" spans="1:68" ht="15.75" customHeight="1">
      <c r="A33" s="18"/>
      <c r="B33" s="22"/>
      <c r="C33" s="20"/>
      <c r="D33" s="21"/>
      <c r="E33" s="9"/>
      <c r="F33" s="20"/>
      <c r="G33" s="21"/>
      <c r="H33" s="9"/>
      <c r="I33" s="20"/>
      <c r="J33" s="21"/>
      <c r="K33" s="9"/>
      <c r="L33" s="20"/>
      <c r="M33" s="21"/>
      <c r="N33" s="9"/>
      <c r="O33" s="20"/>
      <c r="P33" s="21"/>
      <c r="Q33" s="9"/>
      <c r="R33" s="20"/>
      <c r="S33" s="21"/>
      <c r="T33" s="9"/>
      <c r="U33" s="20"/>
      <c r="V33" s="21"/>
      <c r="W33" s="9"/>
      <c r="X33" s="20"/>
      <c r="Y33" s="21"/>
      <c r="Z33" s="9"/>
      <c r="AA33" s="20"/>
      <c r="AB33" s="21"/>
      <c r="AC33" s="9"/>
      <c r="AD33" s="20"/>
      <c r="AE33" s="21"/>
      <c r="AF33" s="9"/>
      <c r="AG33" s="20"/>
      <c r="AH33" s="21"/>
      <c r="AI33" s="9"/>
      <c r="AJ33" s="20"/>
      <c r="AK33" s="21"/>
      <c r="AL33" s="9"/>
      <c r="AM33" s="20"/>
      <c r="AN33" s="21"/>
      <c r="AO33" s="9"/>
      <c r="AP33" s="20"/>
      <c r="AQ33" s="21"/>
      <c r="AR33" s="9"/>
      <c r="AS33" s="20"/>
      <c r="AT33" s="21"/>
      <c r="AU33" s="9"/>
      <c r="AV33" s="20"/>
      <c r="AW33" s="21"/>
      <c r="AX33" s="9"/>
      <c r="AY33" s="20"/>
      <c r="AZ33" s="21"/>
      <c r="BA33" s="9"/>
      <c r="BB33" s="20"/>
      <c r="BC33" s="21"/>
      <c r="BD33" s="9"/>
      <c r="BE33" s="20"/>
      <c r="BF33" s="21"/>
      <c r="BG33" s="9"/>
      <c r="BH33" s="9"/>
      <c r="BI33" s="9"/>
      <c r="BJ33" s="9"/>
      <c r="BK33" s="20"/>
      <c r="BL33" s="21"/>
      <c r="BM33" s="9"/>
      <c r="BN33" s="20"/>
      <c r="BO33" s="21"/>
      <c r="BP33" s="9"/>
    </row>
    <row r="34" spans="1:68" ht="15.75" customHeight="1">
      <c r="A34" s="18"/>
      <c r="B34" s="22"/>
      <c r="C34" s="20"/>
      <c r="D34" s="21"/>
      <c r="E34" s="9"/>
      <c r="F34" s="20"/>
      <c r="G34" s="21"/>
      <c r="H34" s="9"/>
      <c r="I34" s="20"/>
      <c r="J34" s="21"/>
      <c r="K34" s="9"/>
      <c r="L34" s="20"/>
      <c r="M34" s="21"/>
      <c r="N34" s="9"/>
      <c r="O34" s="20"/>
      <c r="P34" s="21"/>
      <c r="Q34" s="9"/>
      <c r="R34" s="20"/>
      <c r="S34" s="21"/>
      <c r="T34" s="23"/>
      <c r="U34" s="20"/>
      <c r="V34" s="21"/>
      <c r="W34" s="9"/>
      <c r="X34" s="20"/>
      <c r="Y34" s="21"/>
      <c r="Z34" s="9"/>
      <c r="AA34" s="20"/>
      <c r="AB34" s="21"/>
      <c r="AC34" s="9"/>
      <c r="AD34" s="20"/>
      <c r="AE34" s="21"/>
      <c r="AF34" s="9"/>
      <c r="AG34" s="20"/>
      <c r="AH34" s="21"/>
      <c r="AI34" s="9"/>
      <c r="AJ34" s="20"/>
      <c r="AK34" s="21"/>
      <c r="AL34" s="9"/>
      <c r="AM34" s="20"/>
      <c r="AN34" s="21"/>
      <c r="AO34" s="9"/>
      <c r="AP34" s="20"/>
      <c r="AQ34" s="21"/>
      <c r="AR34" s="9"/>
      <c r="AS34" s="20"/>
      <c r="AT34" s="21"/>
      <c r="AU34" s="9"/>
      <c r="AV34" s="20"/>
      <c r="AW34" s="21"/>
      <c r="AX34" s="9"/>
      <c r="AY34" s="20"/>
      <c r="AZ34" s="21"/>
      <c r="BA34" s="9"/>
      <c r="BB34" s="20"/>
      <c r="BC34" s="21"/>
      <c r="BD34" s="9"/>
      <c r="BE34" s="20"/>
      <c r="BF34" s="21"/>
      <c r="BG34" s="9"/>
      <c r="BH34" s="9"/>
      <c r="BI34" s="9"/>
      <c r="BJ34" s="9"/>
      <c r="BK34" s="20"/>
      <c r="BL34" s="21"/>
      <c r="BM34" s="9"/>
      <c r="BN34" s="20"/>
      <c r="BO34" s="21"/>
      <c r="BP34" s="15"/>
    </row>
    <row r="35" spans="1:68" ht="15.75" customHeight="1">
      <c r="A35" s="18"/>
      <c r="B35" s="22"/>
      <c r="C35" s="20"/>
      <c r="D35" s="21"/>
      <c r="E35" s="9"/>
      <c r="F35" s="20"/>
      <c r="G35" s="21"/>
      <c r="H35" s="9"/>
      <c r="I35" s="20"/>
      <c r="J35" s="21"/>
      <c r="K35" s="9"/>
      <c r="L35" s="20"/>
      <c r="M35" s="21"/>
      <c r="N35" s="9"/>
      <c r="O35" s="20"/>
      <c r="P35" s="21"/>
      <c r="Q35" s="9"/>
      <c r="R35" s="20"/>
      <c r="S35" s="21"/>
      <c r="T35" s="9"/>
      <c r="U35" s="20"/>
      <c r="V35" s="21"/>
      <c r="W35" s="9"/>
      <c r="X35" s="20"/>
      <c r="Y35" s="21"/>
      <c r="Z35" s="9"/>
      <c r="AA35" s="20"/>
      <c r="AB35" s="21"/>
      <c r="AC35" s="9"/>
      <c r="AD35" s="20"/>
      <c r="AE35" s="21"/>
      <c r="AF35" s="9"/>
      <c r="AG35" s="20"/>
      <c r="AH35" s="21"/>
      <c r="AI35" s="9"/>
      <c r="AJ35" s="20"/>
      <c r="AK35" s="21"/>
      <c r="AL35" s="9"/>
      <c r="AM35" s="20"/>
      <c r="AN35" s="21"/>
      <c r="AO35" s="9"/>
      <c r="AP35" s="20"/>
      <c r="AQ35" s="21"/>
      <c r="AR35" s="9"/>
      <c r="AS35" s="20"/>
      <c r="AT35" s="21"/>
      <c r="AU35" s="9"/>
      <c r="AV35" s="20"/>
      <c r="AW35" s="21"/>
      <c r="AX35" s="9"/>
      <c r="AY35" s="20"/>
      <c r="AZ35" s="21"/>
      <c r="BA35" s="9"/>
      <c r="BB35" s="20"/>
      <c r="BC35" s="21"/>
      <c r="BD35" s="9"/>
      <c r="BE35" s="20"/>
      <c r="BF35" s="21"/>
      <c r="BG35" s="9"/>
      <c r="BH35" s="9"/>
      <c r="BI35" s="9"/>
      <c r="BJ35" s="9"/>
      <c r="BK35" s="20"/>
      <c r="BL35" s="21"/>
      <c r="BM35" s="9"/>
      <c r="BN35" s="20"/>
      <c r="BO35" s="21"/>
      <c r="BP35" s="15"/>
    </row>
    <row r="36" spans="1:68" ht="15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4"/>
      <c r="BH36" s="9"/>
      <c r="BI36" s="9"/>
      <c r="BJ36" s="9"/>
      <c r="BK36" s="9"/>
      <c r="BL36" s="9"/>
      <c r="BM36" s="9"/>
      <c r="BN36" s="16"/>
      <c r="BO36" s="16"/>
      <c r="BP36" s="14"/>
    </row>
    <row r="37" spans="1:68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</row>
    <row r="38" spans="1:68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</row>
    <row r="39" spans="1:68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</row>
    <row r="40" spans="1:68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</row>
    <row r="41" spans="1:68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</row>
    <row r="42" spans="1:68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</row>
    <row r="43" spans="1:68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</row>
    <row r="44" spans="1:68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</row>
    <row r="45" spans="1:68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</row>
    <row r="46" spans="1:68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</row>
    <row r="47" spans="1:68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</row>
    <row r="48" spans="1:6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</row>
    <row r="49" spans="1:68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</row>
    <row r="50" spans="1:68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</row>
    <row r="51" spans="1:68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</row>
    <row r="52" spans="1:68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7" r:id="rId1"/>
  <headerFooter alignWithMargins="0">
    <oddHeader>&amp;L&amp;"Times New Roman,Bold"&amp;14Banka e Shqiperise&amp;12
Sektori i Informacionit</oddHeader>
  </headerFooter>
  <colBreaks count="1" manualBreakCount="1">
    <brk id="6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S36" sqref="BS36"/>
    </sheetView>
  </sheetViews>
  <sheetFormatPr defaultColWidth="13.28125" defaultRowHeight="15.75" customHeight="1"/>
  <cols>
    <col min="1" max="1" width="6.28125" style="34" customWidth="1"/>
    <col min="2" max="2" width="30.8515625" style="34" customWidth="1"/>
    <col min="3" max="3" width="25.8515625" style="34" hidden="1" customWidth="1"/>
    <col min="4" max="4" width="12.421875" style="34" hidden="1" customWidth="1"/>
    <col min="5" max="5" width="7.57421875" style="34" hidden="1" customWidth="1"/>
    <col min="6" max="6" width="21.57421875" style="34" hidden="1" customWidth="1"/>
    <col min="7" max="7" width="18.421875" style="34" hidden="1" customWidth="1"/>
    <col min="8" max="8" width="6.421875" style="34" hidden="1" customWidth="1"/>
    <col min="9" max="9" width="21.28125" style="34" hidden="1" customWidth="1"/>
    <col min="10" max="10" width="14.00390625" style="34" hidden="1" customWidth="1"/>
    <col min="11" max="11" width="6.28125" style="34" hidden="1" customWidth="1"/>
    <col min="12" max="12" width="26.00390625" style="34" hidden="1" customWidth="1"/>
    <col min="13" max="13" width="13.8515625" style="34" hidden="1" customWidth="1"/>
    <col min="14" max="14" width="5.421875" style="34" hidden="1" customWidth="1"/>
    <col min="15" max="15" width="24.140625" style="34" hidden="1" customWidth="1"/>
    <col min="16" max="16" width="14.00390625" style="34" hidden="1" customWidth="1"/>
    <col min="17" max="17" width="5.7109375" style="34" hidden="1" customWidth="1"/>
    <col min="18" max="18" width="21.7109375" style="34" hidden="1" customWidth="1"/>
    <col min="19" max="19" width="15.00390625" style="34" hidden="1" customWidth="1"/>
    <col min="20" max="20" width="5.57421875" style="34" hidden="1" customWidth="1"/>
    <col min="21" max="21" width="25.7109375" style="34" hidden="1" customWidth="1"/>
    <col min="22" max="22" width="15.8515625" style="34" hidden="1" customWidth="1"/>
    <col min="23" max="23" width="5.7109375" style="34" hidden="1" customWidth="1"/>
    <col min="24" max="24" width="23.00390625" style="34" hidden="1" customWidth="1"/>
    <col min="25" max="25" width="13.8515625" style="34" hidden="1" customWidth="1"/>
    <col min="26" max="26" width="5.28125" style="34" hidden="1" customWidth="1"/>
    <col min="27" max="27" width="24.00390625" style="34" hidden="1" customWidth="1"/>
    <col min="28" max="28" width="15.7109375" style="34" hidden="1" customWidth="1"/>
    <col min="29" max="29" width="5.7109375" style="34" hidden="1" customWidth="1"/>
    <col min="30" max="30" width="25.140625" style="34" hidden="1" customWidth="1"/>
    <col min="31" max="31" width="14.00390625" style="34" hidden="1" customWidth="1"/>
    <col min="32" max="32" width="5.7109375" style="34" hidden="1" customWidth="1"/>
    <col min="33" max="33" width="27.140625" style="34" hidden="1" customWidth="1"/>
    <col min="34" max="34" width="10.57421875" style="34" hidden="1" customWidth="1"/>
    <col min="35" max="35" width="5.7109375" style="34" hidden="1" customWidth="1"/>
    <col min="36" max="36" width="24.00390625" style="34" hidden="1" customWidth="1"/>
    <col min="37" max="37" width="12.421875" style="34" hidden="1" customWidth="1"/>
    <col min="38" max="38" width="5.7109375" style="34" hidden="1" customWidth="1"/>
    <col min="39" max="39" width="21.421875" style="34" hidden="1" customWidth="1"/>
    <col min="40" max="40" width="10.57421875" style="34" hidden="1" customWidth="1"/>
    <col min="41" max="41" width="5.7109375" style="34" hidden="1" customWidth="1"/>
    <col min="42" max="42" width="22.57421875" style="34" hidden="1" customWidth="1"/>
    <col min="43" max="43" width="10.57421875" style="34" hidden="1" customWidth="1"/>
    <col min="44" max="44" width="5.7109375" style="34" hidden="1" customWidth="1"/>
    <col min="45" max="45" width="21.8515625" style="34" hidden="1" customWidth="1"/>
    <col min="46" max="46" width="14.28125" style="34" hidden="1" customWidth="1"/>
    <col min="47" max="47" width="6.421875" style="34" hidden="1" customWidth="1"/>
    <col min="48" max="48" width="21.421875" style="34" hidden="1" customWidth="1"/>
    <col min="49" max="49" width="10.57421875" style="34" hidden="1" customWidth="1"/>
    <col min="50" max="50" width="5.7109375" style="34" hidden="1" customWidth="1"/>
    <col min="51" max="51" width="21.421875" style="34" hidden="1" customWidth="1"/>
    <col min="52" max="52" width="13.421875" style="34" hidden="1" customWidth="1"/>
    <col min="53" max="53" width="5.7109375" style="34" hidden="1" customWidth="1"/>
    <col min="54" max="54" width="22.28125" style="34" hidden="1" customWidth="1"/>
    <col min="55" max="55" width="17.57421875" style="34" hidden="1" customWidth="1"/>
    <col min="56" max="56" width="5.7109375" style="34" hidden="1" customWidth="1"/>
    <col min="57" max="57" width="21.421875" style="34" hidden="1" customWidth="1"/>
    <col min="58" max="58" width="15.421875" style="34" hidden="1" customWidth="1"/>
    <col min="59" max="59" width="6.421875" style="34" hidden="1" customWidth="1"/>
    <col min="60" max="60" width="22.421875" style="34" hidden="1" customWidth="1"/>
    <col min="61" max="61" width="12.140625" style="34" hidden="1" customWidth="1"/>
    <col min="62" max="62" width="10.28125" style="34" hidden="1" customWidth="1"/>
    <col min="63" max="63" width="22.57421875" style="34" customWidth="1"/>
    <col min="64" max="64" width="14.140625" style="34" customWidth="1"/>
    <col min="65" max="65" width="7.421875" style="34" customWidth="1"/>
    <col min="66" max="66" width="21.7109375" style="34" customWidth="1"/>
    <col min="67" max="67" width="13.140625" style="34" customWidth="1"/>
    <col min="68" max="16384" width="13.28125" style="34" customWidth="1"/>
  </cols>
  <sheetData>
    <row r="1" spans="1:68" ht="15.75" customHeight="1">
      <c r="A1" s="53" t="s">
        <v>0</v>
      </c>
      <c r="B1" s="54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55" t="s">
        <v>1</v>
      </c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56"/>
      <c r="BI1" s="56"/>
      <c r="BJ1" s="56"/>
      <c r="BK1" s="56"/>
      <c r="BL1" s="56"/>
      <c r="BM1" s="56"/>
      <c r="BN1" s="56"/>
      <c r="BO1" s="57"/>
      <c r="BP1" s="57"/>
    </row>
    <row r="2" spans="1:68" ht="15.75" customHeight="1">
      <c r="A2" s="53"/>
      <c r="B2" s="5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55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56"/>
      <c r="BI2" s="56"/>
      <c r="BJ2" s="56"/>
      <c r="BK2" s="56"/>
      <c r="BL2" s="56"/>
      <c r="BM2" s="56"/>
      <c r="BN2" s="56"/>
      <c r="BO2" s="57"/>
      <c r="BP2" s="57"/>
    </row>
    <row r="3" spans="1:68" ht="15.75" customHeight="1">
      <c r="A3" s="39"/>
      <c r="B3" s="58" t="s">
        <v>134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24"/>
      <c r="BI3" s="24"/>
      <c r="BJ3" s="24"/>
      <c r="BK3" s="24"/>
      <c r="BL3" s="24"/>
      <c r="BM3" s="24"/>
      <c r="BN3" s="24"/>
      <c r="BO3" s="57"/>
      <c r="BP3" s="57"/>
    </row>
    <row r="4" spans="1:68" ht="15.75" customHeight="1">
      <c r="A4" s="55" t="s">
        <v>2</v>
      </c>
      <c r="B4" s="39"/>
      <c r="C4" s="53" t="s">
        <v>135</v>
      </c>
      <c r="D4" s="53"/>
      <c r="E4" s="59"/>
      <c r="F4" s="53" t="s">
        <v>147</v>
      </c>
      <c r="G4" s="53"/>
      <c r="H4" s="59"/>
      <c r="I4" s="53" t="s">
        <v>148</v>
      </c>
      <c r="J4" s="53"/>
      <c r="K4" s="53"/>
      <c r="L4" s="53" t="s">
        <v>136</v>
      </c>
      <c r="M4" s="53"/>
      <c r="N4" s="59"/>
      <c r="O4" s="53" t="s">
        <v>137</v>
      </c>
      <c r="P4" s="53"/>
      <c r="Q4" s="59"/>
      <c r="R4" s="53" t="s">
        <v>138</v>
      </c>
      <c r="S4" s="53"/>
      <c r="T4" s="53"/>
      <c r="U4" s="53" t="s">
        <v>149</v>
      </c>
      <c r="V4" s="53"/>
      <c r="W4" s="53"/>
      <c r="X4" s="53" t="s">
        <v>150</v>
      </c>
      <c r="Y4" s="53"/>
      <c r="Z4" s="59"/>
      <c r="AA4" s="53" t="s">
        <v>139</v>
      </c>
      <c r="AB4" s="53"/>
      <c r="AC4" s="59"/>
      <c r="AD4" s="53" t="s">
        <v>140</v>
      </c>
      <c r="AE4" s="53"/>
      <c r="AF4" s="59"/>
      <c r="AG4" s="53" t="s">
        <v>141</v>
      </c>
      <c r="AH4" s="53"/>
      <c r="AI4" s="59"/>
      <c r="AJ4" s="53" t="s">
        <v>151</v>
      </c>
      <c r="AK4" s="53"/>
      <c r="AL4" s="59"/>
      <c r="AM4" s="53" t="s">
        <v>152</v>
      </c>
      <c r="AN4" s="53"/>
      <c r="AO4" s="59"/>
      <c r="AP4" s="53" t="s">
        <v>153</v>
      </c>
      <c r="AQ4" s="53"/>
      <c r="AR4" s="59"/>
      <c r="AS4" s="53" t="s">
        <v>142</v>
      </c>
      <c r="AT4" s="53"/>
      <c r="AU4" s="59"/>
      <c r="AV4" s="53" t="s">
        <v>143</v>
      </c>
      <c r="AW4" s="53"/>
      <c r="AX4" s="59"/>
      <c r="AY4" s="53" t="s">
        <v>154</v>
      </c>
      <c r="AZ4" s="53"/>
      <c r="BA4" s="59"/>
      <c r="BB4" s="53" t="s">
        <v>155</v>
      </c>
      <c r="BC4" s="53"/>
      <c r="BD4" s="59"/>
      <c r="BE4" s="53" t="s">
        <v>144</v>
      </c>
      <c r="BF4" s="53"/>
      <c r="BG4" s="59"/>
      <c r="BH4" s="53" t="s">
        <v>145</v>
      </c>
      <c r="BI4" s="60"/>
      <c r="BJ4" s="60"/>
      <c r="BK4" s="53" t="s">
        <v>146</v>
      </c>
      <c r="BL4" s="53"/>
      <c r="BM4" s="60"/>
      <c r="BN4" s="53" t="s">
        <v>3</v>
      </c>
      <c r="BO4" s="53"/>
      <c r="BP4" s="60"/>
    </row>
    <row r="5" spans="1:68" ht="15.75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60"/>
      <c r="BI5" s="60"/>
      <c r="BJ5" s="60"/>
      <c r="BK5" s="60"/>
      <c r="BL5" s="60"/>
      <c r="BM5" s="60"/>
      <c r="BN5" s="60"/>
      <c r="BO5" s="60"/>
      <c r="BP5" s="60"/>
    </row>
    <row r="6" spans="1:68" ht="15" customHeight="1" thickTop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</row>
    <row r="7" spans="1:68" ht="15.75" customHeight="1">
      <c r="A7" s="59"/>
      <c r="B7" s="39"/>
      <c r="C7" s="49" t="s">
        <v>4</v>
      </c>
      <c r="D7" s="49" t="s">
        <v>4</v>
      </c>
      <c r="E7" s="49"/>
      <c r="F7" s="49" t="s">
        <v>4</v>
      </c>
      <c r="G7" s="49" t="s">
        <v>4</v>
      </c>
      <c r="H7" s="49"/>
      <c r="I7" s="49" t="s">
        <v>4</v>
      </c>
      <c r="J7" s="49" t="s">
        <v>4</v>
      </c>
      <c r="K7" s="49"/>
      <c r="L7" s="49" t="s">
        <v>4</v>
      </c>
      <c r="M7" s="49" t="s">
        <v>4</v>
      </c>
      <c r="N7" s="49"/>
      <c r="O7" s="49" t="s">
        <v>4</v>
      </c>
      <c r="P7" s="49" t="s">
        <v>4</v>
      </c>
      <c r="Q7" s="49"/>
      <c r="R7" s="49" t="s">
        <v>4</v>
      </c>
      <c r="S7" s="49" t="s">
        <v>4</v>
      </c>
      <c r="T7" s="49"/>
      <c r="U7" s="49" t="s">
        <v>4</v>
      </c>
      <c r="V7" s="49" t="s">
        <v>4</v>
      </c>
      <c r="W7" s="49"/>
      <c r="X7" s="49" t="s">
        <v>4</v>
      </c>
      <c r="Y7" s="49" t="s">
        <v>4</v>
      </c>
      <c r="Z7" s="49"/>
      <c r="AA7" s="49" t="s">
        <v>4</v>
      </c>
      <c r="AB7" s="49" t="s">
        <v>4</v>
      </c>
      <c r="AC7" s="49"/>
      <c r="AD7" s="49" t="s">
        <v>4</v>
      </c>
      <c r="AE7" s="49" t="s">
        <v>4</v>
      </c>
      <c r="AF7" s="49"/>
      <c r="AG7" s="49" t="s">
        <v>4</v>
      </c>
      <c r="AH7" s="49" t="s">
        <v>4</v>
      </c>
      <c r="AI7" s="49"/>
      <c r="AJ7" s="49" t="s">
        <v>4</v>
      </c>
      <c r="AK7" s="49" t="s">
        <v>4</v>
      </c>
      <c r="AL7" s="49"/>
      <c r="AM7" s="49" t="s">
        <v>4</v>
      </c>
      <c r="AN7" s="49" t="s">
        <v>4</v>
      </c>
      <c r="AO7" s="49"/>
      <c r="AP7" s="49" t="s">
        <v>4</v>
      </c>
      <c r="AQ7" s="49" t="s">
        <v>4</v>
      </c>
      <c r="AR7" s="49"/>
      <c r="AS7" s="49" t="s">
        <v>4</v>
      </c>
      <c r="AT7" s="49" t="s">
        <v>4</v>
      </c>
      <c r="AU7" s="49"/>
      <c r="AV7" s="49" t="s">
        <v>4</v>
      </c>
      <c r="AW7" s="49" t="s">
        <v>4</v>
      </c>
      <c r="AX7" s="49"/>
      <c r="AY7" s="49" t="s">
        <v>4</v>
      </c>
      <c r="AZ7" s="49" t="s">
        <v>4</v>
      </c>
      <c r="BA7" s="49"/>
      <c r="BB7" s="49" t="s">
        <v>4</v>
      </c>
      <c r="BC7" s="49" t="s">
        <v>4</v>
      </c>
      <c r="BD7" s="49"/>
      <c r="BE7" s="49" t="s">
        <v>4</v>
      </c>
      <c r="BF7" s="49" t="s">
        <v>4</v>
      </c>
      <c r="BG7" s="49"/>
      <c r="BH7" s="49" t="s">
        <v>4</v>
      </c>
      <c r="BI7" s="49" t="s">
        <v>4</v>
      </c>
      <c r="BJ7" s="49"/>
      <c r="BK7" s="49" t="s">
        <v>4</v>
      </c>
      <c r="BL7" s="49" t="s">
        <v>4</v>
      </c>
      <c r="BM7" s="49"/>
      <c r="BN7" s="49" t="s">
        <v>5</v>
      </c>
      <c r="BO7" s="49" t="s">
        <v>5</v>
      </c>
      <c r="BP7" s="49"/>
    </row>
    <row r="8" spans="1:68" ht="15.75" customHeight="1">
      <c r="A8" s="39"/>
      <c r="B8" s="61" t="s">
        <v>6</v>
      </c>
      <c r="C8" s="49" t="s">
        <v>7</v>
      </c>
      <c r="D8" s="49" t="s">
        <v>7</v>
      </c>
      <c r="E8" s="49"/>
      <c r="F8" s="49" t="s">
        <v>7</v>
      </c>
      <c r="G8" s="49" t="s">
        <v>7</v>
      </c>
      <c r="H8" s="49"/>
      <c r="I8" s="49" t="s">
        <v>7</v>
      </c>
      <c r="J8" s="49" t="s">
        <v>7</v>
      </c>
      <c r="K8" s="49"/>
      <c r="L8" s="49" t="s">
        <v>7</v>
      </c>
      <c r="M8" s="49" t="s">
        <v>7</v>
      </c>
      <c r="N8" s="49"/>
      <c r="O8" s="49" t="s">
        <v>7</v>
      </c>
      <c r="P8" s="49" t="s">
        <v>7</v>
      </c>
      <c r="Q8" s="49"/>
      <c r="R8" s="49" t="s">
        <v>7</v>
      </c>
      <c r="S8" s="49" t="s">
        <v>7</v>
      </c>
      <c r="T8" s="49"/>
      <c r="U8" s="49" t="s">
        <v>7</v>
      </c>
      <c r="V8" s="49" t="s">
        <v>7</v>
      </c>
      <c r="W8" s="49"/>
      <c r="X8" s="49" t="s">
        <v>7</v>
      </c>
      <c r="Y8" s="49" t="s">
        <v>7</v>
      </c>
      <c r="Z8" s="49"/>
      <c r="AA8" s="49" t="s">
        <v>7</v>
      </c>
      <c r="AB8" s="49" t="s">
        <v>7</v>
      </c>
      <c r="AC8" s="49"/>
      <c r="AD8" s="49" t="s">
        <v>7</v>
      </c>
      <c r="AE8" s="49" t="s">
        <v>7</v>
      </c>
      <c r="AF8" s="49"/>
      <c r="AG8" s="49" t="s">
        <v>7</v>
      </c>
      <c r="AH8" s="49" t="s">
        <v>7</v>
      </c>
      <c r="AI8" s="49"/>
      <c r="AJ8" s="49" t="s">
        <v>7</v>
      </c>
      <c r="AK8" s="49" t="s">
        <v>7</v>
      </c>
      <c r="AL8" s="49"/>
      <c r="AM8" s="49" t="s">
        <v>7</v>
      </c>
      <c r="AN8" s="49" t="s">
        <v>7</v>
      </c>
      <c r="AO8" s="49"/>
      <c r="AP8" s="49" t="s">
        <v>7</v>
      </c>
      <c r="AQ8" s="49" t="s">
        <v>7</v>
      </c>
      <c r="AR8" s="49"/>
      <c r="AS8" s="49" t="s">
        <v>7</v>
      </c>
      <c r="AT8" s="49" t="s">
        <v>7</v>
      </c>
      <c r="AU8" s="49"/>
      <c r="AV8" s="49" t="s">
        <v>7</v>
      </c>
      <c r="AW8" s="49" t="s">
        <v>7</v>
      </c>
      <c r="AX8" s="49"/>
      <c r="AY8" s="49" t="s">
        <v>7</v>
      </c>
      <c r="AZ8" s="49" t="s">
        <v>7</v>
      </c>
      <c r="BA8" s="49"/>
      <c r="BB8" s="49" t="s">
        <v>7</v>
      </c>
      <c r="BC8" s="49" t="s">
        <v>7</v>
      </c>
      <c r="BD8" s="49"/>
      <c r="BE8" s="49" t="s">
        <v>7</v>
      </c>
      <c r="BF8" s="49" t="s">
        <v>7</v>
      </c>
      <c r="BG8" s="49"/>
      <c r="BH8" s="49" t="s">
        <v>7</v>
      </c>
      <c r="BI8" s="49" t="s">
        <v>7</v>
      </c>
      <c r="BJ8" s="49"/>
      <c r="BK8" s="49" t="s">
        <v>7</v>
      </c>
      <c r="BL8" s="49" t="s">
        <v>7</v>
      </c>
      <c r="BM8" s="49"/>
      <c r="BN8" s="49" t="s">
        <v>8</v>
      </c>
      <c r="BO8" s="49" t="s">
        <v>9</v>
      </c>
      <c r="BP8" s="49"/>
    </row>
    <row r="9" spans="1:68" ht="15.75" customHeight="1">
      <c r="A9" s="39"/>
      <c r="B9" s="39"/>
      <c r="C9" s="49" t="s">
        <v>10</v>
      </c>
      <c r="D9" s="49" t="s">
        <v>9</v>
      </c>
      <c r="E9" s="49"/>
      <c r="F9" s="49" t="s">
        <v>10</v>
      </c>
      <c r="G9" s="49" t="s">
        <v>9</v>
      </c>
      <c r="H9" s="49"/>
      <c r="I9" s="49" t="s">
        <v>10</v>
      </c>
      <c r="J9" s="49" t="s">
        <v>9</v>
      </c>
      <c r="K9" s="49"/>
      <c r="L9" s="49" t="s">
        <v>10</v>
      </c>
      <c r="M9" s="49" t="s">
        <v>9</v>
      </c>
      <c r="N9" s="49"/>
      <c r="O9" s="49" t="s">
        <v>10</v>
      </c>
      <c r="P9" s="49" t="s">
        <v>9</v>
      </c>
      <c r="Q9" s="49"/>
      <c r="R9" s="49" t="s">
        <v>10</v>
      </c>
      <c r="S9" s="49" t="s">
        <v>9</v>
      </c>
      <c r="T9" s="49"/>
      <c r="U9" s="49" t="s">
        <v>10</v>
      </c>
      <c r="V9" s="49" t="s">
        <v>9</v>
      </c>
      <c r="W9" s="49"/>
      <c r="X9" s="49" t="s">
        <v>10</v>
      </c>
      <c r="Y9" s="49" t="s">
        <v>9</v>
      </c>
      <c r="Z9" s="49"/>
      <c r="AA9" s="49" t="s">
        <v>10</v>
      </c>
      <c r="AB9" s="49" t="s">
        <v>9</v>
      </c>
      <c r="AC9" s="49"/>
      <c r="AD9" s="49" t="s">
        <v>10</v>
      </c>
      <c r="AE9" s="49" t="s">
        <v>9</v>
      </c>
      <c r="AF9" s="49"/>
      <c r="AG9" s="49" t="s">
        <v>10</v>
      </c>
      <c r="AH9" s="49" t="s">
        <v>9</v>
      </c>
      <c r="AI9" s="49"/>
      <c r="AJ9" s="49" t="s">
        <v>10</v>
      </c>
      <c r="AK9" s="49" t="s">
        <v>9</v>
      </c>
      <c r="AL9" s="49"/>
      <c r="AM9" s="49" t="s">
        <v>10</v>
      </c>
      <c r="AN9" s="49" t="s">
        <v>9</v>
      </c>
      <c r="AO9" s="49"/>
      <c r="AP9" s="49" t="s">
        <v>10</v>
      </c>
      <c r="AQ9" s="49" t="s">
        <v>9</v>
      </c>
      <c r="AR9" s="49"/>
      <c r="AS9" s="49" t="s">
        <v>10</v>
      </c>
      <c r="AT9" s="49" t="s">
        <v>9</v>
      </c>
      <c r="AU9" s="49"/>
      <c r="AV9" s="49" t="s">
        <v>10</v>
      </c>
      <c r="AW9" s="49" t="s">
        <v>9</v>
      </c>
      <c r="AX9" s="49"/>
      <c r="AY9" s="49" t="s">
        <v>10</v>
      </c>
      <c r="AZ9" s="49" t="s">
        <v>9</v>
      </c>
      <c r="BA9" s="49"/>
      <c r="BB9" s="49" t="s">
        <v>10</v>
      </c>
      <c r="BC9" s="49" t="s">
        <v>9</v>
      </c>
      <c r="BD9" s="49"/>
      <c r="BE9" s="49" t="s">
        <v>10</v>
      </c>
      <c r="BF9" s="49" t="s">
        <v>9</v>
      </c>
      <c r="BG9" s="49"/>
      <c r="BH9" s="49" t="s">
        <v>10</v>
      </c>
      <c r="BI9" s="49" t="s">
        <v>9</v>
      </c>
      <c r="BJ9" s="49"/>
      <c r="BK9" s="49" t="s">
        <v>10</v>
      </c>
      <c r="BL9" s="49" t="s">
        <v>9</v>
      </c>
      <c r="BM9" s="49"/>
      <c r="BN9" s="49" t="s">
        <v>7</v>
      </c>
      <c r="BO9" s="49" t="s">
        <v>11</v>
      </c>
      <c r="BP9" s="49"/>
    </row>
    <row r="10" spans="1:69" ht="15.75" customHeight="1">
      <c r="A10" s="39"/>
      <c r="B10" s="39"/>
      <c r="C10" s="39"/>
      <c r="D10" s="49" t="s">
        <v>12</v>
      </c>
      <c r="E10" s="49"/>
      <c r="F10" s="39"/>
      <c r="G10" s="49" t="s">
        <v>12</v>
      </c>
      <c r="H10" s="49"/>
      <c r="I10" s="39"/>
      <c r="J10" s="49" t="s">
        <v>12</v>
      </c>
      <c r="K10" s="39"/>
      <c r="L10" s="39"/>
      <c r="M10" s="49" t="s">
        <v>12</v>
      </c>
      <c r="N10" s="49"/>
      <c r="O10" s="39"/>
      <c r="P10" s="49" t="s">
        <v>12</v>
      </c>
      <c r="Q10" s="49"/>
      <c r="R10" s="39"/>
      <c r="S10" s="49" t="s">
        <v>12</v>
      </c>
      <c r="T10" s="49"/>
      <c r="U10" s="39"/>
      <c r="V10" s="49" t="s">
        <v>12</v>
      </c>
      <c r="W10" s="49"/>
      <c r="X10" s="39"/>
      <c r="Y10" s="49" t="s">
        <v>12</v>
      </c>
      <c r="Z10" s="49"/>
      <c r="AA10" s="39"/>
      <c r="AB10" s="49" t="s">
        <v>12</v>
      </c>
      <c r="AC10" s="49"/>
      <c r="AD10" s="39"/>
      <c r="AE10" s="49" t="s">
        <v>12</v>
      </c>
      <c r="AF10" s="49"/>
      <c r="AG10" s="39"/>
      <c r="AH10" s="49" t="s">
        <v>12</v>
      </c>
      <c r="AI10" s="49"/>
      <c r="AJ10" s="39"/>
      <c r="AK10" s="49" t="s">
        <v>12</v>
      </c>
      <c r="AL10" s="49"/>
      <c r="AM10" s="39"/>
      <c r="AN10" s="49" t="s">
        <v>12</v>
      </c>
      <c r="AO10" s="49"/>
      <c r="AP10" s="39"/>
      <c r="AQ10" s="49" t="s">
        <v>12</v>
      </c>
      <c r="AR10" s="49"/>
      <c r="AS10" s="39"/>
      <c r="AT10" s="49" t="s">
        <v>12</v>
      </c>
      <c r="AU10" s="49"/>
      <c r="AV10" s="39"/>
      <c r="AW10" s="49" t="s">
        <v>12</v>
      </c>
      <c r="AX10" s="49"/>
      <c r="AY10" s="39"/>
      <c r="AZ10" s="49" t="s">
        <v>12</v>
      </c>
      <c r="BA10" s="49"/>
      <c r="BB10" s="39"/>
      <c r="BC10" s="49" t="s">
        <v>12</v>
      </c>
      <c r="BD10" s="49"/>
      <c r="BE10" s="39"/>
      <c r="BF10" s="49" t="s">
        <v>12</v>
      </c>
      <c r="BG10" s="49"/>
      <c r="BH10" s="39"/>
      <c r="BI10" s="49" t="s">
        <v>12</v>
      </c>
      <c r="BJ10" s="49"/>
      <c r="BK10" s="39"/>
      <c r="BL10" s="49" t="s">
        <v>12</v>
      </c>
      <c r="BM10" s="49"/>
      <c r="BN10" s="49" t="s">
        <v>10</v>
      </c>
      <c r="BO10" s="49" t="s">
        <v>12</v>
      </c>
      <c r="BP10" s="49"/>
      <c r="BQ10" s="62"/>
    </row>
    <row r="11" spans="1:68" ht="15.75" customHeight="1" thickBo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</row>
    <row r="12" spans="1:68" ht="16.5" customHeight="1" thickTop="1">
      <c r="A12" s="31" t="s">
        <v>2</v>
      </c>
      <c r="B12" s="32"/>
      <c r="C12" s="33"/>
      <c r="D12" s="32"/>
      <c r="E12" s="32"/>
      <c r="F12" s="33"/>
      <c r="G12" s="32"/>
      <c r="H12" s="32"/>
      <c r="I12" s="33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</row>
    <row r="13" spans="1:71" ht="15.75" customHeight="1">
      <c r="A13" s="35">
        <v>1</v>
      </c>
      <c r="B13" s="36" t="s">
        <v>14</v>
      </c>
      <c r="C13" s="37">
        <v>104.75</v>
      </c>
      <c r="D13" s="38">
        <v>74.9</v>
      </c>
      <c r="E13" s="39"/>
      <c r="F13" s="37">
        <v>104.3</v>
      </c>
      <c r="G13" s="38">
        <v>74.98</v>
      </c>
      <c r="H13" s="39"/>
      <c r="I13" s="37">
        <v>104.67</v>
      </c>
      <c r="J13" s="38">
        <v>75.37</v>
      </c>
      <c r="K13" s="39"/>
      <c r="L13" s="37">
        <v>106.13</v>
      </c>
      <c r="M13" s="38">
        <v>74.57</v>
      </c>
      <c r="N13" s="39"/>
      <c r="O13" s="37">
        <v>106.15</v>
      </c>
      <c r="P13" s="38">
        <v>73.77</v>
      </c>
      <c r="Q13" s="39"/>
      <c r="R13" s="37">
        <v>105.74</v>
      </c>
      <c r="S13" s="38">
        <v>73.11</v>
      </c>
      <c r="T13" s="39"/>
      <c r="U13" s="37">
        <v>106.88</v>
      </c>
      <c r="V13" s="38">
        <v>73.41</v>
      </c>
      <c r="W13" s="39"/>
      <c r="X13" s="37">
        <v>107.36</v>
      </c>
      <c r="Y13" s="38">
        <v>73.31</v>
      </c>
      <c r="Z13" s="39"/>
      <c r="AA13" s="37">
        <v>107.58</v>
      </c>
      <c r="AB13" s="38">
        <v>73.41</v>
      </c>
      <c r="AC13" s="39"/>
      <c r="AD13" s="37">
        <v>108.21</v>
      </c>
      <c r="AE13" s="38">
        <v>73.34</v>
      </c>
      <c r="AF13" s="39"/>
      <c r="AG13" s="37">
        <v>108.31</v>
      </c>
      <c r="AH13" s="38">
        <v>73.03</v>
      </c>
      <c r="AI13" s="39"/>
      <c r="AJ13" s="37">
        <v>108.1</v>
      </c>
      <c r="AK13" s="38">
        <v>72.83</v>
      </c>
      <c r="AL13" s="39"/>
      <c r="AM13" s="37">
        <v>108.32</v>
      </c>
      <c r="AN13" s="38">
        <v>72.73</v>
      </c>
      <c r="AO13" s="39"/>
      <c r="AP13" s="37">
        <v>107.78</v>
      </c>
      <c r="AQ13" s="38">
        <v>73.03</v>
      </c>
      <c r="AR13" s="39"/>
      <c r="AS13" s="37">
        <v>107.79</v>
      </c>
      <c r="AT13" s="38">
        <v>72.79</v>
      </c>
      <c r="AU13" s="39"/>
      <c r="AV13" s="37">
        <v>107.66</v>
      </c>
      <c r="AW13" s="38">
        <v>72.96</v>
      </c>
      <c r="AX13" s="39"/>
      <c r="AY13" s="37">
        <v>107.91</v>
      </c>
      <c r="AZ13" s="38">
        <v>72.65</v>
      </c>
      <c r="BA13" s="39"/>
      <c r="BB13" s="37">
        <v>107.97</v>
      </c>
      <c r="BC13" s="38">
        <v>72.6</v>
      </c>
      <c r="BD13" s="39"/>
      <c r="BE13" s="37">
        <v>107.81</v>
      </c>
      <c r="BF13" s="38">
        <v>72.32</v>
      </c>
      <c r="BG13" s="39"/>
      <c r="BH13" s="37">
        <v>106.22</v>
      </c>
      <c r="BI13" s="38">
        <v>72.97</v>
      </c>
      <c r="BJ13" s="39"/>
      <c r="BK13" s="37">
        <v>105.24</v>
      </c>
      <c r="BL13" s="38">
        <v>73.33</v>
      </c>
      <c r="BM13" s="39"/>
      <c r="BN13" s="50">
        <f>(C13+F13+I13+L13+O13+R13+U13+X13+AA13+AD13+AG13+AJ13+AM13+AP13+AS13+AV13+AY13+BB13+BE13+BH13+BK13)/21</f>
        <v>106.89904761904761</v>
      </c>
      <c r="BO13" s="50">
        <f>(D13+G13+J13+M13+P13+S13+V13+Y13+AB13+AE13+AH13+AK13+AN13+AQ13+AT13+AW13+AZ13+BC13+BF13+BI13+BL13)/21</f>
        <v>73.4004761904762</v>
      </c>
      <c r="BP13" s="39"/>
      <c r="BR13" s="80"/>
      <c r="BS13" s="80"/>
    </row>
    <row r="14" spans="1:74" s="47" customFormat="1" ht="15.75" customHeight="1">
      <c r="A14" s="40">
        <v>2</v>
      </c>
      <c r="B14" s="41" t="s">
        <v>15</v>
      </c>
      <c r="C14" s="25">
        <f>1/1.9614</f>
        <v>0.5098399102681758</v>
      </c>
      <c r="D14" s="26">
        <v>153.89</v>
      </c>
      <c r="E14" s="24"/>
      <c r="F14" s="25">
        <f>1/1.9659</f>
        <v>0.5086728724757109</v>
      </c>
      <c r="G14" s="26">
        <v>153.75</v>
      </c>
      <c r="H14" s="24"/>
      <c r="I14" s="25">
        <f>1/1.9558</f>
        <v>0.5112997238981491</v>
      </c>
      <c r="J14" s="26">
        <v>154.29</v>
      </c>
      <c r="K14" s="24"/>
      <c r="L14" s="25">
        <f>1/1.9467</f>
        <v>0.5136898340781836</v>
      </c>
      <c r="M14" s="26">
        <v>154.05</v>
      </c>
      <c r="N14" s="24"/>
      <c r="O14" s="25">
        <f>1/1.955</f>
        <v>0.5115089514066496</v>
      </c>
      <c r="P14" s="26">
        <v>153.09</v>
      </c>
      <c r="Q14" s="24"/>
      <c r="R14" s="25">
        <f>1/1.9761</f>
        <v>0.5060472648145337</v>
      </c>
      <c r="S14" s="26">
        <v>152.77</v>
      </c>
      <c r="T14" s="24"/>
      <c r="U14" s="25">
        <f>1/1.9586</f>
        <v>0.5105687736138058</v>
      </c>
      <c r="V14" s="26">
        <v>153.66</v>
      </c>
      <c r="W14" s="24"/>
      <c r="X14" s="25">
        <f>1/1.9556</f>
        <v>0.511352014726938</v>
      </c>
      <c r="Y14" s="26">
        <v>153.92</v>
      </c>
      <c r="Z14" s="24"/>
      <c r="AA14" s="25">
        <f>1/1.9504</f>
        <v>0.5127153404429861</v>
      </c>
      <c r="AB14" s="26">
        <v>154.02</v>
      </c>
      <c r="AC14" s="24"/>
      <c r="AD14" s="25">
        <f>1/1.9472</f>
        <v>0.5135579293344289</v>
      </c>
      <c r="AE14" s="26">
        <v>154.54</v>
      </c>
      <c r="AF14" s="24"/>
      <c r="AG14" s="25">
        <f>1/1.9589</f>
        <v>0.5104905814487722</v>
      </c>
      <c r="AH14" s="26">
        <v>154.95</v>
      </c>
      <c r="AI14" s="24"/>
      <c r="AJ14" s="25">
        <f>1/1.9554</f>
        <v>0.5114043162524292</v>
      </c>
      <c r="AK14" s="26">
        <v>153.95</v>
      </c>
      <c r="AL14" s="24"/>
      <c r="AM14" s="25">
        <f>1/1.9485</f>
        <v>0.5132152938157557</v>
      </c>
      <c r="AN14" s="26">
        <v>153.5</v>
      </c>
      <c r="AO14" s="24"/>
      <c r="AP14" s="25">
        <f>1/1.9669</f>
        <v>0.5084142559357364</v>
      </c>
      <c r="AQ14" s="26">
        <v>154.81</v>
      </c>
      <c r="AR14" s="24"/>
      <c r="AS14" s="25">
        <f>1/1.9719</f>
        <v>0.5071251077640854</v>
      </c>
      <c r="AT14" s="26">
        <v>154.72</v>
      </c>
      <c r="AU14" s="24"/>
      <c r="AV14" s="25">
        <f>1/1.9652</f>
        <v>0.5088540606554041</v>
      </c>
      <c r="AW14" s="26">
        <v>154.37</v>
      </c>
      <c r="AX14" s="24"/>
      <c r="AY14" s="25">
        <f>1/1.9663</f>
        <v>0.5085693942938514</v>
      </c>
      <c r="AZ14" s="26">
        <v>154.16</v>
      </c>
      <c r="BA14" s="24"/>
      <c r="BB14" s="25">
        <f>1/1.9686</f>
        <v>0.5079752108097125</v>
      </c>
      <c r="BC14" s="26">
        <v>154.31</v>
      </c>
      <c r="BD14" s="24"/>
      <c r="BE14" s="25">
        <f>1/1.9774</f>
        <v>0.5057145746940427</v>
      </c>
      <c r="BF14" s="26">
        <v>154.18</v>
      </c>
      <c r="BG14" s="24"/>
      <c r="BH14" s="25">
        <f>1/1.9857</f>
        <v>0.503600745329103</v>
      </c>
      <c r="BI14" s="26">
        <v>153.91</v>
      </c>
      <c r="BJ14" s="24"/>
      <c r="BK14" s="25">
        <f>1/1.9946</f>
        <v>0.501353654868144</v>
      </c>
      <c r="BL14" s="26">
        <v>153.93</v>
      </c>
      <c r="BM14" s="24"/>
      <c r="BN14" s="50">
        <f aca="true" t="shared" si="0" ref="BN14:BN25">(C14+F14+I14+L14+O14+R14+U14+X14+AA14+AD14+AG14+AJ14+AM14+AP14+AS14+AV14+AY14+BB14+BE14+BH14+BK14)/21</f>
        <v>0.5093318957584094</v>
      </c>
      <c r="BO14" s="50">
        <f aca="true" t="shared" si="1" ref="BO14:BO25">(D14+G14+J14+M14+P14+S14+V14+Y14+AB14+AE14+AH14+AK14+AN14+AQ14+AT14+AW14+AZ14+BC14+BF14+BI14+BL14)/21</f>
        <v>154.03666666666663</v>
      </c>
      <c r="BP14" s="24"/>
      <c r="BR14" s="81"/>
      <c r="BS14" s="81"/>
      <c r="BU14" s="34"/>
      <c r="BV14" s="34"/>
    </row>
    <row r="15" spans="1:71" ht="15.75" customHeight="1">
      <c r="A15" s="35">
        <v>3</v>
      </c>
      <c r="B15" s="36" t="s">
        <v>16</v>
      </c>
      <c r="C15" s="37">
        <v>1.0403</v>
      </c>
      <c r="D15" s="38">
        <v>75.42</v>
      </c>
      <c r="E15" s="39"/>
      <c r="F15" s="37">
        <v>1.0312</v>
      </c>
      <c r="G15" s="38">
        <v>75.84</v>
      </c>
      <c r="H15" s="39"/>
      <c r="I15" s="37">
        <v>1.0385</v>
      </c>
      <c r="J15" s="38">
        <v>75.96</v>
      </c>
      <c r="K15" s="39"/>
      <c r="L15" s="37">
        <v>1.0505</v>
      </c>
      <c r="M15" s="38">
        <v>75.33</v>
      </c>
      <c r="N15" s="39"/>
      <c r="O15" s="37">
        <v>1.0399</v>
      </c>
      <c r="P15" s="38">
        <v>75.3</v>
      </c>
      <c r="Q15" s="39"/>
      <c r="R15" s="37">
        <v>1.0196</v>
      </c>
      <c r="S15" s="38">
        <v>75.82</v>
      </c>
      <c r="T15" s="39"/>
      <c r="U15" s="37">
        <v>1.0365</v>
      </c>
      <c r="V15" s="38">
        <v>75.69</v>
      </c>
      <c r="W15" s="39"/>
      <c r="X15" s="37">
        <v>1.039</v>
      </c>
      <c r="Y15" s="38">
        <v>75.75</v>
      </c>
      <c r="Z15" s="39"/>
      <c r="AA15" s="37">
        <v>1.0418</v>
      </c>
      <c r="AB15" s="38">
        <v>75.8</v>
      </c>
      <c r="AC15" s="39"/>
      <c r="AD15" s="37">
        <v>1.0496</v>
      </c>
      <c r="AE15" s="38">
        <v>75.61</v>
      </c>
      <c r="AF15" s="39"/>
      <c r="AG15" s="37">
        <v>1.0458</v>
      </c>
      <c r="AH15" s="38">
        <v>75.64</v>
      </c>
      <c r="AI15" s="39"/>
      <c r="AJ15" s="37">
        <v>1.0415</v>
      </c>
      <c r="AK15" s="38">
        <v>75.6</v>
      </c>
      <c r="AL15" s="39"/>
      <c r="AM15" s="37">
        <v>1.0453</v>
      </c>
      <c r="AN15" s="38">
        <v>75.36</v>
      </c>
      <c r="AO15" s="39"/>
      <c r="AP15" s="37">
        <v>1.0432</v>
      </c>
      <c r="AQ15" s="38">
        <v>75.45</v>
      </c>
      <c r="AR15" s="39"/>
      <c r="AS15" s="37">
        <v>1.04</v>
      </c>
      <c r="AT15" s="38">
        <v>75.45</v>
      </c>
      <c r="AU15" s="39"/>
      <c r="AV15" s="37">
        <v>1.0422</v>
      </c>
      <c r="AW15" s="38">
        <v>75.37</v>
      </c>
      <c r="AX15" s="39"/>
      <c r="AY15" s="37">
        <v>1.0413</v>
      </c>
      <c r="AZ15" s="38">
        <v>75.29</v>
      </c>
      <c r="BA15" s="39"/>
      <c r="BB15" s="37">
        <v>1.0415</v>
      </c>
      <c r="BC15" s="38">
        <v>75.26</v>
      </c>
      <c r="BD15" s="39"/>
      <c r="BE15" s="37">
        <v>1.034</v>
      </c>
      <c r="BF15" s="38">
        <v>75.41</v>
      </c>
      <c r="BG15" s="39"/>
      <c r="BH15" s="37">
        <v>1.0184</v>
      </c>
      <c r="BI15" s="38">
        <v>76.11</v>
      </c>
      <c r="BJ15" s="39"/>
      <c r="BK15" s="37">
        <v>1.0152</v>
      </c>
      <c r="BL15" s="38">
        <v>76.02</v>
      </c>
      <c r="BM15" s="39"/>
      <c r="BN15" s="50">
        <f t="shared" si="0"/>
        <v>1.0378714285714286</v>
      </c>
      <c r="BO15" s="50">
        <f t="shared" si="1"/>
        <v>75.5942857142857</v>
      </c>
      <c r="BP15" s="39"/>
      <c r="BR15" s="80"/>
      <c r="BS15" s="80"/>
    </row>
    <row r="16" spans="1:71" ht="15.75" customHeight="1">
      <c r="A16" s="35">
        <v>4</v>
      </c>
      <c r="B16" s="36" t="s">
        <v>17</v>
      </c>
      <c r="C16" s="37">
        <f>1/1.5552</f>
        <v>0.6430041152263375</v>
      </c>
      <c r="D16" s="38">
        <v>122.03</v>
      </c>
      <c r="E16" s="39"/>
      <c r="F16" s="37">
        <f>1/1.5604</f>
        <v>0.640861317610869</v>
      </c>
      <c r="G16" s="38">
        <v>122.02</v>
      </c>
      <c r="H16" s="39"/>
      <c r="I16" s="37">
        <f>1/1.5467</f>
        <v>0.6465377901338334</v>
      </c>
      <c r="J16" s="38">
        <v>122.07</v>
      </c>
      <c r="K16" s="39"/>
      <c r="L16" s="37">
        <f>1/1.5388</f>
        <v>0.6498570314530804</v>
      </c>
      <c r="M16" s="38">
        <v>122.01</v>
      </c>
      <c r="N16" s="39"/>
      <c r="O16" s="37">
        <f>1/1.5583</f>
        <v>0.6417249566835654</v>
      </c>
      <c r="P16" s="38">
        <v>122.07</v>
      </c>
      <c r="Q16" s="39"/>
      <c r="R16" s="37">
        <f>1/1.5799</f>
        <v>0.6329514526235838</v>
      </c>
      <c r="S16" s="38">
        <v>122.11</v>
      </c>
      <c r="T16" s="39"/>
      <c r="U16" s="37">
        <f>1/1.5536</f>
        <v>0.6436663233779608</v>
      </c>
      <c r="V16" s="38">
        <v>121.98</v>
      </c>
      <c r="W16" s="39"/>
      <c r="X16" s="37">
        <f>1/1.5507</f>
        <v>0.6448700586831754</v>
      </c>
      <c r="Y16" s="38">
        <v>122.05</v>
      </c>
      <c r="Z16" s="39"/>
      <c r="AA16" s="37">
        <f>1/1.5433</f>
        <v>0.6479621590099138</v>
      </c>
      <c r="AB16" s="38">
        <v>121.96</v>
      </c>
      <c r="AC16" s="39"/>
      <c r="AD16" s="37">
        <f>1/1.5349</f>
        <v>0.651508241579256</v>
      </c>
      <c r="AE16" s="38">
        <v>121.95</v>
      </c>
      <c r="AF16" s="39"/>
      <c r="AG16" s="37">
        <f>1/1.5428</f>
        <v>0.6481721545242417</v>
      </c>
      <c r="AH16" s="38">
        <v>121.99</v>
      </c>
      <c r="AI16" s="39"/>
      <c r="AJ16" s="37">
        <f>1/1.5506</f>
        <v>0.6449116471043467</v>
      </c>
      <c r="AK16" s="38">
        <v>122.05</v>
      </c>
      <c r="AL16" s="39"/>
      <c r="AM16" s="37">
        <f>1/1.5477</f>
        <v>0.6461200491051237</v>
      </c>
      <c r="AN16" s="38">
        <v>122.01</v>
      </c>
      <c r="AO16" s="39"/>
      <c r="AP16" s="37">
        <f>1/1.5488</f>
        <v>0.6456611570247934</v>
      </c>
      <c r="AQ16" s="38">
        <v>122.06</v>
      </c>
      <c r="AR16" s="39"/>
      <c r="AS16" s="37">
        <f>1/1.5563</f>
        <v>0.6425496369594551</v>
      </c>
      <c r="AT16" s="38">
        <v>122.08</v>
      </c>
      <c r="AU16" s="39"/>
      <c r="AV16" s="37">
        <f>1/1.5533</f>
        <v>0.6437906392841048</v>
      </c>
      <c r="AW16" s="38">
        <v>121.99</v>
      </c>
      <c r="AX16" s="39"/>
      <c r="AY16" s="37">
        <f>1/1.5565</f>
        <v>0.6424670735624799</v>
      </c>
      <c r="AZ16" s="38">
        <v>121.99</v>
      </c>
      <c r="BA16" s="39"/>
      <c r="BB16" s="37">
        <f>1/1.557</f>
        <v>0.6422607578676943</v>
      </c>
      <c r="BC16" s="38">
        <v>122.07</v>
      </c>
      <c r="BD16" s="39"/>
      <c r="BE16" s="37">
        <f>1/1.5671</f>
        <v>0.6381213706847042</v>
      </c>
      <c r="BF16" s="38">
        <v>122.12</v>
      </c>
      <c r="BG16" s="39"/>
      <c r="BH16" s="37">
        <f>1/1.5768</f>
        <v>0.6341958396752917</v>
      </c>
      <c r="BI16" s="38">
        <v>122.07</v>
      </c>
      <c r="BJ16" s="39"/>
      <c r="BK16" s="37">
        <f>1/1.5814</f>
        <v>0.6323510813203491</v>
      </c>
      <c r="BL16" s="38">
        <v>122.05</v>
      </c>
      <c r="BM16" s="39"/>
      <c r="BN16" s="50">
        <f t="shared" si="0"/>
        <v>0.6430259454044839</v>
      </c>
      <c r="BO16" s="50">
        <f t="shared" si="1"/>
        <v>122.03476190476191</v>
      </c>
      <c r="BP16" s="39"/>
      <c r="BR16" s="80"/>
      <c r="BS16" s="80"/>
    </row>
    <row r="17" spans="1:71" ht="15.75" customHeight="1">
      <c r="A17" s="35">
        <v>5</v>
      </c>
      <c r="B17" s="36" t="s">
        <v>18</v>
      </c>
      <c r="C17" s="37">
        <v>892</v>
      </c>
      <c r="D17" s="38">
        <v>69984.09</v>
      </c>
      <c r="E17" s="39"/>
      <c r="F17" s="37">
        <v>894</v>
      </c>
      <c r="G17" s="38">
        <v>69916.39</v>
      </c>
      <c r="H17" s="39"/>
      <c r="I17" s="37">
        <v>877.5</v>
      </c>
      <c r="J17" s="38">
        <v>69225.43</v>
      </c>
      <c r="K17" s="39"/>
      <c r="L17" s="37">
        <v>868.65</v>
      </c>
      <c r="M17" s="38">
        <v>68741.7</v>
      </c>
      <c r="N17" s="39"/>
      <c r="O17" s="37">
        <v>882.95</v>
      </c>
      <c r="P17" s="38">
        <v>69142.71</v>
      </c>
      <c r="Q17" s="39"/>
      <c r="R17" s="37">
        <v>902.5</v>
      </c>
      <c r="S17" s="38">
        <v>69772.28</v>
      </c>
      <c r="T17" s="39"/>
      <c r="U17" s="37">
        <v>885.4</v>
      </c>
      <c r="V17" s="38">
        <v>69465.16</v>
      </c>
      <c r="W17" s="39"/>
      <c r="X17" s="37">
        <v>874.4</v>
      </c>
      <c r="Y17" s="38">
        <v>68823.48</v>
      </c>
      <c r="Z17" s="39"/>
      <c r="AA17" s="37">
        <v>870.8</v>
      </c>
      <c r="AB17" s="38">
        <v>68767.62</v>
      </c>
      <c r="AC17" s="39"/>
      <c r="AD17" s="37">
        <v>863.8</v>
      </c>
      <c r="AE17" s="38">
        <v>68555.49</v>
      </c>
      <c r="AF17" s="39"/>
      <c r="AG17" s="37">
        <v>873.2</v>
      </c>
      <c r="AH17" s="38">
        <v>69071.76</v>
      </c>
      <c r="AI17" s="39"/>
      <c r="AJ17" s="37">
        <v>884.75</v>
      </c>
      <c r="AK17" s="38">
        <v>69659.13</v>
      </c>
      <c r="AL17" s="39"/>
      <c r="AM17" s="37">
        <v>883.3</v>
      </c>
      <c r="AN17" s="38">
        <v>69584.72</v>
      </c>
      <c r="AO17" s="39"/>
      <c r="AP17" s="37">
        <v>893</v>
      </c>
      <c r="AQ17" s="52">
        <v>70286.36</v>
      </c>
      <c r="AR17" s="39"/>
      <c r="AS17" s="37">
        <v>900.4</v>
      </c>
      <c r="AT17" s="52">
        <v>70648.76</v>
      </c>
      <c r="AU17" s="39"/>
      <c r="AV17" s="37">
        <v>904.85</v>
      </c>
      <c r="AW17" s="52">
        <v>71075.97</v>
      </c>
      <c r="AX17" s="39"/>
      <c r="AY17" s="37">
        <v>888.4</v>
      </c>
      <c r="AZ17" s="52">
        <v>69649.45</v>
      </c>
      <c r="BA17" s="39"/>
      <c r="BB17" s="37">
        <v>886.3</v>
      </c>
      <c r="BC17" s="52">
        <v>69470.96</v>
      </c>
      <c r="BD17" s="39"/>
      <c r="BE17" s="37">
        <v>890.6</v>
      </c>
      <c r="BF17" s="52">
        <v>69441.2</v>
      </c>
      <c r="BG17" s="39"/>
      <c r="BH17" s="37">
        <v>922.5</v>
      </c>
      <c r="BI17" s="52">
        <v>71501.25</v>
      </c>
      <c r="BJ17" s="39"/>
      <c r="BK17" s="37">
        <v>932.2</v>
      </c>
      <c r="BL17" s="52">
        <v>71939.04</v>
      </c>
      <c r="BM17" s="39"/>
      <c r="BN17" s="50">
        <f t="shared" si="0"/>
        <v>889.1190476190476</v>
      </c>
      <c r="BO17" s="50">
        <f t="shared" si="1"/>
        <v>69748.7119047619</v>
      </c>
      <c r="BP17" s="39"/>
      <c r="BR17" s="80"/>
      <c r="BS17" s="80"/>
    </row>
    <row r="18" spans="1:71" ht="15.75" customHeight="1">
      <c r="A18" s="35">
        <v>6</v>
      </c>
      <c r="B18" s="42" t="s">
        <v>19</v>
      </c>
      <c r="C18" s="37">
        <v>16.92</v>
      </c>
      <c r="D18" s="38">
        <v>1327.5</v>
      </c>
      <c r="E18" s="39"/>
      <c r="F18" s="37">
        <v>16.77</v>
      </c>
      <c r="G18" s="38">
        <v>1311.52</v>
      </c>
      <c r="H18" s="39"/>
      <c r="I18" s="37">
        <v>16.63</v>
      </c>
      <c r="J18" s="38">
        <v>1311.93</v>
      </c>
      <c r="K18" s="39"/>
      <c r="L18" s="37">
        <v>16.59</v>
      </c>
      <c r="M18" s="38">
        <v>1312.87</v>
      </c>
      <c r="N18" s="39"/>
      <c r="O18" s="37">
        <v>17.22</v>
      </c>
      <c r="P18" s="38">
        <v>1348.48</v>
      </c>
      <c r="Q18" s="39"/>
      <c r="R18" s="37">
        <v>17.46</v>
      </c>
      <c r="S18" s="38">
        <v>1349.83</v>
      </c>
      <c r="T18" s="39"/>
      <c r="U18" s="37">
        <v>17.04</v>
      </c>
      <c r="V18" s="38">
        <v>1336.89</v>
      </c>
      <c r="W18" s="39"/>
      <c r="X18" s="37">
        <v>16.59</v>
      </c>
      <c r="Y18" s="38">
        <v>1305.79</v>
      </c>
      <c r="Z18" s="39"/>
      <c r="AA18" s="37">
        <v>16.64</v>
      </c>
      <c r="AB18" s="38">
        <v>1314.07</v>
      </c>
      <c r="AC18" s="39"/>
      <c r="AD18" s="37">
        <v>16.39</v>
      </c>
      <c r="AE18" s="38">
        <v>1300.79</v>
      </c>
      <c r="AF18" s="39"/>
      <c r="AG18" s="37">
        <v>16.57</v>
      </c>
      <c r="AH18" s="38">
        <v>1310.72</v>
      </c>
      <c r="AI18" s="39"/>
      <c r="AJ18" s="37">
        <v>17.25</v>
      </c>
      <c r="AK18" s="38">
        <v>1358.15</v>
      </c>
      <c r="AL18" s="39"/>
      <c r="AM18" s="37">
        <v>17.06</v>
      </c>
      <c r="AN18" s="38">
        <v>1343.95</v>
      </c>
      <c r="AO18" s="39"/>
      <c r="AP18" s="37">
        <v>17.3</v>
      </c>
      <c r="AQ18" s="38">
        <v>1361.65</v>
      </c>
      <c r="AR18" s="39"/>
      <c r="AS18" s="37">
        <v>17.39</v>
      </c>
      <c r="AT18" s="38">
        <v>1364.48</v>
      </c>
      <c r="AU18" s="39"/>
      <c r="AV18" s="37">
        <v>17.39</v>
      </c>
      <c r="AW18" s="38">
        <v>1365.98</v>
      </c>
      <c r="AX18" s="39"/>
      <c r="AY18" s="37">
        <v>16.82</v>
      </c>
      <c r="AZ18" s="38">
        <v>1318.67</v>
      </c>
      <c r="BA18" s="39"/>
      <c r="BB18" s="37">
        <v>16.72</v>
      </c>
      <c r="BC18" s="38">
        <v>1310.57</v>
      </c>
      <c r="BD18" s="39"/>
      <c r="BE18" s="37">
        <v>16.84</v>
      </c>
      <c r="BF18" s="38">
        <v>1313.04</v>
      </c>
      <c r="BG18" s="39"/>
      <c r="BH18" s="37">
        <v>17.4</v>
      </c>
      <c r="BI18" s="38">
        <v>1348.64</v>
      </c>
      <c r="BJ18" s="39"/>
      <c r="BK18" s="37">
        <v>17.76</v>
      </c>
      <c r="BL18" s="38">
        <v>1370.56</v>
      </c>
      <c r="BM18" s="39"/>
      <c r="BN18" s="50">
        <f t="shared" si="0"/>
        <v>16.988095238095234</v>
      </c>
      <c r="BO18" s="50">
        <f t="shared" si="1"/>
        <v>1332.6704761904762</v>
      </c>
      <c r="BP18" s="39"/>
      <c r="BR18" s="80"/>
      <c r="BS18" s="80"/>
    </row>
    <row r="19" spans="1:71" ht="15.75" customHeight="1">
      <c r="A19" s="35">
        <v>7</v>
      </c>
      <c r="B19" s="36" t="s">
        <v>20</v>
      </c>
      <c r="C19" s="37">
        <f>1/0.9532</f>
        <v>1.049097775912715</v>
      </c>
      <c r="D19" s="38">
        <v>74.79</v>
      </c>
      <c r="E19" s="39"/>
      <c r="F19" s="37">
        <f>1/0.9594</f>
        <v>1.0423181154888472</v>
      </c>
      <c r="G19" s="38">
        <v>75.03</v>
      </c>
      <c r="H19" s="39"/>
      <c r="I19" s="37">
        <f>1/0.959</f>
        <v>1.0427528675703859</v>
      </c>
      <c r="J19" s="38">
        <v>75.65</v>
      </c>
      <c r="K19" s="39"/>
      <c r="L19" s="37">
        <f>1/0.9533</f>
        <v>1.0489877268435959</v>
      </c>
      <c r="M19" s="38">
        <v>75.44</v>
      </c>
      <c r="N19" s="39"/>
      <c r="O19" s="37">
        <f>1/0.9567</f>
        <v>1.0452597470471412</v>
      </c>
      <c r="P19" s="38">
        <v>74.92</v>
      </c>
      <c r="Q19" s="39"/>
      <c r="R19" s="37">
        <f>1/0.9617</f>
        <v>1.0398253093480296</v>
      </c>
      <c r="S19" s="38">
        <v>74.35</v>
      </c>
      <c r="T19" s="39"/>
      <c r="U19" s="37">
        <f>1/0.9487</f>
        <v>1.054073995994519</v>
      </c>
      <c r="V19" s="38">
        <v>74.43</v>
      </c>
      <c r="W19" s="39"/>
      <c r="X19" s="37">
        <f>1/0.948</f>
        <v>1.0548523206751055</v>
      </c>
      <c r="Y19" s="38">
        <v>74.62</v>
      </c>
      <c r="Z19" s="39"/>
      <c r="AA19" s="37">
        <f>1/0.9367</f>
        <v>1.0675776662752217</v>
      </c>
      <c r="AB19" s="38">
        <v>73.97</v>
      </c>
      <c r="AC19" s="39"/>
      <c r="AD19" s="37">
        <f>1/0.9346</f>
        <v>1.0699764605178685</v>
      </c>
      <c r="AE19" s="38">
        <v>74.17</v>
      </c>
      <c r="AF19" s="39"/>
      <c r="AG19" s="37">
        <f>1/0.9394</f>
        <v>1.0645092612305727</v>
      </c>
      <c r="AH19" s="38">
        <v>74.31</v>
      </c>
      <c r="AI19" s="39"/>
      <c r="AJ19" s="37">
        <f>1/0.9403</f>
        <v>1.0634903754121026</v>
      </c>
      <c r="AK19" s="38">
        <v>74.03</v>
      </c>
      <c r="AL19" s="39"/>
      <c r="AM19" s="37">
        <f>1/0.9412</f>
        <v>1.062473438164046</v>
      </c>
      <c r="AN19" s="38">
        <v>74.15</v>
      </c>
      <c r="AO19" s="39"/>
      <c r="AP19" s="37">
        <f>1/0.946</f>
        <v>1.0570824524312896</v>
      </c>
      <c r="AQ19" s="38">
        <v>74.46</v>
      </c>
      <c r="AR19" s="39"/>
      <c r="AS19" s="37">
        <f>1/0.9521</f>
        <v>1.050309841403214</v>
      </c>
      <c r="AT19" s="38">
        <v>74.71</v>
      </c>
      <c r="AU19" s="39"/>
      <c r="AV19" s="37">
        <f>1/0.9533</f>
        <v>1.0489877268435959</v>
      </c>
      <c r="AW19" s="38">
        <v>74.88</v>
      </c>
      <c r="AX19" s="39"/>
      <c r="AY19" s="37">
        <f>1/0.9544</f>
        <v>1.0477787091366304</v>
      </c>
      <c r="AZ19" s="38">
        <v>74.82</v>
      </c>
      <c r="BA19" s="39"/>
      <c r="BB19" s="37">
        <f>1/0.9558</f>
        <v>1.0462439840970914</v>
      </c>
      <c r="BC19" s="38">
        <v>74.92</v>
      </c>
      <c r="BD19" s="39"/>
      <c r="BE19" s="37">
        <f>1/0.9596</f>
        <v>1.0421008753647354</v>
      </c>
      <c r="BF19" s="38">
        <v>74.82</v>
      </c>
      <c r="BG19" s="39"/>
      <c r="BH19" s="37">
        <f>1/0.9618</f>
        <v>1.039717196922437</v>
      </c>
      <c r="BI19" s="38">
        <v>74.55</v>
      </c>
      <c r="BJ19" s="48"/>
      <c r="BK19" s="37">
        <f>1/0.9653</f>
        <v>1.035947373873407</v>
      </c>
      <c r="BL19" s="38">
        <v>74.49</v>
      </c>
      <c r="BM19" s="48"/>
      <c r="BN19" s="50">
        <f t="shared" si="0"/>
        <v>1.0511125343120262</v>
      </c>
      <c r="BO19" s="50">
        <f t="shared" si="1"/>
        <v>74.64333333333332</v>
      </c>
      <c r="BP19" s="48"/>
      <c r="BR19" s="80"/>
      <c r="BS19" s="80"/>
    </row>
    <row r="20" spans="1:71" ht="15.75" customHeight="1">
      <c r="A20" s="35">
        <v>8</v>
      </c>
      <c r="B20" s="36" t="s">
        <v>21</v>
      </c>
      <c r="C20" s="37">
        <v>0.9954</v>
      </c>
      <c r="D20" s="38">
        <v>78.82</v>
      </c>
      <c r="E20" s="39"/>
      <c r="F20" s="37">
        <v>0.9987</v>
      </c>
      <c r="G20" s="38">
        <v>78.31</v>
      </c>
      <c r="H20" s="39"/>
      <c r="I20" s="37">
        <v>1.0088</v>
      </c>
      <c r="J20" s="38">
        <v>78.2</v>
      </c>
      <c r="K20" s="39"/>
      <c r="L20" s="37">
        <v>1.019</v>
      </c>
      <c r="M20" s="38">
        <v>77.66</v>
      </c>
      <c r="N20" s="39"/>
      <c r="O20" s="37">
        <v>1.0187</v>
      </c>
      <c r="P20" s="38">
        <v>76.87</v>
      </c>
      <c r="Q20" s="39"/>
      <c r="R20" s="37">
        <v>1.021</v>
      </c>
      <c r="S20" s="38">
        <v>75.72</v>
      </c>
      <c r="T20" s="39"/>
      <c r="U20" s="37">
        <v>1.0301</v>
      </c>
      <c r="V20" s="38">
        <v>76.16</v>
      </c>
      <c r="W20" s="39"/>
      <c r="X20" s="37">
        <v>1.0188</v>
      </c>
      <c r="Y20" s="38">
        <v>77.26</v>
      </c>
      <c r="Z20" s="39"/>
      <c r="AA20" s="37">
        <v>1.024</v>
      </c>
      <c r="AB20" s="38">
        <v>77.12</v>
      </c>
      <c r="AC20" s="39"/>
      <c r="AD20" s="37">
        <v>1.026</v>
      </c>
      <c r="AE20" s="38">
        <v>77.35</v>
      </c>
      <c r="AF20" s="39"/>
      <c r="AG20" s="37">
        <v>1.0274</v>
      </c>
      <c r="AH20" s="38">
        <v>76.99</v>
      </c>
      <c r="AI20" s="39"/>
      <c r="AJ20" s="37">
        <v>1.0212</v>
      </c>
      <c r="AK20" s="38">
        <v>77.1</v>
      </c>
      <c r="AL20" s="39"/>
      <c r="AM20" s="37">
        <v>1.02</v>
      </c>
      <c r="AN20" s="38">
        <v>77.23</v>
      </c>
      <c r="AO20" s="39"/>
      <c r="AP20" s="37">
        <v>1.0184</v>
      </c>
      <c r="AQ20" s="38">
        <v>77.29</v>
      </c>
      <c r="AR20" s="39"/>
      <c r="AS20" s="37">
        <v>1.0147</v>
      </c>
      <c r="AT20" s="38">
        <v>77.33</v>
      </c>
      <c r="AU20" s="39"/>
      <c r="AV20" s="37">
        <v>1.0162</v>
      </c>
      <c r="AW20" s="38">
        <v>77.3</v>
      </c>
      <c r="AX20" s="39"/>
      <c r="AY20" s="37">
        <v>1.0156</v>
      </c>
      <c r="AZ20" s="38">
        <v>77.19</v>
      </c>
      <c r="BA20" s="39"/>
      <c r="BB20" s="37">
        <v>1.0131</v>
      </c>
      <c r="BC20" s="38">
        <v>77.37</v>
      </c>
      <c r="BD20" s="39"/>
      <c r="BE20" s="37">
        <v>1.0092</v>
      </c>
      <c r="BF20" s="38">
        <v>77.26</v>
      </c>
      <c r="BG20" s="39"/>
      <c r="BH20" s="37">
        <v>1.0101</v>
      </c>
      <c r="BI20" s="38">
        <v>76.73</v>
      </c>
      <c r="BJ20" s="39"/>
      <c r="BK20" s="37">
        <v>1.0088</v>
      </c>
      <c r="BL20" s="38">
        <v>76.5</v>
      </c>
      <c r="BM20" s="39"/>
      <c r="BN20" s="50">
        <f t="shared" si="0"/>
        <v>1.0159619047619048</v>
      </c>
      <c r="BO20" s="50">
        <f t="shared" si="1"/>
        <v>77.22666666666666</v>
      </c>
      <c r="BP20" s="39"/>
      <c r="BR20" s="80"/>
      <c r="BS20" s="80"/>
    </row>
    <row r="21" spans="1:71" ht="15.75" customHeight="1">
      <c r="A21" s="35">
        <v>9</v>
      </c>
      <c r="B21" s="36" t="s">
        <v>22</v>
      </c>
      <c r="C21" s="37">
        <v>6.0064</v>
      </c>
      <c r="D21" s="38">
        <v>13.06</v>
      </c>
      <c r="E21" s="39"/>
      <c r="F21" s="37">
        <v>5.981</v>
      </c>
      <c r="G21" s="38">
        <v>13.08</v>
      </c>
      <c r="H21" s="39"/>
      <c r="I21" s="37">
        <v>6.0351</v>
      </c>
      <c r="J21" s="38">
        <v>13.07</v>
      </c>
      <c r="K21" s="39"/>
      <c r="L21" s="37">
        <v>6.0568</v>
      </c>
      <c r="M21" s="38">
        <v>13.07</v>
      </c>
      <c r="N21" s="39"/>
      <c r="O21" s="37">
        <v>5.982</v>
      </c>
      <c r="P21" s="38">
        <v>13.09</v>
      </c>
      <c r="Q21" s="39"/>
      <c r="R21" s="37">
        <v>5.9137</v>
      </c>
      <c r="S21" s="38">
        <v>13.07</v>
      </c>
      <c r="T21" s="39"/>
      <c r="U21" s="37">
        <v>5.9888</v>
      </c>
      <c r="V21" s="38">
        <v>13.1</v>
      </c>
      <c r="W21" s="39"/>
      <c r="X21" s="37">
        <v>6.0257</v>
      </c>
      <c r="Y21" s="38">
        <v>13.06</v>
      </c>
      <c r="Z21" s="39"/>
      <c r="AA21" s="37">
        <v>6.0783</v>
      </c>
      <c r="AB21" s="38">
        <v>12.99</v>
      </c>
      <c r="AC21" s="39"/>
      <c r="AD21" s="37">
        <v>6.1</v>
      </c>
      <c r="AE21" s="38">
        <v>13.01</v>
      </c>
      <c r="AF21" s="39"/>
      <c r="AG21" s="37">
        <v>6.0609</v>
      </c>
      <c r="AH21" s="38">
        <v>13.05</v>
      </c>
      <c r="AI21" s="39"/>
      <c r="AJ21" s="37">
        <v>6.0276</v>
      </c>
      <c r="AK21" s="38">
        <v>13.06</v>
      </c>
      <c r="AL21" s="39"/>
      <c r="AM21" s="37">
        <v>6.062</v>
      </c>
      <c r="AN21" s="38">
        <v>13</v>
      </c>
      <c r="AO21" s="39"/>
      <c r="AP21" s="37">
        <v>6.069</v>
      </c>
      <c r="AQ21" s="38">
        <v>12.97</v>
      </c>
      <c r="AR21" s="39"/>
      <c r="AS21" s="37">
        <v>6.0363</v>
      </c>
      <c r="AT21" s="38">
        <v>13</v>
      </c>
      <c r="AU21" s="39"/>
      <c r="AV21" s="37">
        <v>6.0423</v>
      </c>
      <c r="AW21" s="38">
        <v>13</v>
      </c>
      <c r="AX21" s="39"/>
      <c r="AY21" s="37">
        <v>6.0365</v>
      </c>
      <c r="AZ21" s="38">
        <v>12.99</v>
      </c>
      <c r="BA21" s="39"/>
      <c r="BB21" s="37">
        <v>6.0358</v>
      </c>
      <c r="BC21" s="38">
        <v>12.99</v>
      </c>
      <c r="BD21" s="39"/>
      <c r="BE21" s="37">
        <v>6.0019</v>
      </c>
      <c r="BF21" s="38">
        <v>12.99</v>
      </c>
      <c r="BG21" s="39"/>
      <c r="BH21" s="37">
        <v>5.967</v>
      </c>
      <c r="BI21" s="38">
        <v>12.99</v>
      </c>
      <c r="BJ21" s="39"/>
      <c r="BK21" s="37">
        <v>5.968</v>
      </c>
      <c r="BL21" s="38">
        <v>12.93</v>
      </c>
      <c r="BM21" s="39"/>
      <c r="BN21" s="50">
        <f t="shared" si="0"/>
        <v>6.02262380952381</v>
      </c>
      <c r="BO21" s="50">
        <f t="shared" si="1"/>
        <v>13.02714285714286</v>
      </c>
      <c r="BP21" s="39"/>
      <c r="BR21" s="80"/>
      <c r="BS21" s="80"/>
    </row>
    <row r="22" spans="1:71" ht="15.75" customHeight="1">
      <c r="A22" s="35">
        <v>10</v>
      </c>
      <c r="B22" s="36" t="s">
        <v>23</v>
      </c>
      <c r="C22" s="37">
        <v>5.1084</v>
      </c>
      <c r="D22" s="38">
        <v>15.36</v>
      </c>
      <c r="E22" s="39"/>
      <c r="F22" s="37">
        <v>5.0976</v>
      </c>
      <c r="G22" s="38">
        <v>15.34</v>
      </c>
      <c r="H22" s="39"/>
      <c r="I22" s="37">
        <v>5.1592</v>
      </c>
      <c r="J22" s="38">
        <v>15.29</v>
      </c>
      <c r="K22" s="39"/>
      <c r="L22" s="37">
        <v>5.1803</v>
      </c>
      <c r="M22" s="38">
        <v>15.28</v>
      </c>
      <c r="N22" s="39"/>
      <c r="O22" s="37">
        <v>5.0958</v>
      </c>
      <c r="P22" s="38">
        <v>15.37</v>
      </c>
      <c r="Q22" s="39"/>
      <c r="R22" s="37">
        <v>5.0253</v>
      </c>
      <c r="S22" s="38">
        <v>15.38</v>
      </c>
      <c r="T22" s="39"/>
      <c r="U22" s="37">
        <v>5.1286</v>
      </c>
      <c r="V22" s="38">
        <v>15.3</v>
      </c>
      <c r="W22" s="39"/>
      <c r="X22" s="37">
        <v>5.1393</v>
      </c>
      <c r="Y22" s="38">
        <v>15.32</v>
      </c>
      <c r="Z22" s="39"/>
      <c r="AA22" s="37">
        <v>5.193</v>
      </c>
      <c r="AB22" s="38">
        <v>15.21</v>
      </c>
      <c r="AC22" s="39"/>
      <c r="AD22" s="37">
        <v>5.2442</v>
      </c>
      <c r="AE22" s="38">
        <v>15.13</v>
      </c>
      <c r="AF22" s="39"/>
      <c r="AG22" s="37">
        <v>5.1951</v>
      </c>
      <c r="AH22" s="38">
        <v>15.23</v>
      </c>
      <c r="AI22" s="39"/>
      <c r="AJ22" s="37">
        <v>5.1726</v>
      </c>
      <c r="AK22" s="38">
        <v>15.22</v>
      </c>
      <c r="AL22" s="39"/>
      <c r="AM22" s="37">
        <v>5.1895</v>
      </c>
      <c r="AN22" s="38">
        <v>15.18</v>
      </c>
      <c r="AO22" s="39"/>
      <c r="AP22" s="37">
        <v>5.184</v>
      </c>
      <c r="AQ22" s="38">
        <v>15.18</v>
      </c>
      <c r="AR22" s="39"/>
      <c r="AS22" s="37">
        <v>5.166</v>
      </c>
      <c r="AT22" s="38">
        <v>15.19</v>
      </c>
      <c r="AU22" s="39"/>
      <c r="AV22" s="37">
        <v>5.158</v>
      </c>
      <c r="AW22" s="38">
        <v>15.23</v>
      </c>
      <c r="AX22" s="39"/>
      <c r="AY22" s="37">
        <v>5.1226</v>
      </c>
      <c r="AZ22" s="38">
        <v>15.3</v>
      </c>
      <c r="BA22" s="39"/>
      <c r="BB22" s="37">
        <v>5.1107</v>
      </c>
      <c r="BC22" s="38">
        <v>15.34</v>
      </c>
      <c r="BD22" s="39"/>
      <c r="BE22" s="37">
        <v>5.07</v>
      </c>
      <c r="BF22" s="38">
        <v>15.38</v>
      </c>
      <c r="BG22" s="39"/>
      <c r="BH22" s="37">
        <v>5.063</v>
      </c>
      <c r="BI22" s="38">
        <v>15.31</v>
      </c>
      <c r="BJ22" s="39"/>
      <c r="BK22" s="37">
        <v>5.0554</v>
      </c>
      <c r="BL22" s="38">
        <v>15.27</v>
      </c>
      <c r="BM22" s="39"/>
      <c r="BN22" s="50">
        <f t="shared" si="0"/>
        <v>5.136123809523809</v>
      </c>
      <c r="BO22" s="50">
        <f t="shared" si="1"/>
        <v>15.276666666666664</v>
      </c>
      <c r="BP22" s="39"/>
      <c r="BR22" s="80"/>
      <c r="BS22" s="80"/>
    </row>
    <row r="23" spans="1:71" ht="15.75" customHeight="1">
      <c r="A23" s="35">
        <v>11</v>
      </c>
      <c r="B23" s="36" t="s">
        <v>24</v>
      </c>
      <c r="C23" s="37">
        <v>4.7942</v>
      </c>
      <c r="D23" s="38">
        <v>16.37</v>
      </c>
      <c r="E23" s="39"/>
      <c r="F23" s="37">
        <v>4.7776</v>
      </c>
      <c r="G23" s="38">
        <v>16.37</v>
      </c>
      <c r="H23" s="39"/>
      <c r="I23" s="37">
        <v>4.8217</v>
      </c>
      <c r="J23" s="38">
        <v>16.36</v>
      </c>
      <c r="K23" s="39"/>
      <c r="L23" s="37">
        <v>4.8465</v>
      </c>
      <c r="M23" s="38">
        <v>16.33</v>
      </c>
      <c r="N23" s="39"/>
      <c r="O23" s="37">
        <v>4.7863</v>
      </c>
      <c r="P23" s="38">
        <v>16.36</v>
      </c>
      <c r="Q23" s="39"/>
      <c r="R23" s="37">
        <v>4.7205</v>
      </c>
      <c r="S23" s="38">
        <v>16.38</v>
      </c>
      <c r="T23" s="39"/>
      <c r="U23" s="37">
        <v>4.7998</v>
      </c>
      <c r="V23" s="38">
        <v>16.35</v>
      </c>
      <c r="W23" s="39"/>
      <c r="X23" s="37">
        <v>4.8095</v>
      </c>
      <c r="Y23" s="38">
        <v>16.37</v>
      </c>
      <c r="Z23" s="39"/>
      <c r="AA23" s="37">
        <v>4.8317</v>
      </c>
      <c r="AB23" s="38">
        <v>16.34</v>
      </c>
      <c r="AC23" s="39"/>
      <c r="AD23" s="37">
        <v>4.8555</v>
      </c>
      <c r="AE23" s="38">
        <v>16.35</v>
      </c>
      <c r="AF23" s="39"/>
      <c r="AG23" s="37">
        <v>4.8341</v>
      </c>
      <c r="AH23" s="38">
        <v>16.36</v>
      </c>
      <c r="AI23" s="39"/>
      <c r="AJ23" s="37">
        <v>4.8098</v>
      </c>
      <c r="AK23" s="38">
        <v>16.37</v>
      </c>
      <c r="AL23" s="39"/>
      <c r="AM23" s="37">
        <v>4.8185</v>
      </c>
      <c r="AN23" s="38">
        <v>16.35</v>
      </c>
      <c r="AO23" s="39"/>
      <c r="AP23" s="37">
        <v>4.8152</v>
      </c>
      <c r="AQ23" s="38">
        <v>16.35</v>
      </c>
      <c r="AR23" s="39"/>
      <c r="AS23" s="37">
        <v>4.7909</v>
      </c>
      <c r="AT23" s="38">
        <v>16.38</v>
      </c>
      <c r="AU23" s="39"/>
      <c r="AV23" s="37">
        <v>4.8005</v>
      </c>
      <c r="AW23" s="38">
        <v>16.36</v>
      </c>
      <c r="AX23" s="39"/>
      <c r="AY23" s="37">
        <v>4.79</v>
      </c>
      <c r="AZ23" s="38">
        <v>16.37</v>
      </c>
      <c r="BA23" s="39"/>
      <c r="BB23" s="37">
        <v>4.7891</v>
      </c>
      <c r="BC23" s="38">
        <v>16.37</v>
      </c>
      <c r="BD23" s="39"/>
      <c r="BE23" s="37">
        <v>4.7582</v>
      </c>
      <c r="BF23" s="38">
        <v>16.39</v>
      </c>
      <c r="BG23" s="39"/>
      <c r="BH23" s="37">
        <v>4.7295</v>
      </c>
      <c r="BI23" s="38">
        <v>16.39</v>
      </c>
      <c r="BJ23" s="39"/>
      <c r="BK23" s="37">
        <v>4.716</v>
      </c>
      <c r="BL23" s="38">
        <v>16.36</v>
      </c>
      <c r="BM23" s="39"/>
      <c r="BN23" s="50">
        <f t="shared" si="0"/>
        <v>4.795004761904762</v>
      </c>
      <c r="BO23" s="50">
        <f t="shared" si="1"/>
        <v>16.363333333333333</v>
      </c>
      <c r="BP23" s="39"/>
      <c r="BR23" s="80"/>
      <c r="BS23" s="80"/>
    </row>
    <row r="24" spans="1:71" ht="15.75" customHeight="1">
      <c r="A24" s="35">
        <v>12</v>
      </c>
      <c r="B24" s="36" t="s">
        <v>25</v>
      </c>
      <c r="C24" s="37">
        <f>1/1.62069</f>
        <v>0.6170211453146499</v>
      </c>
      <c r="D24" s="38">
        <v>127.16</v>
      </c>
      <c r="E24" s="39"/>
      <c r="F24" s="37">
        <f>1/1.62174</f>
        <v>0.6166216532859768</v>
      </c>
      <c r="G24" s="38">
        <v>126.83</v>
      </c>
      <c r="H24" s="39"/>
      <c r="I24" s="37">
        <f>1/1.62559</f>
        <v>0.6151612645254954</v>
      </c>
      <c r="J24" s="38">
        <v>128.24</v>
      </c>
      <c r="K24" s="39"/>
      <c r="L24" s="37">
        <f>1/1.61899</f>
        <v>0.6176690405746793</v>
      </c>
      <c r="M24" s="38">
        <v>128.12</v>
      </c>
      <c r="N24" s="39"/>
      <c r="O24" s="37">
        <f>1/1.61229</f>
        <v>0.6202358136563522</v>
      </c>
      <c r="P24" s="38">
        <v>126.26</v>
      </c>
      <c r="Q24" s="39"/>
      <c r="R24" s="37">
        <f>1/1.62133</f>
        <v>0.6167775838354931</v>
      </c>
      <c r="S24" s="38">
        <v>125.35</v>
      </c>
      <c r="T24" s="39"/>
      <c r="U24" s="37">
        <f>1/1.63183</f>
        <v>0.6128089323029973</v>
      </c>
      <c r="V24" s="38">
        <v>128.03</v>
      </c>
      <c r="W24" s="39"/>
      <c r="X24" s="37">
        <f>1/1.6164</f>
        <v>0.6186587478346943</v>
      </c>
      <c r="Y24" s="38">
        <v>127.23</v>
      </c>
      <c r="Z24" s="39"/>
      <c r="AA24" s="37">
        <f>1/1.61515</f>
        <v>0.619137541404823</v>
      </c>
      <c r="AB24" s="38">
        <v>127.55</v>
      </c>
      <c r="AC24" s="39"/>
      <c r="AD24" s="37">
        <f>1/1.611</f>
        <v>0.6207324643078833</v>
      </c>
      <c r="AE24" s="38">
        <v>127.86</v>
      </c>
      <c r="AF24" s="39"/>
      <c r="AG24" s="37">
        <f>1/1.60583</f>
        <v>0.6227309241949646</v>
      </c>
      <c r="AH24" s="38">
        <v>127.02</v>
      </c>
      <c r="AI24" s="39"/>
      <c r="AJ24" s="37">
        <f>1/1.61342</f>
        <v>0.6198014156264333</v>
      </c>
      <c r="AK24" s="38">
        <v>127.03</v>
      </c>
      <c r="AL24" s="39"/>
      <c r="AM24" s="37">
        <f>1/1.6138</f>
        <v>0.6196554715578139</v>
      </c>
      <c r="AN24" s="38">
        <v>127.13</v>
      </c>
      <c r="AO24" s="39"/>
      <c r="AP24" s="37">
        <f>1/1.61299</f>
        <v>0.6199666457944563</v>
      </c>
      <c r="AQ24" s="38">
        <v>126.96</v>
      </c>
      <c r="AR24" s="39"/>
      <c r="AS24" s="37">
        <f>1/1.61551</f>
        <v>0.6189995728902947</v>
      </c>
      <c r="AT24" s="38">
        <v>126.76</v>
      </c>
      <c r="AU24" s="39"/>
      <c r="AV24" s="37">
        <f>1/1.62151</f>
        <v>0.6167091168108738</v>
      </c>
      <c r="AW24" s="38">
        <v>127.37</v>
      </c>
      <c r="AX24" s="39"/>
      <c r="AY24" s="37">
        <f>1/1.61652</f>
        <v>0.618612822606587</v>
      </c>
      <c r="AZ24" s="38">
        <v>126.73</v>
      </c>
      <c r="BA24" s="39"/>
      <c r="BB24" s="37">
        <f>1/1.61751</f>
        <v>0.6182341994794468</v>
      </c>
      <c r="BC24" s="38">
        <v>126.79</v>
      </c>
      <c r="BD24" s="39"/>
      <c r="BE24" s="37">
        <f>1/1.61962</f>
        <v>0.6174287795902742</v>
      </c>
      <c r="BF24" s="38">
        <v>126.28</v>
      </c>
      <c r="BG24" s="39"/>
      <c r="BH24" s="37">
        <f>1/1.62614</f>
        <v>0.6149532020613232</v>
      </c>
      <c r="BI24" s="38">
        <v>126.04</v>
      </c>
      <c r="BJ24" s="39"/>
      <c r="BK24" s="37">
        <f>1/1.62993</f>
        <v>0.6135232801408649</v>
      </c>
      <c r="BL24" s="38">
        <v>125.78</v>
      </c>
      <c r="BM24" s="39"/>
      <c r="BN24" s="50">
        <f t="shared" si="0"/>
        <v>0.6178780770379226</v>
      </c>
      <c r="BO24" s="50">
        <f t="shared" si="1"/>
        <v>126.97714285714288</v>
      </c>
      <c r="BP24" s="39"/>
      <c r="BR24" s="80"/>
      <c r="BS24" s="80"/>
    </row>
    <row r="25" spans="1:71" ht="15.75" customHeight="1" thickBot="1">
      <c r="A25" s="43">
        <v>13</v>
      </c>
      <c r="B25" s="44" t="s">
        <v>26</v>
      </c>
      <c r="C25" s="45">
        <v>1</v>
      </c>
      <c r="D25" s="46">
        <v>78.46</v>
      </c>
      <c r="E25" s="30"/>
      <c r="F25" s="45">
        <v>1</v>
      </c>
      <c r="G25" s="46">
        <v>78.21</v>
      </c>
      <c r="H25" s="30"/>
      <c r="I25" s="45">
        <v>1</v>
      </c>
      <c r="J25" s="46">
        <v>78.89</v>
      </c>
      <c r="K25" s="30"/>
      <c r="L25" s="45">
        <v>1</v>
      </c>
      <c r="M25" s="46">
        <v>79.14</v>
      </c>
      <c r="N25" s="30"/>
      <c r="O25" s="45">
        <v>1</v>
      </c>
      <c r="P25" s="46">
        <v>78.31</v>
      </c>
      <c r="Q25" s="30"/>
      <c r="R25" s="45">
        <v>1</v>
      </c>
      <c r="S25" s="46">
        <v>77.31</v>
      </c>
      <c r="T25" s="30"/>
      <c r="U25" s="45">
        <v>1</v>
      </c>
      <c r="V25" s="46">
        <v>78.46</v>
      </c>
      <c r="W25" s="30"/>
      <c r="X25" s="45">
        <v>1</v>
      </c>
      <c r="Y25" s="46">
        <v>78.71</v>
      </c>
      <c r="Z25" s="30"/>
      <c r="AA25" s="45">
        <v>1</v>
      </c>
      <c r="AB25" s="46">
        <v>78.97</v>
      </c>
      <c r="AC25" s="30"/>
      <c r="AD25" s="45">
        <v>1</v>
      </c>
      <c r="AE25" s="46">
        <v>79.37</v>
      </c>
      <c r="AF25" s="30"/>
      <c r="AG25" s="45">
        <v>1</v>
      </c>
      <c r="AH25" s="46">
        <v>79.1</v>
      </c>
      <c r="AI25" s="30"/>
      <c r="AJ25" s="45">
        <v>1</v>
      </c>
      <c r="AK25" s="46">
        <v>78.73</v>
      </c>
      <c r="AL25" s="30"/>
      <c r="AM25" s="45">
        <v>1</v>
      </c>
      <c r="AN25" s="46">
        <v>78.78</v>
      </c>
      <c r="AO25" s="30"/>
      <c r="AP25" s="45">
        <v>1</v>
      </c>
      <c r="AQ25" s="46">
        <v>78.71</v>
      </c>
      <c r="AR25" s="30"/>
      <c r="AS25" s="45">
        <v>1</v>
      </c>
      <c r="AT25" s="46">
        <v>78.46</v>
      </c>
      <c r="AU25" s="30"/>
      <c r="AV25" s="45">
        <v>1</v>
      </c>
      <c r="AW25" s="46">
        <v>78.55</v>
      </c>
      <c r="AX25" s="30"/>
      <c r="AY25" s="45">
        <v>1</v>
      </c>
      <c r="AZ25" s="46">
        <v>78.4</v>
      </c>
      <c r="BA25" s="30"/>
      <c r="BB25" s="45">
        <v>1</v>
      </c>
      <c r="BC25" s="46">
        <v>78.38</v>
      </c>
      <c r="BD25" s="30"/>
      <c r="BE25" s="45">
        <v>1</v>
      </c>
      <c r="BF25" s="46">
        <v>77.97</v>
      </c>
      <c r="BG25" s="30"/>
      <c r="BH25" s="45">
        <v>1</v>
      </c>
      <c r="BI25" s="46">
        <v>77.51</v>
      </c>
      <c r="BJ25" s="30"/>
      <c r="BK25" s="45">
        <v>1</v>
      </c>
      <c r="BL25" s="46">
        <v>77.17</v>
      </c>
      <c r="BM25" s="30"/>
      <c r="BN25" s="51">
        <f t="shared" si="0"/>
        <v>1</v>
      </c>
      <c r="BO25" s="51">
        <f t="shared" si="1"/>
        <v>78.45666666666668</v>
      </c>
      <c r="BP25" s="30"/>
      <c r="BR25" s="80"/>
      <c r="BS25" s="80"/>
    </row>
    <row r="26" spans="1:68" ht="15.75" customHeight="1">
      <c r="A26" s="40"/>
      <c r="B26" s="41"/>
      <c r="C26" s="25"/>
      <c r="D26" s="26"/>
      <c r="E26" s="24"/>
      <c r="F26" s="25"/>
      <c r="G26" s="26"/>
      <c r="H26" s="24"/>
      <c r="I26" s="25"/>
      <c r="J26" s="26"/>
      <c r="K26" s="24"/>
      <c r="L26" s="25"/>
      <c r="M26" s="26"/>
      <c r="N26" s="24"/>
      <c r="O26" s="25"/>
      <c r="P26" s="26"/>
      <c r="Q26" s="24"/>
      <c r="R26" s="25"/>
      <c r="S26" s="26"/>
      <c r="T26" s="24"/>
      <c r="U26" s="25"/>
      <c r="V26" s="26"/>
      <c r="W26" s="24"/>
      <c r="X26" s="25"/>
      <c r="Y26" s="26"/>
      <c r="Z26" s="24"/>
      <c r="AA26" s="25"/>
      <c r="AB26" s="26"/>
      <c r="AC26" s="24"/>
      <c r="AD26" s="25"/>
      <c r="AE26" s="26"/>
      <c r="AF26" s="24"/>
      <c r="AG26" s="25"/>
      <c r="AH26" s="26"/>
      <c r="AI26" s="24"/>
      <c r="AJ26" s="25"/>
      <c r="AK26" s="26"/>
      <c r="AL26" s="24"/>
      <c r="AM26" s="25"/>
      <c r="AN26" s="26"/>
      <c r="AO26" s="24"/>
      <c r="AP26" s="25"/>
      <c r="AQ26" s="26"/>
      <c r="AR26" s="24"/>
      <c r="AS26" s="25"/>
      <c r="AT26" s="26"/>
      <c r="AU26" s="24"/>
      <c r="AV26" s="25"/>
      <c r="AW26" s="26"/>
      <c r="AX26" s="24"/>
      <c r="AY26" s="25"/>
      <c r="AZ26" s="26"/>
      <c r="BA26" s="24"/>
      <c r="BB26" s="25"/>
      <c r="BC26" s="26"/>
      <c r="BD26" s="24"/>
      <c r="BE26" s="25"/>
      <c r="BF26" s="26"/>
      <c r="BG26" s="24"/>
      <c r="BH26" s="24"/>
      <c r="BI26" s="24"/>
      <c r="BJ26" s="24"/>
      <c r="BK26" s="25"/>
      <c r="BL26" s="26"/>
      <c r="BM26" s="24"/>
      <c r="BN26" s="25"/>
      <c r="BO26" s="26"/>
      <c r="BP26" s="24"/>
    </row>
    <row r="27" spans="1:68" ht="15.75" customHeight="1">
      <c r="A27" s="40"/>
      <c r="B27" s="41"/>
      <c r="C27" s="25"/>
      <c r="D27" s="26"/>
      <c r="E27" s="24"/>
      <c r="F27" s="25"/>
      <c r="G27" s="26"/>
      <c r="H27" s="24"/>
      <c r="I27" s="25"/>
      <c r="J27" s="26"/>
      <c r="K27" s="24"/>
      <c r="L27" s="25"/>
      <c r="M27" s="26"/>
      <c r="N27" s="24"/>
      <c r="O27" s="25"/>
      <c r="P27" s="26"/>
      <c r="Q27" s="24"/>
      <c r="R27" s="25"/>
      <c r="S27" s="26"/>
      <c r="T27" s="24"/>
      <c r="U27" s="25"/>
      <c r="V27" s="26"/>
      <c r="W27" s="24"/>
      <c r="X27" s="25"/>
      <c r="Y27" s="26"/>
      <c r="Z27" s="24"/>
      <c r="AA27" s="25"/>
      <c r="AB27" s="26"/>
      <c r="AC27" s="24"/>
      <c r="AD27" s="25"/>
      <c r="AE27" s="26"/>
      <c r="AF27" s="24"/>
      <c r="AG27" s="25"/>
      <c r="AH27" s="26"/>
      <c r="AI27" s="24"/>
      <c r="AJ27" s="25"/>
      <c r="AK27" s="26"/>
      <c r="AL27" s="24"/>
      <c r="AM27" s="25"/>
      <c r="AN27" s="26"/>
      <c r="AO27" s="24"/>
      <c r="AP27" s="25"/>
      <c r="AQ27" s="26"/>
      <c r="AR27" s="24"/>
      <c r="AS27" s="25"/>
      <c r="AT27" s="26"/>
      <c r="AU27" s="24"/>
      <c r="AV27" s="25"/>
      <c r="AW27" s="26"/>
      <c r="AX27" s="24"/>
      <c r="AY27" s="25"/>
      <c r="AZ27" s="26"/>
      <c r="BA27" s="24"/>
      <c r="BB27" s="25"/>
      <c r="BC27" s="26"/>
      <c r="BD27" s="24"/>
      <c r="BE27" s="25"/>
      <c r="BF27" s="26"/>
      <c r="BG27" s="24"/>
      <c r="BH27" s="24"/>
      <c r="BI27" s="24"/>
      <c r="BJ27" s="24"/>
      <c r="BK27" s="25"/>
      <c r="BL27" s="26"/>
      <c r="BM27" s="24"/>
      <c r="BN27" s="25"/>
      <c r="BO27" s="26"/>
      <c r="BP27" s="24"/>
    </row>
    <row r="28" spans="1:68" ht="15.75" customHeight="1">
      <c r="A28" s="40"/>
      <c r="B28" s="41"/>
      <c r="C28" s="25"/>
      <c r="D28" s="26"/>
      <c r="E28" s="24"/>
      <c r="F28" s="25"/>
      <c r="G28" s="26"/>
      <c r="H28" s="24"/>
      <c r="I28" s="25"/>
      <c r="J28" s="26"/>
      <c r="K28" s="24"/>
      <c r="L28" s="25"/>
      <c r="M28" s="26"/>
      <c r="N28" s="24"/>
      <c r="O28" s="25"/>
      <c r="P28" s="26"/>
      <c r="Q28" s="24"/>
      <c r="R28" s="25"/>
      <c r="S28" s="26"/>
      <c r="T28" s="24"/>
      <c r="U28" s="25"/>
      <c r="V28" s="26"/>
      <c r="W28" s="24"/>
      <c r="X28" s="25"/>
      <c r="Y28" s="26"/>
      <c r="Z28" s="24"/>
      <c r="AA28" s="25"/>
      <c r="AB28" s="26"/>
      <c r="AC28" s="24"/>
      <c r="AD28" s="25"/>
      <c r="AE28" s="26"/>
      <c r="AF28" s="24"/>
      <c r="AG28" s="25"/>
      <c r="AH28" s="26"/>
      <c r="AI28" s="24"/>
      <c r="AJ28" s="25"/>
      <c r="AK28" s="26"/>
      <c r="AL28" s="24"/>
      <c r="AM28" s="25"/>
      <c r="AN28" s="26"/>
      <c r="AO28" s="24"/>
      <c r="AP28" s="25"/>
      <c r="AQ28" s="26"/>
      <c r="AR28" s="24"/>
      <c r="AS28" s="25"/>
      <c r="AT28" s="26"/>
      <c r="AU28" s="24"/>
      <c r="AV28" s="25"/>
      <c r="AW28" s="26"/>
      <c r="AX28" s="24"/>
      <c r="AY28" s="25"/>
      <c r="AZ28" s="26"/>
      <c r="BA28" s="24"/>
      <c r="BB28" s="25"/>
      <c r="BC28" s="26"/>
      <c r="BD28" s="24"/>
      <c r="BE28" s="25"/>
      <c r="BF28" s="26"/>
      <c r="BG28" s="24"/>
      <c r="BH28" s="24"/>
      <c r="BI28" s="24"/>
      <c r="BJ28" s="24"/>
      <c r="BK28" s="25"/>
      <c r="BL28" s="26"/>
      <c r="BM28" s="24"/>
      <c r="BN28" s="25"/>
      <c r="BO28" s="26"/>
      <c r="BP28" s="24"/>
    </row>
    <row r="29" spans="1:68" ht="15.75" customHeight="1">
      <c r="A29" s="40"/>
      <c r="B29" s="41"/>
      <c r="C29" s="25"/>
      <c r="D29" s="26"/>
      <c r="E29" s="24"/>
      <c r="F29" s="25"/>
      <c r="G29" s="26"/>
      <c r="H29" s="24"/>
      <c r="I29" s="25"/>
      <c r="J29" s="26"/>
      <c r="K29" s="24"/>
      <c r="L29" s="25"/>
      <c r="M29" s="26"/>
      <c r="N29" s="24"/>
      <c r="O29" s="25"/>
      <c r="P29" s="26"/>
      <c r="Q29" s="24"/>
      <c r="R29" s="25"/>
      <c r="S29" s="26"/>
      <c r="T29" s="24"/>
      <c r="U29" s="25"/>
      <c r="V29" s="26"/>
      <c r="W29" s="24"/>
      <c r="X29" s="25"/>
      <c r="Y29" s="26"/>
      <c r="Z29" s="24"/>
      <c r="AA29" s="25"/>
      <c r="AB29" s="26"/>
      <c r="AC29" s="24"/>
      <c r="AD29" s="25"/>
      <c r="AE29" s="26"/>
      <c r="AF29" s="24"/>
      <c r="AG29" s="25"/>
      <c r="AH29" s="26"/>
      <c r="AI29" s="24"/>
      <c r="AJ29" s="25"/>
      <c r="AK29" s="26"/>
      <c r="AL29" s="24"/>
      <c r="AM29" s="25"/>
      <c r="AN29" s="26"/>
      <c r="AO29" s="24"/>
      <c r="AP29" s="25"/>
      <c r="AQ29" s="26"/>
      <c r="AR29" s="24"/>
      <c r="AS29" s="25"/>
      <c r="AT29" s="26"/>
      <c r="AU29" s="24"/>
      <c r="AV29" s="25"/>
      <c r="AW29" s="26"/>
      <c r="AX29" s="24"/>
      <c r="AY29" s="25"/>
      <c r="AZ29" s="26"/>
      <c r="BA29" s="24"/>
      <c r="BB29" s="25"/>
      <c r="BC29" s="26"/>
      <c r="BD29" s="24"/>
      <c r="BE29" s="25"/>
      <c r="BF29" s="26"/>
      <c r="BG29" s="24"/>
      <c r="BH29" s="24"/>
      <c r="BI29" s="24"/>
      <c r="BJ29" s="24"/>
      <c r="BK29" s="25"/>
      <c r="BL29" s="26"/>
      <c r="BM29" s="24"/>
      <c r="BN29" s="25"/>
      <c r="BO29" s="26"/>
      <c r="BP29" s="24"/>
    </row>
    <row r="30" spans="1:68" ht="15.75" customHeight="1">
      <c r="A30" s="40"/>
      <c r="B30" s="41"/>
      <c r="C30" s="25"/>
      <c r="D30" s="26"/>
      <c r="E30" s="24"/>
      <c r="F30" s="25"/>
      <c r="G30" s="26"/>
      <c r="H30" s="24"/>
      <c r="I30" s="25"/>
      <c r="J30" s="26"/>
      <c r="K30" s="24"/>
      <c r="L30" s="25"/>
      <c r="M30" s="26"/>
      <c r="N30" s="24"/>
      <c r="O30" s="25"/>
      <c r="P30" s="26"/>
      <c r="Q30" s="24"/>
      <c r="R30" s="25"/>
      <c r="S30" s="26"/>
      <c r="T30" s="24"/>
      <c r="U30" s="25"/>
      <c r="V30" s="26"/>
      <c r="W30" s="24"/>
      <c r="X30" s="25"/>
      <c r="Y30" s="26"/>
      <c r="Z30" s="24"/>
      <c r="AA30" s="25"/>
      <c r="AB30" s="26"/>
      <c r="AC30" s="24"/>
      <c r="AD30" s="25"/>
      <c r="AE30" s="26"/>
      <c r="AF30" s="24"/>
      <c r="AG30" s="25"/>
      <c r="AH30" s="26"/>
      <c r="AI30" s="24"/>
      <c r="AJ30" s="25"/>
      <c r="AK30" s="26"/>
      <c r="AL30" s="24"/>
      <c r="AM30" s="25"/>
      <c r="AN30" s="26"/>
      <c r="AO30" s="24"/>
      <c r="AP30" s="25"/>
      <c r="AQ30" s="26"/>
      <c r="AR30" s="24"/>
      <c r="AS30" s="25"/>
      <c r="AT30" s="26"/>
      <c r="AU30" s="24"/>
      <c r="AV30" s="25"/>
      <c r="AW30" s="26"/>
      <c r="AX30" s="24"/>
      <c r="AY30" s="25"/>
      <c r="AZ30" s="26"/>
      <c r="BA30" s="24"/>
      <c r="BB30" s="25"/>
      <c r="BC30" s="26"/>
      <c r="BD30" s="24"/>
      <c r="BE30" s="25"/>
      <c r="BF30" s="26"/>
      <c r="BG30" s="24"/>
      <c r="BH30" s="24"/>
      <c r="BI30" s="24"/>
      <c r="BJ30" s="24"/>
      <c r="BK30" s="25"/>
      <c r="BL30" s="26"/>
      <c r="BM30" s="24"/>
      <c r="BN30" s="25"/>
      <c r="BO30" s="26"/>
      <c r="BP30" s="24"/>
    </row>
    <row r="31" spans="1:68" ht="15.75" customHeight="1">
      <c r="A31" s="40"/>
      <c r="B31" s="41"/>
      <c r="C31" s="25"/>
      <c r="D31" s="26"/>
      <c r="E31" s="24"/>
      <c r="F31" s="25"/>
      <c r="G31" s="26"/>
      <c r="H31" s="24"/>
      <c r="I31" s="25"/>
      <c r="J31" s="26"/>
      <c r="K31" s="24"/>
      <c r="L31" s="25"/>
      <c r="M31" s="26"/>
      <c r="N31" s="24"/>
      <c r="O31" s="25"/>
      <c r="P31" s="26"/>
      <c r="Q31" s="24"/>
      <c r="R31" s="25"/>
      <c r="S31" s="26"/>
      <c r="T31" s="24"/>
      <c r="U31" s="25"/>
      <c r="V31" s="26"/>
      <c r="W31" s="24"/>
      <c r="X31" s="25"/>
      <c r="Y31" s="26"/>
      <c r="Z31" s="24"/>
      <c r="AA31" s="25"/>
      <c r="AB31" s="26"/>
      <c r="AC31" s="24"/>
      <c r="AD31" s="25"/>
      <c r="AE31" s="26"/>
      <c r="AF31" s="24"/>
      <c r="AG31" s="25"/>
      <c r="AH31" s="26"/>
      <c r="AI31" s="24"/>
      <c r="AJ31" s="25"/>
      <c r="AK31" s="26"/>
      <c r="AL31" s="24"/>
      <c r="AM31" s="25"/>
      <c r="AN31" s="26"/>
      <c r="AO31" s="24"/>
      <c r="AP31" s="25"/>
      <c r="AQ31" s="26"/>
      <c r="AR31" s="24"/>
      <c r="AS31" s="25"/>
      <c r="AT31" s="26"/>
      <c r="AU31" s="24"/>
      <c r="AV31" s="25"/>
      <c r="AW31" s="26"/>
      <c r="AX31" s="24"/>
      <c r="AY31" s="25"/>
      <c r="AZ31" s="26"/>
      <c r="BA31" s="24"/>
      <c r="BB31" s="25"/>
      <c r="BC31" s="26"/>
      <c r="BD31" s="24"/>
      <c r="BE31" s="25"/>
      <c r="BF31" s="26"/>
      <c r="BG31" s="24"/>
      <c r="BH31" s="24"/>
      <c r="BI31" s="24"/>
      <c r="BJ31" s="24"/>
      <c r="BK31" s="25"/>
      <c r="BL31" s="26"/>
      <c r="BM31" s="24"/>
      <c r="BN31" s="25"/>
      <c r="BO31" s="26"/>
      <c r="BP31" s="24"/>
    </row>
    <row r="32" spans="1:68" ht="15.75" customHeight="1">
      <c r="A32" s="40"/>
      <c r="B32" s="41"/>
      <c r="C32" s="25"/>
      <c r="D32" s="26"/>
      <c r="E32" s="24"/>
      <c r="F32" s="25"/>
      <c r="G32" s="26"/>
      <c r="H32" s="24"/>
      <c r="I32" s="25"/>
      <c r="J32" s="26"/>
      <c r="K32" s="24"/>
      <c r="L32" s="25"/>
      <c r="M32" s="26"/>
      <c r="N32" s="24"/>
      <c r="O32" s="25"/>
      <c r="P32" s="26"/>
      <c r="Q32" s="24"/>
      <c r="R32" s="25"/>
      <c r="S32" s="26"/>
      <c r="T32" s="24"/>
      <c r="U32" s="25"/>
      <c r="V32" s="26"/>
      <c r="W32" s="24"/>
      <c r="X32" s="25"/>
      <c r="Y32" s="26"/>
      <c r="Z32" s="24"/>
      <c r="AA32" s="25"/>
      <c r="AB32" s="26"/>
      <c r="AC32" s="24"/>
      <c r="AD32" s="25"/>
      <c r="AE32" s="26"/>
      <c r="AF32" s="24"/>
      <c r="AG32" s="25"/>
      <c r="AH32" s="26"/>
      <c r="AI32" s="24"/>
      <c r="AJ32" s="25"/>
      <c r="AK32" s="26"/>
      <c r="AL32" s="24"/>
      <c r="AM32" s="25"/>
      <c r="AN32" s="26"/>
      <c r="AO32" s="24"/>
      <c r="AP32" s="25"/>
      <c r="AQ32" s="26"/>
      <c r="AR32" s="24"/>
      <c r="AS32" s="25"/>
      <c r="AT32" s="26"/>
      <c r="AU32" s="24"/>
      <c r="AV32" s="25"/>
      <c r="AW32" s="26"/>
      <c r="AX32" s="24"/>
      <c r="AY32" s="25"/>
      <c r="AZ32" s="26"/>
      <c r="BA32" s="24"/>
      <c r="BB32" s="25"/>
      <c r="BC32" s="26"/>
      <c r="BD32" s="24"/>
      <c r="BE32" s="25"/>
      <c r="BF32" s="26"/>
      <c r="BG32" s="24"/>
      <c r="BH32" s="24"/>
      <c r="BI32" s="24"/>
      <c r="BJ32" s="24"/>
      <c r="BK32" s="25"/>
      <c r="BL32" s="26"/>
      <c r="BM32" s="24"/>
      <c r="BN32" s="25"/>
      <c r="BO32" s="26"/>
      <c r="BP32" s="24"/>
    </row>
    <row r="33" spans="1:68" ht="15.75" customHeight="1">
      <c r="A33" s="40"/>
      <c r="B33" s="63"/>
      <c r="C33" s="25"/>
      <c r="D33" s="26"/>
      <c r="E33" s="24"/>
      <c r="F33" s="25"/>
      <c r="G33" s="26"/>
      <c r="H33" s="24"/>
      <c r="I33" s="25"/>
      <c r="J33" s="26"/>
      <c r="K33" s="24"/>
      <c r="L33" s="25"/>
      <c r="M33" s="26"/>
      <c r="N33" s="24"/>
      <c r="O33" s="25"/>
      <c r="P33" s="26"/>
      <c r="Q33" s="24"/>
      <c r="R33" s="25"/>
      <c r="S33" s="26"/>
      <c r="T33" s="24"/>
      <c r="U33" s="25"/>
      <c r="V33" s="26"/>
      <c r="W33" s="24"/>
      <c r="X33" s="25"/>
      <c r="Y33" s="26"/>
      <c r="Z33" s="24"/>
      <c r="AA33" s="25"/>
      <c r="AB33" s="26"/>
      <c r="AC33" s="24"/>
      <c r="AD33" s="25"/>
      <c r="AE33" s="26"/>
      <c r="AF33" s="24"/>
      <c r="AG33" s="25"/>
      <c r="AH33" s="26"/>
      <c r="AI33" s="24"/>
      <c r="AJ33" s="25"/>
      <c r="AK33" s="26"/>
      <c r="AL33" s="24"/>
      <c r="AM33" s="25"/>
      <c r="AN33" s="26"/>
      <c r="AO33" s="24"/>
      <c r="AP33" s="25"/>
      <c r="AQ33" s="26"/>
      <c r="AR33" s="24"/>
      <c r="AS33" s="25"/>
      <c r="AT33" s="26"/>
      <c r="AU33" s="24"/>
      <c r="AV33" s="25"/>
      <c r="AW33" s="26"/>
      <c r="AX33" s="24"/>
      <c r="AY33" s="25"/>
      <c r="AZ33" s="26"/>
      <c r="BA33" s="24"/>
      <c r="BB33" s="25"/>
      <c r="BC33" s="26"/>
      <c r="BD33" s="24"/>
      <c r="BE33" s="25"/>
      <c r="BF33" s="26"/>
      <c r="BG33" s="24"/>
      <c r="BH33" s="24"/>
      <c r="BI33" s="24"/>
      <c r="BJ33" s="24"/>
      <c r="BK33" s="25"/>
      <c r="BL33" s="26"/>
      <c r="BM33" s="24"/>
      <c r="BN33" s="25"/>
      <c r="BO33" s="26"/>
      <c r="BP33" s="24"/>
    </row>
    <row r="34" spans="1:68" ht="15.75" customHeight="1">
      <c r="A34" s="40"/>
      <c r="B34" s="63"/>
      <c r="C34" s="25"/>
      <c r="D34" s="26"/>
      <c r="E34" s="24"/>
      <c r="F34" s="25"/>
      <c r="G34" s="26"/>
      <c r="H34" s="24"/>
      <c r="I34" s="25"/>
      <c r="J34" s="26"/>
      <c r="K34" s="24"/>
      <c r="L34" s="25"/>
      <c r="M34" s="26"/>
      <c r="N34" s="24"/>
      <c r="O34" s="25"/>
      <c r="P34" s="26"/>
      <c r="Q34" s="24"/>
      <c r="R34" s="25"/>
      <c r="S34" s="26"/>
      <c r="T34" s="64"/>
      <c r="U34" s="25"/>
      <c r="V34" s="26"/>
      <c r="W34" s="24"/>
      <c r="X34" s="25"/>
      <c r="Y34" s="26"/>
      <c r="Z34" s="24"/>
      <c r="AA34" s="25"/>
      <c r="AB34" s="26"/>
      <c r="AC34" s="24"/>
      <c r="AD34" s="25"/>
      <c r="AE34" s="26"/>
      <c r="AF34" s="24"/>
      <c r="AG34" s="25"/>
      <c r="AH34" s="26"/>
      <c r="AI34" s="24"/>
      <c r="AJ34" s="25"/>
      <c r="AK34" s="26"/>
      <c r="AL34" s="24"/>
      <c r="AM34" s="25"/>
      <c r="AN34" s="26"/>
      <c r="AO34" s="24"/>
      <c r="AP34" s="25"/>
      <c r="AQ34" s="26"/>
      <c r="AR34" s="24"/>
      <c r="AS34" s="25"/>
      <c r="AT34" s="26"/>
      <c r="AU34" s="24"/>
      <c r="AV34" s="25"/>
      <c r="AW34" s="26"/>
      <c r="AX34" s="24"/>
      <c r="AY34" s="25"/>
      <c r="AZ34" s="26"/>
      <c r="BA34" s="24"/>
      <c r="BB34" s="25"/>
      <c r="BC34" s="26"/>
      <c r="BD34" s="24"/>
      <c r="BE34" s="25"/>
      <c r="BF34" s="26"/>
      <c r="BG34" s="24"/>
      <c r="BH34" s="24"/>
      <c r="BI34" s="24"/>
      <c r="BJ34" s="24"/>
      <c r="BK34" s="25"/>
      <c r="BL34" s="26"/>
      <c r="BM34" s="24"/>
      <c r="BN34" s="25"/>
      <c r="BO34" s="26"/>
      <c r="BP34" s="65"/>
    </row>
    <row r="35" spans="1:68" ht="15.75" customHeight="1">
      <c r="A35" s="40"/>
      <c r="B35" s="63"/>
      <c r="C35" s="25"/>
      <c r="D35" s="26"/>
      <c r="E35" s="24"/>
      <c r="F35" s="25"/>
      <c r="G35" s="26"/>
      <c r="H35" s="24"/>
      <c r="I35" s="25"/>
      <c r="J35" s="26"/>
      <c r="K35" s="24"/>
      <c r="L35" s="25"/>
      <c r="M35" s="26"/>
      <c r="N35" s="24"/>
      <c r="O35" s="25"/>
      <c r="P35" s="26"/>
      <c r="Q35" s="24"/>
      <c r="R35" s="25"/>
      <c r="S35" s="26"/>
      <c r="T35" s="24"/>
      <c r="U35" s="25"/>
      <c r="V35" s="26"/>
      <c r="W35" s="24"/>
      <c r="X35" s="25"/>
      <c r="Y35" s="26"/>
      <c r="Z35" s="24"/>
      <c r="AA35" s="25"/>
      <c r="AB35" s="26"/>
      <c r="AC35" s="24"/>
      <c r="AD35" s="25"/>
      <c r="AE35" s="26"/>
      <c r="AF35" s="24"/>
      <c r="AG35" s="25"/>
      <c r="AH35" s="26"/>
      <c r="AI35" s="24"/>
      <c r="AJ35" s="25"/>
      <c r="AK35" s="26"/>
      <c r="AL35" s="24"/>
      <c r="AM35" s="25"/>
      <c r="AN35" s="26"/>
      <c r="AO35" s="24"/>
      <c r="AP35" s="25"/>
      <c r="AQ35" s="26"/>
      <c r="AR35" s="24"/>
      <c r="AS35" s="25"/>
      <c r="AT35" s="26"/>
      <c r="AU35" s="24"/>
      <c r="AV35" s="25"/>
      <c r="AW35" s="26"/>
      <c r="AX35" s="24"/>
      <c r="AY35" s="25"/>
      <c r="AZ35" s="26"/>
      <c r="BA35" s="24"/>
      <c r="BB35" s="25"/>
      <c r="BC35" s="26"/>
      <c r="BD35" s="24"/>
      <c r="BE35" s="25"/>
      <c r="BF35" s="26"/>
      <c r="BG35" s="24"/>
      <c r="BH35" s="24"/>
      <c r="BI35" s="24"/>
      <c r="BJ35" s="24"/>
      <c r="BK35" s="25"/>
      <c r="BL35" s="26"/>
      <c r="BM35" s="24"/>
      <c r="BN35" s="25"/>
      <c r="BO35" s="26"/>
      <c r="BP35" s="65"/>
    </row>
    <row r="36" spans="1:68" ht="15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7"/>
      <c r="BH36" s="24"/>
      <c r="BI36" s="24"/>
      <c r="BJ36" s="24"/>
      <c r="BK36" s="24"/>
      <c r="BL36" s="24"/>
      <c r="BM36" s="24"/>
      <c r="BN36" s="66"/>
      <c r="BO36" s="66"/>
      <c r="BP36" s="67"/>
    </row>
    <row r="37" spans="1:68" ht="15.7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</row>
    <row r="38" spans="1:68" ht="15.7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</row>
    <row r="39" spans="1:68" ht="15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</row>
    <row r="40" spans="1:68" ht="15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</row>
    <row r="41" spans="1:68" ht="15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</row>
    <row r="42" spans="1:68" ht="15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</row>
    <row r="43" spans="1:68" ht="15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</row>
    <row r="44" spans="1:68" ht="15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</row>
    <row r="45" spans="1:68" ht="15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</row>
    <row r="46" spans="1:68" ht="15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</row>
    <row r="47" spans="1:68" ht="15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</row>
    <row r="48" spans="1:68" ht="15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</row>
    <row r="49" spans="1:68" ht="15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</row>
    <row r="50" spans="1:68" ht="15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</row>
    <row r="51" spans="1:68" ht="15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</row>
    <row r="52" spans="1:68" ht="15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9" r:id="rId1"/>
  <headerFooter alignWithMargins="0">
    <oddHeader>&amp;L&amp;"Times New Roman,Bold"&amp;14Banka e Shqiperise&amp;12
Sektori i Informacionit</oddHeader>
  </headerFooter>
  <colBreaks count="1" manualBreakCount="1">
    <brk id="6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2"/>
  <sheetViews>
    <sheetView zoomScale="75" zoomScaleNormal="75" zoomScalePageLayoutView="0" workbookViewId="0" topLeftCell="A1">
      <pane xSplit="2" ySplit="11" topLeftCell="BP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S46" sqref="BS46"/>
    </sheetView>
  </sheetViews>
  <sheetFormatPr defaultColWidth="13.28125" defaultRowHeight="15.75" customHeight="1"/>
  <cols>
    <col min="1" max="1" width="6.28125" style="34" customWidth="1"/>
    <col min="2" max="2" width="30.8515625" style="34" customWidth="1"/>
    <col min="3" max="3" width="25.8515625" style="34" customWidth="1"/>
    <col min="4" max="4" width="12.421875" style="34" customWidth="1"/>
    <col min="5" max="5" width="7.57421875" style="34" customWidth="1"/>
    <col min="6" max="6" width="21.57421875" style="34" customWidth="1"/>
    <col min="7" max="7" width="18.421875" style="34" customWidth="1"/>
    <col min="8" max="8" width="6.421875" style="34" customWidth="1"/>
    <col min="9" max="9" width="21.28125" style="34" customWidth="1"/>
    <col min="10" max="10" width="14.00390625" style="34" customWidth="1"/>
    <col min="11" max="11" width="6.28125" style="34" customWidth="1"/>
    <col min="12" max="12" width="26.00390625" style="34" customWidth="1"/>
    <col min="13" max="13" width="13.8515625" style="34" customWidth="1"/>
    <col min="14" max="14" width="5.421875" style="34" customWidth="1"/>
    <col min="15" max="15" width="24.140625" style="34" customWidth="1"/>
    <col min="16" max="16" width="14.00390625" style="34" customWidth="1"/>
    <col min="17" max="17" width="5.7109375" style="34" customWidth="1"/>
    <col min="18" max="18" width="21.7109375" style="34" customWidth="1"/>
    <col min="19" max="19" width="15.00390625" style="34" customWidth="1"/>
    <col min="20" max="20" width="5.57421875" style="34" customWidth="1"/>
    <col min="21" max="21" width="25.7109375" style="34" customWidth="1"/>
    <col min="22" max="22" width="15.8515625" style="34" customWidth="1"/>
    <col min="23" max="23" width="6.7109375" style="34" customWidth="1"/>
    <col min="24" max="24" width="23.00390625" style="34" customWidth="1"/>
    <col min="25" max="25" width="13.8515625" style="34" customWidth="1"/>
    <col min="26" max="26" width="7.140625" style="34" customWidth="1"/>
    <col min="27" max="27" width="24.00390625" style="34" customWidth="1"/>
    <col min="28" max="28" width="15.7109375" style="34" customWidth="1"/>
    <col min="29" max="29" width="5.7109375" style="34" customWidth="1"/>
    <col min="30" max="30" width="25.140625" style="34" customWidth="1"/>
    <col min="31" max="31" width="14.00390625" style="34" customWidth="1"/>
    <col min="32" max="32" width="5.7109375" style="34" customWidth="1"/>
    <col min="33" max="33" width="27.140625" style="34" customWidth="1"/>
    <col min="34" max="34" width="10.57421875" style="34" customWidth="1"/>
    <col min="35" max="35" width="6.421875" style="34" customWidth="1"/>
    <col min="36" max="36" width="24.00390625" style="34" customWidth="1"/>
    <col min="37" max="37" width="12.421875" style="34" customWidth="1"/>
    <col min="38" max="38" width="5.7109375" style="34" customWidth="1"/>
    <col min="39" max="39" width="21.421875" style="34" customWidth="1"/>
    <col min="40" max="40" width="10.57421875" style="34" customWidth="1"/>
    <col min="41" max="41" width="5.7109375" style="34" customWidth="1"/>
    <col min="42" max="42" width="22.57421875" style="34" customWidth="1"/>
    <col min="43" max="43" width="10.57421875" style="34" customWidth="1"/>
    <col min="44" max="44" width="5.7109375" style="34" customWidth="1"/>
    <col min="45" max="45" width="21.8515625" style="34" customWidth="1"/>
    <col min="46" max="46" width="14.28125" style="34" customWidth="1"/>
    <col min="47" max="47" width="6.421875" style="34" customWidth="1"/>
    <col min="48" max="48" width="21.421875" style="34" customWidth="1"/>
    <col min="49" max="49" width="10.57421875" style="34" customWidth="1"/>
    <col min="50" max="50" width="5.7109375" style="34" customWidth="1"/>
    <col min="51" max="51" width="21.421875" style="34" customWidth="1"/>
    <col min="52" max="52" width="13.421875" style="34" customWidth="1"/>
    <col min="53" max="53" width="5.7109375" style="34" customWidth="1"/>
    <col min="54" max="54" width="22.28125" style="34" customWidth="1"/>
    <col min="55" max="55" width="13.140625" style="34" customWidth="1"/>
    <col min="56" max="56" width="7.00390625" style="34" customWidth="1"/>
    <col min="57" max="57" width="21.421875" style="34" customWidth="1"/>
    <col min="58" max="58" width="15.421875" style="34" customWidth="1"/>
    <col min="59" max="59" width="6.421875" style="34" customWidth="1"/>
    <col min="60" max="60" width="23.57421875" style="34" customWidth="1"/>
    <col min="61" max="61" width="12.8515625" style="34" customWidth="1"/>
    <col min="62" max="62" width="8.140625" style="34" customWidth="1"/>
    <col min="63" max="63" width="22.57421875" style="34" customWidth="1"/>
    <col min="64" max="64" width="14.140625" style="34" customWidth="1"/>
    <col min="65" max="65" width="8.57421875" style="34" customWidth="1"/>
    <col min="66" max="66" width="22.57421875" style="34" customWidth="1"/>
    <col min="67" max="67" width="14.140625" style="34" customWidth="1"/>
    <col min="68" max="68" width="10.7109375" style="34" customWidth="1"/>
    <col min="69" max="69" width="22.57421875" style="34" customWidth="1"/>
    <col min="70" max="70" width="14.140625" style="34" customWidth="1"/>
    <col min="71" max="71" width="9.140625" style="34" customWidth="1"/>
    <col min="72" max="72" width="21.7109375" style="34" customWidth="1"/>
    <col min="73" max="73" width="13.140625" style="34" customWidth="1"/>
    <col min="74" max="16384" width="13.28125" style="34" customWidth="1"/>
  </cols>
  <sheetData>
    <row r="1" spans="1:74" ht="15.75" customHeight="1">
      <c r="A1" s="53" t="s">
        <v>0</v>
      </c>
      <c r="B1" s="54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55" t="s">
        <v>1</v>
      </c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7"/>
      <c r="BV1" s="57"/>
    </row>
    <row r="2" spans="1:74" ht="15.75" customHeight="1">
      <c r="A2" s="53"/>
      <c r="B2" s="5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55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7"/>
      <c r="BV2" s="57"/>
    </row>
    <row r="3" spans="1:74" ht="15.75" customHeight="1">
      <c r="A3" s="39"/>
      <c r="B3" s="58" t="s">
        <v>156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57"/>
      <c r="BV3" s="57"/>
    </row>
    <row r="4" spans="1:74" ht="15.75" customHeight="1">
      <c r="A4" s="55" t="s">
        <v>2</v>
      </c>
      <c r="B4" s="39"/>
      <c r="C4" s="53" t="s">
        <v>157</v>
      </c>
      <c r="D4" s="53"/>
      <c r="E4" s="59"/>
      <c r="F4" s="53" t="s">
        <v>158</v>
      </c>
      <c r="G4" s="53"/>
      <c r="H4" s="59"/>
      <c r="I4" s="53" t="s">
        <v>159</v>
      </c>
      <c r="J4" s="53"/>
      <c r="K4" s="53"/>
      <c r="L4" s="53" t="s">
        <v>160</v>
      </c>
      <c r="M4" s="53"/>
      <c r="N4" s="59"/>
      <c r="O4" s="53" t="s">
        <v>161</v>
      </c>
      <c r="P4" s="53"/>
      <c r="Q4" s="59"/>
      <c r="R4" s="53" t="s">
        <v>162</v>
      </c>
      <c r="S4" s="53"/>
      <c r="T4" s="53"/>
      <c r="U4" s="53" t="s">
        <v>163</v>
      </c>
      <c r="V4" s="53"/>
      <c r="W4" s="53"/>
      <c r="X4" s="53" t="s">
        <v>164</v>
      </c>
      <c r="Y4" s="53"/>
      <c r="Z4" s="59"/>
      <c r="AA4" s="53" t="s">
        <v>165</v>
      </c>
      <c r="AB4" s="53"/>
      <c r="AC4" s="59"/>
      <c r="AD4" s="53" t="s">
        <v>166</v>
      </c>
      <c r="AE4" s="53"/>
      <c r="AF4" s="59"/>
      <c r="AG4" s="53" t="s">
        <v>167</v>
      </c>
      <c r="AH4" s="53"/>
      <c r="AI4" s="59"/>
      <c r="AJ4" s="53" t="s">
        <v>168</v>
      </c>
      <c r="AK4" s="53"/>
      <c r="AL4" s="59"/>
      <c r="AM4" s="53" t="s">
        <v>169</v>
      </c>
      <c r="AN4" s="53"/>
      <c r="AO4" s="59"/>
      <c r="AP4" s="53" t="s">
        <v>170</v>
      </c>
      <c r="AQ4" s="53"/>
      <c r="AR4" s="59"/>
      <c r="AS4" s="53" t="s">
        <v>171</v>
      </c>
      <c r="AT4" s="53"/>
      <c r="AU4" s="59"/>
      <c r="AV4" s="53" t="s">
        <v>172</v>
      </c>
      <c r="AW4" s="53"/>
      <c r="AX4" s="59"/>
      <c r="AY4" s="53" t="s">
        <v>173</v>
      </c>
      <c r="AZ4" s="53"/>
      <c r="BA4" s="59"/>
      <c r="BB4" s="53" t="s">
        <v>174</v>
      </c>
      <c r="BC4" s="53"/>
      <c r="BD4" s="59"/>
      <c r="BE4" s="53" t="s">
        <v>175</v>
      </c>
      <c r="BF4" s="53"/>
      <c r="BG4" s="59"/>
      <c r="BH4" s="53" t="s">
        <v>176</v>
      </c>
      <c r="BI4" s="60"/>
      <c r="BJ4" s="60"/>
      <c r="BK4" s="53" t="s">
        <v>177</v>
      </c>
      <c r="BL4" s="53"/>
      <c r="BM4" s="53"/>
      <c r="BN4" s="53" t="s">
        <v>178</v>
      </c>
      <c r="BO4" s="53"/>
      <c r="BP4" s="53"/>
      <c r="BQ4" s="53" t="s">
        <v>179</v>
      </c>
      <c r="BR4" s="53"/>
      <c r="BS4" s="53"/>
      <c r="BT4" s="53" t="s">
        <v>3</v>
      </c>
      <c r="BU4" s="53"/>
      <c r="BV4" s="60"/>
    </row>
    <row r="5" spans="1:74" ht="15.75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</row>
    <row r="6" spans="1:74" ht="15" customHeight="1" thickTop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</row>
    <row r="7" spans="1:74" ht="15.75" customHeight="1">
      <c r="A7" s="59"/>
      <c r="B7" s="39"/>
      <c r="C7" s="49" t="s">
        <v>4</v>
      </c>
      <c r="D7" s="49" t="s">
        <v>4</v>
      </c>
      <c r="E7" s="49"/>
      <c r="F7" s="49" t="s">
        <v>4</v>
      </c>
      <c r="G7" s="49" t="s">
        <v>4</v>
      </c>
      <c r="H7" s="49"/>
      <c r="I7" s="49" t="s">
        <v>4</v>
      </c>
      <c r="J7" s="49" t="s">
        <v>4</v>
      </c>
      <c r="K7" s="49"/>
      <c r="L7" s="49" t="s">
        <v>4</v>
      </c>
      <c r="M7" s="49" t="s">
        <v>4</v>
      </c>
      <c r="N7" s="49"/>
      <c r="O7" s="49" t="s">
        <v>4</v>
      </c>
      <c r="P7" s="49" t="s">
        <v>4</v>
      </c>
      <c r="Q7" s="49"/>
      <c r="R7" s="49" t="s">
        <v>4</v>
      </c>
      <c r="S7" s="49" t="s">
        <v>4</v>
      </c>
      <c r="T7" s="49"/>
      <c r="U7" s="49" t="s">
        <v>4</v>
      </c>
      <c r="V7" s="49" t="s">
        <v>4</v>
      </c>
      <c r="W7" s="49"/>
      <c r="X7" s="49" t="s">
        <v>4</v>
      </c>
      <c r="Y7" s="49" t="s">
        <v>4</v>
      </c>
      <c r="Z7" s="49"/>
      <c r="AA7" s="49" t="s">
        <v>4</v>
      </c>
      <c r="AB7" s="49" t="s">
        <v>4</v>
      </c>
      <c r="AC7" s="49"/>
      <c r="AD7" s="49" t="s">
        <v>4</v>
      </c>
      <c r="AE7" s="49" t="s">
        <v>4</v>
      </c>
      <c r="AF7" s="49"/>
      <c r="AG7" s="49" t="s">
        <v>4</v>
      </c>
      <c r="AH7" s="49" t="s">
        <v>4</v>
      </c>
      <c r="AI7" s="49"/>
      <c r="AJ7" s="49" t="s">
        <v>4</v>
      </c>
      <c r="AK7" s="49" t="s">
        <v>4</v>
      </c>
      <c r="AL7" s="49"/>
      <c r="AM7" s="49" t="s">
        <v>4</v>
      </c>
      <c r="AN7" s="49" t="s">
        <v>4</v>
      </c>
      <c r="AO7" s="49"/>
      <c r="AP7" s="49" t="s">
        <v>4</v>
      </c>
      <c r="AQ7" s="49" t="s">
        <v>4</v>
      </c>
      <c r="AR7" s="49"/>
      <c r="AS7" s="49" t="s">
        <v>4</v>
      </c>
      <c r="AT7" s="49" t="s">
        <v>4</v>
      </c>
      <c r="AU7" s="49"/>
      <c r="AV7" s="49" t="s">
        <v>4</v>
      </c>
      <c r="AW7" s="49" t="s">
        <v>4</v>
      </c>
      <c r="AX7" s="49"/>
      <c r="AY7" s="49" t="s">
        <v>4</v>
      </c>
      <c r="AZ7" s="49" t="s">
        <v>4</v>
      </c>
      <c r="BA7" s="49"/>
      <c r="BB7" s="49" t="s">
        <v>4</v>
      </c>
      <c r="BC7" s="49" t="s">
        <v>4</v>
      </c>
      <c r="BD7" s="49"/>
      <c r="BE7" s="49" t="s">
        <v>4</v>
      </c>
      <c r="BF7" s="49" t="s">
        <v>4</v>
      </c>
      <c r="BG7" s="49"/>
      <c r="BH7" s="49" t="s">
        <v>4</v>
      </c>
      <c r="BI7" s="49" t="s">
        <v>4</v>
      </c>
      <c r="BJ7" s="49"/>
      <c r="BK7" s="49" t="s">
        <v>4</v>
      </c>
      <c r="BL7" s="49" t="s">
        <v>4</v>
      </c>
      <c r="BM7" s="49"/>
      <c r="BN7" s="49" t="s">
        <v>4</v>
      </c>
      <c r="BO7" s="49" t="s">
        <v>4</v>
      </c>
      <c r="BP7" s="49"/>
      <c r="BQ7" s="49" t="s">
        <v>4</v>
      </c>
      <c r="BR7" s="49" t="s">
        <v>4</v>
      </c>
      <c r="BS7" s="49"/>
      <c r="BT7" s="49" t="s">
        <v>5</v>
      </c>
      <c r="BU7" s="49" t="s">
        <v>5</v>
      </c>
      <c r="BV7" s="49"/>
    </row>
    <row r="8" spans="1:74" ht="15.75" customHeight="1">
      <c r="A8" s="39"/>
      <c r="B8" s="61" t="s">
        <v>6</v>
      </c>
      <c r="C8" s="49" t="s">
        <v>7</v>
      </c>
      <c r="D8" s="49" t="s">
        <v>7</v>
      </c>
      <c r="E8" s="49"/>
      <c r="F8" s="49" t="s">
        <v>7</v>
      </c>
      <c r="G8" s="49" t="s">
        <v>7</v>
      </c>
      <c r="H8" s="49"/>
      <c r="I8" s="49" t="s">
        <v>7</v>
      </c>
      <c r="J8" s="49" t="s">
        <v>7</v>
      </c>
      <c r="K8" s="49"/>
      <c r="L8" s="49" t="s">
        <v>7</v>
      </c>
      <c r="M8" s="49" t="s">
        <v>7</v>
      </c>
      <c r="N8" s="49"/>
      <c r="O8" s="49" t="s">
        <v>7</v>
      </c>
      <c r="P8" s="49" t="s">
        <v>7</v>
      </c>
      <c r="Q8" s="49"/>
      <c r="R8" s="49" t="s">
        <v>7</v>
      </c>
      <c r="S8" s="49" t="s">
        <v>7</v>
      </c>
      <c r="T8" s="49"/>
      <c r="U8" s="49" t="s">
        <v>7</v>
      </c>
      <c r="V8" s="49" t="s">
        <v>7</v>
      </c>
      <c r="W8" s="49"/>
      <c r="X8" s="49" t="s">
        <v>7</v>
      </c>
      <c r="Y8" s="49" t="s">
        <v>7</v>
      </c>
      <c r="Z8" s="49"/>
      <c r="AA8" s="49" t="s">
        <v>7</v>
      </c>
      <c r="AB8" s="49" t="s">
        <v>7</v>
      </c>
      <c r="AC8" s="49"/>
      <c r="AD8" s="49" t="s">
        <v>7</v>
      </c>
      <c r="AE8" s="49" t="s">
        <v>7</v>
      </c>
      <c r="AF8" s="49"/>
      <c r="AG8" s="49" t="s">
        <v>7</v>
      </c>
      <c r="AH8" s="49" t="s">
        <v>7</v>
      </c>
      <c r="AI8" s="49"/>
      <c r="AJ8" s="49" t="s">
        <v>7</v>
      </c>
      <c r="AK8" s="49" t="s">
        <v>7</v>
      </c>
      <c r="AL8" s="49"/>
      <c r="AM8" s="49" t="s">
        <v>7</v>
      </c>
      <c r="AN8" s="49" t="s">
        <v>7</v>
      </c>
      <c r="AO8" s="49"/>
      <c r="AP8" s="49" t="s">
        <v>7</v>
      </c>
      <c r="AQ8" s="49" t="s">
        <v>7</v>
      </c>
      <c r="AR8" s="49"/>
      <c r="AS8" s="49" t="s">
        <v>7</v>
      </c>
      <c r="AT8" s="49" t="s">
        <v>7</v>
      </c>
      <c r="AU8" s="49"/>
      <c r="AV8" s="49" t="s">
        <v>7</v>
      </c>
      <c r="AW8" s="49" t="s">
        <v>7</v>
      </c>
      <c r="AX8" s="49"/>
      <c r="AY8" s="49" t="s">
        <v>7</v>
      </c>
      <c r="AZ8" s="49" t="s">
        <v>7</v>
      </c>
      <c r="BA8" s="49"/>
      <c r="BB8" s="49" t="s">
        <v>7</v>
      </c>
      <c r="BC8" s="49" t="s">
        <v>7</v>
      </c>
      <c r="BD8" s="49"/>
      <c r="BE8" s="49" t="s">
        <v>7</v>
      </c>
      <c r="BF8" s="49" t="s">
        <v>7</v>
      </c>
      <c r="BG8" s="49"/>
      <c r="BH8" s="49" t="s">
        <v>7</v>
      </c>
      <c r="BI8" s="49" t="s">
        <v>7</v>
      </c>
      <c r="BJ8" s="49"/>
      <c r="BK8" s="49" t="s">
        <v>7</v>
      </c>
      <c r="BL8" s="49" t="s">
        <v>7</v>
      </c>
      <c r="BM8" s="49"/>
      <c r="BN8" s="49" t="s">
        <v>7</v>
      </c>
      <c r="BO8" s="49" t="s">
        <v>7</v>
      </c>
      <c r="BP8" s="49"/>
      <c r="BQ8" s="49" t="s">
        <v>7</v>
      </c>
      <c r="BR8" s="49" t="s">
        <v>7</v>
      </c>
      <c r="BS8" s="49"/>
      <c r="BT8" s="49" t="s">
        <v>8</v>
      </c>
      <c r="BU8" s="49" t="s">
        <v>9</v>
      </c>
      <c r="BV8" s="49"/>
    </row>
    <row r="9" spans="1:74" ht="15.75" customHeight="1">
      <c r="A9" s="39"/>
      <c r="B9" s="39"/>
      <c r="C9" s="49" t="s">
        <v>10</v>
      </c>
      <c r="D9" s="49" t="s">
        <v>9</v>
      </c>
      <c r="E9" s="49"/>
      <c r="F9" s="49" t="s">
        <v>10</v>
      </c>
      <c r="G9" s="49" t="s">
        <v>9</v>
      </c>
      <c r="H9" s="49"/>
      <c r="I9" s="49" t="s">
        <v>10</v>
      </c>
      <c r="J9" s="49" t="s">
        <v>9</v>
      </c>
      <c r="K9" s="49"/>
      <c r="L9" s="49" t="s">
        <v>10</v>
      </c>
      <c r="M9" s="49" t="s">
        <v>9</v>
      </c>
      <c r="N9" s="49"/>
      <c r="O9" s="49" t="s">
        <v>10</v>
      </c>
      <c r="P9" s="49" t="s">
        <v>9</v>
      </c>
      <c r="Q9" s="49"/>
      <c r="R9" s="49" t="s">
        <v>10</v>
      </c>
      <c r="S9" s="49" t="s">
        <v>9</v>
      </c>
      <c r="T9" s="49"/>
      <c r="U9" s="49" t="s">
        <v>10</v>
      </c>
      <c r="V9" s="49" t="s">
        <v>9</v>
      </c>
      <c r="W9" s="49"/>
      <c r="X9" s="49" t="s">
        <v>10</v>
      </c>
      <c r="Y9" s="49" t="s">
        <v>9</v>
      </c>
      <c r="Z9" s="49"/>
      <c r="AA9" s="49" t="s">
        <v>10</v>
      </c>
      <c r="AB9" s="49" t="s">
        <v>9</v>
      </c>
      <c r="AC9" s="49"/>
      <c r="AD9" s="49" t="s">
        <v>10</v>
      </c>
      <c r="AE9" s="49" t="s">
        <v>9</v>
      </c>
      <c r="AF9" s="49"/>
      <c r="AG9" s="49" t="s">
        <v>10</v>
      </c>
      <c r="AH9" s="49" t="s">
        <v>9</v>
      </c>
      <c r="AI9" s="49"/>
      <c r="AJ9" s="49" t="s">
        <v>10</v>
      </c>
      <c r="AK9" s="49" t="s">
        <v>9</v>
      </c>
      <c r="AL9" s="49"/>
      <c r="AM9" s="49" t="s">
        <v>10</v>
      </c>
      <c r="AN9" s="49" t="s">
        <v>9</v>
      </c>
      <c r="AO9" s="49"/>
      <c r="AP9" s="49" t="s">
        <v>10</v>
      </c>
      <c r="AQ9" s="49" t="s">
        <v>9</v>
      </c>
      <c r="AR9" s="49"/>
      <c r="AS9" s="49" t="s">
        <v>10</v>
      </c>
      <c r="AT9" s="49" t="s">
        <v>9</v>
      </c>
      <c r="AU9" s="49"/>
      <c r="AV9" s="49" t="s">
        <v>10</v>
      </c>
      <c r="AW9" s="49" t="s">
        <v>9</v>
      </c>
      <c r="AX9" s="49"/>
      <c r="AY9" s="49" t="s">
        <v>10</v>
      </c>
      <c r="AZ9" s="49" t="s">
        <v>9</v>
      </c>
      <c r="BA9" s="49"/>
      <c r="BB9" s="49" t="s">
        <v>10</v>
      </c>
      <c r="BC9" s="49" t="s">
        <v>9</v>
      </c>
      <c r="BD9" s="49"/>
      <c r="BE9" s="49" t="s">
        <v>10</v>
      </c>
      <c r="BF9" s="49" t="s">
        <v>9</v>
      </c>
      <c r="BG9" s="49"/>
      <c r="BH9" s="49" t="s">
        <v>10</v>
      </c>
      <c r="BI9" s="49" t="s">
        <v>9</v>
      </c>
      <c r="BJ9" s="49"/>
      <c r="BK9" s="49" t="s">
        <v>10</v>
      </c>
      <c r="BL9" s="49" t="s">
        <v>9</v>
      </c>
      <c r="BM9" s="49"/>
      <c r="BN9" s="49" t="s">
        <v>10</v>
      </c>
      <c r="BO9" s="49" t="s">
        <v>9</v>
      </c>
      <c r="BP9" s="49"/>
      <c r="BQ9" s="49" t="s">
        <v>10</v>
      </c>
      <c r="BR9" s="49" t="s">
        <v>9</v>
      </c>
      <c r="BS9" s="49"/>
      <c r="BT9" s="49" t="s">
        <v>7</v>
      </c>
      <c r="BU9" s="49" t="s">
        <v>11</v>
      </c>
      <c r="BV9" s="49"/>
    </row>
    <row r="10" spans="1:75" ht="15.75" customHeight="1">
      <c r="A10" s="39"/>
      <c r="B10" s="39"/>
      <c r="C10" s="39"/>
      <c r="D10" s="49" t="s">
        <v>12</v>
      </c>
      <c r="E10" s="49"/>
      <c r="F10" s="39"/>
      <c r="G10" s="49" t="s">
        <v>12</v>
      </c>
      <c r="H10" s="49"/>
      <c r="I10" s="39"/>
      <c r="J10" s="49" t="s">
        <v>12</v>
      </c>
      <c r="K10" s="39"/>
      <c r="L10" s="39"/>
      <c r="M10" s="49" t="s">
        <v>12</v>
      </c>
      <c r="N10" s="49"/>
      <c r="O10" s="39"/>
      <c r="P10" s="49" t="s">
        <v>12</v>
      </c>
      <c r="Q10" s="49"/>
      <c r="R10" s="39"/>
      <c r="S10" s="49" t="s">
        <v>12</v>
      </c>
      <c r="T10" s="49"/>
      <c r="U10" s="39"/>
      <c r="V10" s="49" t="s">
        <v>12</v>
      </c>
      <c r="W10" s="49"/>
      <c r="X10" s="39"/>
      <c r="Y10" s="49" t="s">
        <v>12</v>
      </c>
      <c r="Z10" s="49"/>
      <c r="AA10" s="39"/>
      <c r="AB10" s="49" t="s">
        <v>12</v>
      </c>
      <c r="AC10" s="49"/>
      <c r="AD10" s="39"/>
      <c r="AE10" s="49" t="s">
        <v>12</v>
      </c>
      <c r="AF10" s="49"/>
      <c r="AG10" s="39"/>
      <c r="AH10" s="49" t="s">
        <v>12</v>
      </c>
      <c r="AI10" s="49"/>
      <c r="AJ10" s="39"/>
      <c r="AK10" s="49" t="s">
        <v>12</v>
      </c>
      <c r="AL10" s="49"/>
      <c r="AM10" s="39"/>
      <c r="AN10" s="49" t="s">
        <v>12</v>
      </c>
      <c r="AO10" s="49"/>
      <c r="AP10" s="39"/>
      <c r="AQ10" s="49" t="s">
        <v>12</v>
      </c>
      <c r="AR10" s="49"/>
      <c r="AS10" s="39"/>
      <c r="AT10" s="49" t="s">
        <v>12</v>
      </c>
      <c r="AU10" s="49"/>
      <c r="AV10" s="39"/>
      <c r="AW10" s="49" t="s">
        <v>12</v>
      </c>
      <c r="AX10" s="49"/>
      <c r="AY10" s="39"/>
      <c r="AZ10" s="49" t="s">
        <v>12</v>
      </c>
      <c r="BA10" s="49"/>
      <c r="BB10" s="39"/>
      <c r="BC10" s="49" t="s">
        <v>12</v>
      </c>
      <c r="BD10" s="49"/>
      <c r="BE10" s="39"/>
      <c r="BF10" s="49" t="s">
        <v>12</v>
      </c>
      <c r="BG10" s="49"/>
      <c r="BH10" s="39"/>
      <c r="BI10" s="49" t="s">
        <v>12</v>
      </c>
      <c r="BJ10" s="49"/>
      <c r="BK10" s="39"/>
      <c r="BL10" s="49" t="s">
        <v>12</v>
      </c>
      <c r="BM10" s="49"/>
      <c r="BN10" s="39"/>
      <c r="BO10" s="49" t="s">
        <v>12</v>
      </c>
      <c r="BP10" s="39"/>
      <c r="BQ10" s="39"/>
      <c r="BR10" s="49" t="s">
        <v>12</v>
      </c>
      <c r="BS10" s="49"/>
      <c r="BT10" s="49" t="s">
        <v>10</v>
      </c>
      <c r="BU10" s="49" t="s">
        <v>12</v>
      </c>
      <c r="BV10" s="49"/>
      <c r="BW10" s="62"/>
    </row>
    <row r="11" spans="1:74" ht="15.75" customHeight="1" thickBo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</row>
    <row r="12" spans="1:74" ht="16.5" customHeight="1" thickTop="1">
      <c r="A12" s="31" t="s">
        <v>2</v>
      </c>
      <c r="B12" s="32"/>
      <c r="C12" s="33"/>
      <c r="D12" s="32"/>
      <c r="E12" s="32"/>
      <c r="F12" s="33"/>
      <c r="G12" s="32"/>
      <c r="H12" s="32"/>
      <c r="I12" s="33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</row>
    <row r="13" spans="1:76" ht="15.75" customHeight="1">
      <c r="A13" s="35">
        <v>1</v>
      </c>
      <c r="B13" s="36" t="s">
        <v>14</v>
      </c>
      <c r="C13" s="37">
        <v>105.35</v>
      </c>
      <c r="D13" s="38">
        <v>73.42</v>
      </c>
      <c r="E13" s="39"/>
      <c r="F13" s="37">
        <v>106.42</v>
      </c>
      <c r="G13" s="38">
        <v>72.46</v>
      </c>
      <c r="H13" s="39"/>
      <c r="I13" s="37">
        <v>106.3</v>
      </c>
      <c r="J13" s="38">
        <v>72.31</v>
      </c>
      <c r="K13" s="39"/>
      <c r="L13" s="37">
        <v>106.8</v>
      </c>
      <c r="M13" s="38">
        <v>72.69</v>
      </c>
      <c r="N13" s="39"/>
      <c r="O13" s="37">
        <v>107.55</v>
      </c>
      <c r="P13" s="38">
        <v>72.34</v>
      </c>
      <c r="Q13" s="39"/>
      <c r="R13" s="37">
        <v>106.52</v>
      </c>
      <c r="S13" s="38">
        <v>72.71</v>
      </c>
      <c r="T13" s="39"/>
      <c r="U13" s="37">
        <v>107.52</v>
      </c>
      <c r="V13" s="38">
        <v>72.21</v>
      </c>
      <c r="W13" s="39"/>
      <c r="X13" s="37">
        <v>107.27</v>
      </c>
      <c r="Y13" s="38">
        <v>72.24</v>
      </c>
      <c r="Z13" s="39"/>
      <c r="AA13" s="37">
        <v>107.13</v>
      </c>
      <c r="AB13" s="38">
        <v>72.08</v>
      </c>
      <c r="AC13" s="39"/>
      <c r="AD13" s="37">
        <v>106.69</v>
      </c>
      <c r="AE13" s="38">
        <v>72.06</v>
      </c>
      <c r="AF13" s="39"/>
      <c r="AG13" s="37">
        <v>105.08</v>
      </c>
      <c r="AH13" s="38">
        <v>72.65</v>
      </c>
      <c r="AI13" s="39"/>
      <c r="AJ13" s="37">
        <v>104.12</v>
      </c>
      <c r="AK13" s="38">
        <v>73.53</v>
      </c>
      <c r="AL13" s="39"/>
      <c r="AM13" s="37">
        <v>105.21</v>
      </c>
      <c r="AN13" s="38">
        <v>73.01</v>
      </c>
      <c r="AO13" s="39"/>
      <c r="AP13" s="37">
        <v>106.33</v>
      </c>
      <c r="AQ13" s="38">
        <v>72.3</v>
      </c>
      <c r="AR13" s="39"/>
      <c r="AS13" s="37">
        <v>106.6</v>
      </c>
      <c r="AT13" s="38">
        <v>71.99</v>
      </c>
      <c r="AU13" s="39"/>
      <c r="AV13" s="37">
        <v>106.31</v>
      </c>
      <c r="AW13" s="38">
        <v>72</v>
      </c>
      <c r="AX13" s="39"/>
      <c r="AY13" s="37">
        <v>107.77</v>
      </c>
      <c r="AZ13" s="38">
        <v>71.68</v>
      </c>
      <c r="BA13" s="39"/>
      <c r="BB13" s="37">
        <v>107.72</v>
      </c>
      <c r="BC13" s="38">
        <v>72.11</v>
      </c>
      <c r="BD13" s="39"/>
      <c r="BE13" s="37">
        <v>107.07</v>
      </c>
      <c r="BF13" s="38">
        <v>72.44</v>
      </c>
      <c r="BG13" s="39"/>
      <c r="BH13" s="37">
        <v>107.71</v>
      </c>
      <c r="BI13" s="38">
        <v>71.83</v>
      </c>
      <c r="BJ13" s="39"/>
      <c r="BK13" s="37">
        <v>107.62</v>
      </c>
      <c r="BL13" s="38">
        <v>71.84</v>
      </c>
      <c r="BM13" s="38"/>
      <c r="BN13" s="37">
        <v>107.77</v>
      </c>
      <c r="BO13" s="38">
        <v>72.41</v>
      </c>
      <c r="BP13" s="37"/>
      <c r="BQ13" s="37">
        <v>108.13</v>
      </c>
      <c r="BR13" s="38">
        <v>72.14</v>
      </c>
      <c r="BS13" s="38"/>
      <c r="BT13" s="50">
        <f>(C13+F13+I13+L13+O13+R13+U13+X13+AA13+AD13+AG13+AJ13+AM13+AP13+AS13+AV13+AY13+BB13+BE13+BH13+BK13+BN13+BQ13)/23</f>
        <v>106.7386956521739</v>
      </c>
      <c r="BU13" s="50">
        <f>(D13+G13+J13+M13+P13+S13+V13+Y13+AB13+AE13+AH13+AK13+AN13+AQ13+AT13+AW13+AZ13+BC13+BF13+BI13+BL13+BO13+BR13)/23</f>
        <v>72.36739130434782</v>
      </c>
      <c r="BV13" s="39"/>
      <c r="BW13" s="80"/>
      <c r="BX13" s="80"/>
    </row>
    <row r="14" spans="1:78" s="47" customFormat="1" ht="15.75" customHeight="1">
      <c r="A14" s="40">
        <v>2</v>
      </c>
      <c r="B14" s="41" t="s">
        <v>15</v>
      </c>
      <c r="C14" s="25">
        <f>1/1.9974</f>
        <v>0.5006508460999299</v>
      </c>
      <c r="D14" s="26">
        <v>154.49</v>
      </c>
      <c r="E14" s="24"/>
      <c r="F14" s="25">
        <f>1/1.9866</f>
        <v>0.5033725963958522</v>
      </c>
      <c r="G14" s="26">
        <v>153.19</v>
      </c>
      <c r="H14" s="24"/>
      <c r="I14" s="25">
        <f>1/1.9855</f>
        <v>0.503651473180559</v>
      </c>
      <c r="J14" s="26">
        <v>152.61</v>
      </c>
      <c r="K14" s="24"/>
      <c r="L14" s="25">
        <f>1/1.9815</f>
        <v>0.5046681806712087</v>
      </c>
      <c r="M14" s="26">
        <v>153.83</v>
      </c>
      <c r="N14" s="24"/>
      <c r="O14" s="25">
        <f>1/1.9676</f>
        <v>0.5082333807684488</v>
      </c>
      <c r="P14" s="26">
        <v>153.08</v>
      </c>
      <c r="Q14" s="24"/>
      <c r="R14" s="25">
        <f>1/1.9766</f>
        <v>0.5059192552868562</v>
      </c>
      <c r="S14" s="26">
        <v>153.09</v>
      </c>
      <c r="T14" s="24"/>
      <c r="U14" s="25">
        <f>1/1.9702</f>
        <v>0.507562683991473</v>
      </c>
      <c r="V14" s="26">
        <v>152.96</v>
      </c>
      <c r="W14" s="24"/>
      <c r="X14" s="25">
        <f>1/1.9719</f>
        <v>0.5071251077640854</v>
      </c>
      <c r="Y14" s="26">
        <v>152.8</v>
      </c>
      <c r="Z14" s="24"/>
      <c r="AA14" s="25">
        <f>1/1.9779</f>
        <v>0.5055867334041155</v>
      </c>
      <c r="AB14" s="26">
        <v>152.72</v>
      </c>
      <c r="AC14" s="24"/>
      <c r="AD14" s="25">
        <f>1/1.9845</f>
        <v>0.5039052658100277</v>
      </c>
      <c r="AE14" s="26">
        <v>152.57</v>
      </c>
      <c r="AF14" s="24"/>
      <c r="AG14" s="25">
        <f>1/2.0106</f>
        <v>0.4973639709539441</v>
      </c>
      <c r="AH14" s="26">
        <v>153.49</v>
      </c>
      <c r="AI14" s="24"/>
      <c r="AJ14" s="25">
        <f>1/2.0033</f>
        <v>0.49917635900763746</v>
      </c>
      <c r="AK14" s="26">
        <v>153.38</v>
      </c>
      <c r="AL14" s="24"/>
      <c r="AM14" s="25">
        <f>1/2.0029</f>
        <v>0.4992760497278946</v>
      </c>
      <c r="AN14" s="26">
        <v>153.85</v>
      </c>
      <c r="AO14" s="24"/>
      <c r="AP14" s="25">
        <f>1/1.996</f>
        <v>0.501002004008016</v>
      </c>
      <c r="AQ14" s="26">
        <v>153.46</v>
      </c>
      <c r="AR14" s="24"/>
      <c r="AS14" s="25">
        <f>1/1.9965</f>
        <v>0.5008765339343851</v>
      </c>
      <c r="AT14" s="26">
        <v>153.21</v>
      </c>
      <c r="AU14" s="24"/>
      <c r="AV14" s="25">
        <f>1/2.0048</f>
        <v>0.4988028731045491</v>
      </c>
      <c r="AW14" s="26">
        <v>153.45</v>
      </c>
      <c r="AX14" s="24"/>
      <c r="AY14" s="25">
        <f>1/1.9932</f>
        <v>0.5017057997190447</v>
      </c>
      <c r="AZ14" s="26">
        <v>153.97</v>
      </c>
      <c r="BA14" s="24"/>
      <c r="BB14" s="25">
        <f>1/1.9871</f>
        <v>0.5032459362890644</v>
      </c>
      <c r="BC14" s="26">
        <v>154.36</v>
      </c>
      <c r="BD14" s="24"/>
      <c r="BE14" s="25">
        <f>1/1.9936</f>
        <v>0.5016051364365971</v>
      </c>
      <c r="BF14" s="26">
        <v>154.63</v>
      </c>
      <c r="BG14" s="24"/>
      <c r="BH14" s="25">
        <v>0.5035</v>
      </c>
      <c r="BI14" s="26">
        <v>153.67</v>
      </c>
      <c r="BJ14" s="24"/>
      <c r="BK14" s="25">
        <v>0.5013</v>
      </c>
      <c r="BL14" s="26">
        <v>154.23</v>
      </c>
      <c r="BM14" s="26"/>
      <c r="BN14" s="25">
        <v>0.5045</v>
      </c>
      <c r="BO14" s="26">
        <v>154.66</v>
      </c>
      <c r="BP14" s="25"/>
      <c r="BQ14" s="25">
        <v>0.5044</v>
      </c>
      <c r="BR14" s="26">
        <v>154.66</v>
      </c>
      <c r="BS14" s="26"/>
      <c r="BT14" s="50">
        <f aca="true" t="shared" si="0" ref="BT14:BT25">(C14+F14+I14+L14+O14+R14+U14+X14+AA14+AD14+AG14+AJ14+AM14+AP14+AS14+AV14+AY14+BB14+BE14+BH14+BK14+BN14+BQ14)/23</f>
        <v>0.5029317472414647</v>
      </c>
      <c r="BU14" s="50">
        <f aca="true" t="shared" si="1" ref="BU14:BU25">(D14+G14+J14+M14+P14+S14+V14+Y14+AB14+AE14+AH14+AK14+AN14+AQ14+AT14+AW14+AZ14+BC14+BF14+BI14+BL14+BO14+BR14)/23</f>
        <v>153.58086956521737</v>
      </c>
      <c r="BV14" s="24"/>
      <c r="BW14" s="81"/>
      <c r="BX14" s="81"/>
      <c r="BY14" s="34"/>
      <c r="BZ14" s="34"/>
    </row>
    <row r="15" spans="1:76" ht="15.75" customHeight="1">
      <c r="A15" s="35">
        <v>3</v>
      </c>
      <c r="B15" s="36" t="s">
        <v>16</v>
      </c>
      <c r="C15" s="37">
        <v>1.0178</v>
      </c>
      <c r="D15" s="38">
        <v>75.99</v>
      </c>
      <c r="E15" s="39"/>
      <c r="F15" s="37">
        <v>1.0197</v>
      </c>
      <c r="G15" s="38">
        <v>75.62</v>
      </c>
      <c r="H15" s="39"/>
      <c r="I15" s="37">
        <v>1.0138</v>
      </c>
      <c r="J15" s="38">
        <v>75.82</v>
      </c>
      <c r="K15" s="39"/>
      <c r="L15" s="37">
        <v>1.026</v>
      </c>
      <c r="M15" s="38">
        <v>75.67</v>
      </c>
      <c r="N15" s="39"/>
      <c r="O15" s="37">
        <v>1.0309</v>
      </c>
      <c r="P15" s="38">
        <v>75.47</v>
      </c>
      <c r="Q15" s="39"/>
      <c r="R15" s="37">
        <v>1.0234</v>
      </c>
      <c r="S15" s="38">
        <v>75.68</v>
      </c>
      <c r="T15" s="39"/>
      <c r="U15" s="37">
        <v>1.0331</v>
      </c>
      <c r="V15" s="38">
        <v>75.15</v>
      </c>
      <c r="W15" s="39"/>
      <c r="X15" s="37">
        <v>1.0324</v>
      </c>
      <c r="Y15" s="38">
        <v>75.06</v>
      </c>
      <c r="Z15" s="39"/>
      <c r="AA15" s="37">
        <v>1.0277</v>
      </c>
      <c r="AB15" s="38">
        <v>75.13</v>
      </c>
      <c r="AC15" s="39"/>
      <c r="AD15" s="37">
        <v>1.0233</v>
      </c>
      <c r="AE15" s="38">
        <v>75.13</v>
      </c>
      <c r="AF15" s="39"/>
      <c r="AG15" s="37">
        <v>1.004</v>
      </c>
      <c r="AH15" s="38">
        <v>76.03</v>
      </c>
      <c r="AI15" s="39"/>
      <c r="AJ15" s="37">
        <v>1.0077</v>
      </c>
      <c r="AK15" s="38">
        <v>75.98</v>
      </c>
      <c r="AL15" s="39"/>
      <c r="AM15" s="37">
        <v>1.0153</v>
      </c>
      <c r="AN15" s="38">
        <v>75.65</v>
      </c>
      <c r="AO15" s="39"/>
      <c r="AP15" s="37">
        <v>1.0194</v>
      </c>
      <c r="AQ15" s="38">
        <v>75.42</v>
      </c>
      <c r="AR15" s="39"/>
      <c r="AS15" s="37">
        <v>1.0205</v>
      </c>
      <c r="AT15" s="38">
        <v>75.2</v>
      </c>
      <c r="AU15" s="39"/>
      <c r="AV15" s="37">
        <v>1.0161</v>
      </c>
      <c r="AW15" s="38">
        <v>75.33</v>
      </c>
      <c r="AX15" s="39"/>
      <c r="AY15" s="37">
        <v>1.0342</v>
      </c>
      <c r="AZ15" s="38">
        <v>74.69</v>
      </c>
      <c r="BA15" s="39"/>
      <c r="BB15" s="37">
        <v>1.0374</v>
      </c>
      <c r="BC15" s="38">
        <v>74.88</v>
      </c>
      <c r="BD15" s="39"/>
      <c r="BE15" s="37">
        <v>1.0336</v>
      </c>
      <c r="BF15" s="38">
        <v>75.04</v>
      </c>
      <c r="BG15" s="39"/>
      <c r="BH15" s="37">
        <v>1.0351</v>
      </c>
      <c r="BI15" s="38">
        <v>74.75</v>
      </c>
      <c r="BJ15" s="39"/>
      <c r="BK15" s="37">
        <v>1.0331</v>
      </c>
      <c r="BL15" s="38">
        <v>74.84</v>
      </c>
      <c r="BM15" s="38"/>
      <c r="BN15" s="37">
        <v>1.0452</v>
      </c>
      <c r="BO15" s="38">
        <v>74.66</v>
      </c>
      <c r="BP15" s="37"/>
      <c r="BQ15" s="37">
        <v>1.0466</v>
      </c>
      <c r="BR15" s="38">
        <v>74.54</v>
      </c>
      <c r="BS15" s="38"/>
      <c r="BT15" s="50">
        <f t="shared" si="0"/>
        <v>1.0259260869565219</v>
      </c>
      <c r="BU15" s="50">
        <f t="shared" si="1"/>
        <v>75.29260869565218</v>
      </c>
      <c r="BV15" s="39"/>
      <c r="BW15" s="80"/>
      <c r="BX15" s="80"/>
    </row>
    <row r="16" spans="1:76" ht="15.75" customHeight="1">
      <c r="A16" s="35">
        <v>4</v>
      </c>
      <c r="B16" s="36" t="s">
        <v>17</v>
      </c>
      <c r="C16" s="37">
        <f>1/1.5769</f>
        <v>0.6341556217895872</v>
      </c>
      <c r="D16" s="38">
        <v>121.96</v>
      </c>
      <c r="E16" s="39"/>
      <c r="F16" s="37">
        <f>1/1.5804</f>
        <v>0.6327512022272842</v>
      </c>
      <c r="G16" s="38">
        <v>121.91</v>
      </c>
      <c r="H16" s="39"/>
      <c r="I16" s="37">
        <f>1/1.5879</f>
        <v>0.6297625795075257</v>
      </c>
      <c r="J16" s="38">
        <v>122.01</v>
      </c>
      <c r="K16" s="39"/>
      <c r="L16" s="37">
        <f>1/1.569</f>
        <v>0.6373486297004461</v>
      </c>
      <c r="M16" s="38">
        <v>121.92</v>
      </c>
      <c r="N16" s="39"/>
      <c r="O16" s="37">
        <f>1/1.565</f>
        <v>0.6389776357827476</v>
      </c>
      <c r="P16" s="37">
        <v>121.75</v>
      </c>
      <c r="Q16" s="39"/>
      <c r="R16" s="37">
        <f>1/1.5723</f>
        <v>0.6360109393881574</v>
      </c>
      <c r="S16" s="37">
        <v>121.77</v>
      </c>
      <c r="T16" s="39"/>
      <c r="U16" s="37">
        <f>1/1.5689</f>
        <v>0.637389253617184</v>
      </c>
      <c r="V16" s="37">
        <v>121.8</v>
      </c>
      <c r="W16" s="39"/>
      <c r="X16" s="37">
        <f>1/1.5703</f>
        <v>0.6368209896198178</v>
      </c>
      <c r="Y16" s="37">
        <v>121.75</v>
      </c>
      <c r="Z16" s="39"/>
      <c r="AA16" s="37">
        <f>1/1.5791</f>
        <v>0.6332721170286872</v>
      </c>
      <c r="AB16" s="37">
        <v>121.9</v>
      </c>
      <c r="AC16" s="39"/>
      <c r="AD16" s="37">
        <f>1/1.5862</f>
        <v>0.6304375236414071</v>
      </c>
      <c r="AE16" s="37">
        <v>121.96</v>
      </c>
      <c r="AF16" s="39"/>
      <c r="AG16" s="37">
        <f>1/1.6015</f>
        <v>0.6244146113019045</v>
      </c>
      <c r="AH16" s="37">
        <v>122.1</v>
      </c>
      <c r="AI16" s="39"/>
      <c r="AJ16" s="37">
        <f>1/1.5927</f>
        <v>0.6278646323852577</v>
      </c>
      <c r="AK16" s="37">
        <v>121.97</v>
      </c>
      <c r="AL16" s="39"/>
      <c r="AM16" s="37">
        <f>1/1.5886</f>
        <v>0.6294850812035755</v>
      </c>
      <c r="AN16" s="37">
        <v>121.97</v>
      </c>
      <c r="AO16" s="39"/>
      <c r="AP16" s="37">
        <f>1/1.5872</f>
        <v>0.6300403225806451</v>
      </c>
      <c r="AQ16" s="37">
        <v>121.94</v>
      </c>
      <c r="AR16" s="39"/>
      <c r="AS16" s="37">
        <f>1/1.5883</f>
        <v>0.6296039790971478</v>
      </c>
      <c r="AT16" s="37">
        <v>121.89</v>
      </c>
      <c r="AU16" s="39"/>
      <c r="AV16" s="37">
        <f>1/1.5917</f>
        <v>0.6282590940503864</v>
      </c>
      <c r="AW16" s="37">
        <v>121.81</v>
      </c>
      <c r="AX16" s="39"/>
      <c r="AY16" s="37">
        <f>1/1.5741</f>
        <v>0.6352836541515786</v>
      </c>
      <c r="AZ16" s="37">
        <v>121.77</v>
      </c>
      <c r="BA16" s="39"/>
      <c r="BB16" s="37">
        <f>1/1.5681</f>
        <v>0.6377144314775843</v>
      </c>
      <c r="BC16" s="37">
        <v>121.81</v>
      </c>
      <c r="BD16" s="39"/>
      <c r="BE16" s="37">
        <f>1/1.5718</f>
        <v>0.636213258684311</v>
      </c>
      <c r="BF16" s="37">
        <v>121.91</v>
      </c>
      <c r="BG16" s="39"/>
      <c r="BH16" s="37">
        <v>0.6357</v>
      </c>
      <c r="BI16" s="37">
        <v>121.71</v>
      </c>
      <c r="BJ16" s="39"/>
      <c r="BK16" s="37">
        <v>0.6353</v>
      </c>
      <c r="BL16" s="37">
        <v>121.75</v>
      </c>
      <c r="BM16" s="38"/>
      <c r="BN16" s="37">
        <v>0.6409</v>
      </c>
      <c r="BO16" s="37">
        <v>121.75</v>
      </c>
      <c r="BP16" s="37"/>
      <c r="BQ16" s="37">
        <v>0.6403</v>
      </c>
      <c r="BR16" s="37">
        <v>121.8</v>
      </c>
      <c r="BS16" s="38"/>
      <c r="BT16" s="50">
        <f t="shared" si="0"/>
        <v>0.6338263285754452</v>
      </c>
      <c r="BU16" s="50">
        <f t="shared" si="1"/>
        <v>121.86565217391306</v>
      </c>
      <c r="BV16" s="39"/>
      <c r="BW16" s="80"/>
      <c r="BX16" s="80"/>
    </row>
    <row r="17" spans="1:76" ht="15.75" customHeight="1">
      <c r="A17" s="35">
        <v>5</v>
      </c>
      <c r="B17" s="36" t="s">
        <v>18</v>
      </c>
      <c r="C17" s="37">
        <v>928.95</v>
      </c>
      <c r="D17" s="52">
        <v>71849.06</v>
      </c>
      <c r="E17" s="39"/>
      <c r="F17" s="37">
        <v>937.8</v>
      </c>
      <c r="G17" s="52">
        <v>72315.52</v>
      </c>
      <c r="H17" s="39"/>
      <c r="I17" s="37">
        <v>940.4</v>
      </c>
      <c r="J17" s="52">
        <v>72283.26</v>
      </c>
      <c r="K17" s="39"/>
      <c r="L17" s="37">
        <v>931.3</v>
      </c>
      <c r="M17" s="52">
        <v>72299.73</v>
      </c>
      <c r="N17" s="39"/>
      <c r="O17" s="37">
        <v>921.3</v>
      </c>
      <c r="P17" s="52">
        <v>71677.72</v>
      </c>
      <c r="Q17" s="39"/>
      <c r="R17" s="37">
        <v>929.1</v>
      </c>
      <c r="S17" s="52">
        <v>71959.38</v>
      </c>
      <c r="T17" s="39"/>
      <c r="U17" s="37">
        <v>922.9</v>
      </c>
      <c r="V17" s="52">
        <v>71649.34</v>
      </c>
      <c r="W17" s="39"/>
      <c r="X17" s="37">
        <v>930.15</v>
      </c>
      <c r="Y17" s="52">
        <v>72078.49</v>
      </c>
      <c r="Z17" s="39"/>
      <c r="AA17" s="37">
        <v>948.9</v>
      </c>
      <c r="AB17" s="52">
        <v>73269.91</v>
      </c>
      <c r="AC17" s="39"/>
      <c r="AD17" s="37">
        <v>961.7</v>
      </c>
      <c r="AE17" s="52">
        <v>73936.7</v>
      </c>
      <c r="AF17" s="39"/>
      <c r="AG17" s="37">
        <v>981.4</v>
      </c>
      <c r="AH17" s="52">
        <v>74918.24</v>
      </c>
      <c r="AI17" s="39"/>
      <c r="AJ17" s="37">
        <v>973.95</v>
      </c>
      <c r="AK17" s="52">
        <v>74568.66</v>
      </c>
      <c r="AL17" s="39"/>
      <c r="AM17" s="37">
        <v>964.5</v>
      </c>
      <c r="AN17" s="52">
        <v>74085.05</v>
      </c>
      <c r="AO17" s="39"/>
      <c r="AP17" s="37">
        <v>960.8</v>
      </c>
      <c r="AQ17" s="52">
        <v>73868.11</v>
      </c>
      <c r="AR17" s="39"/>
      <c r="AS17" s="37">
        <v>965.4</v>
      </c>
      <c r="AT17" s="52">
        <v>74086</v>
      </c>
      <c r="AU17" s="39"/>
      <c r="AV17" s="37">
        <v>972.7</v>
      </c>
      <c r="AW17" s="52">
        <v>74454.11</v>
      </c>
      <c r="AX17" s="39"/>
      <c r="AY17" s="37">
        <v>935.05</v>
      </c>
      <c r="AZ17" s="52">
        <v>72231.44</v>
      </c>
      <c r="BA17" s="39"/>
      <c r="BB17" s="37">
        <v>928.2</v>
      </c>
      <c r="BC17" s="52">
        <v>72101.42</v>
      </c>
      <c r="BD17" s="39"/>
      <c r="BE17" s="37">
        <v>931.6</v>
      </c>
      <c r="BF17" s="52">
        <v>72260.14</v>
      </c>
      <c r="BG17" s="39"/>
      <c r="BH17" s="37">
        <v>929.4</v>
      </c>
      <c r="BI17" s="52">
        <v>71909.42</v>
      </c>
      <c r="BJ17" s="39"/>
      <c r="BK17" s="37">
        <v>928.7</v>
      </c>
      <c r="BL17" s="52">
        <v>71802.44</v>
      </c>
      <c r="BM17" s="52"/>
      <c r="BN17" s="37">
        <v>913.5</v>
      </c>
      <c r="BO17" s="52">
        <v>71282.12</v>
      </c>
      <c r="BP17" s="37"/>
      <c r="BQ17" s="37">
        <v>912</v>
      </c>
      <c r="BR17" s="52">
        <v>71144.55</v>
      </c>
      <c r="BS17" s="52"/>
      <c r="BT17" s="50">
        <f t="shared" si="0"/>
        <v>941.2913043478261</v>
      </c>
      <c r="BU17" s="50">
        <f t="shared" si="1"/>
        <v>72696.99173913043</v>
      </c>
      <c r="BV17" s="39"/>
      <c r="BW17" s="80"/>
      <c r="BX17" s="80"/>
    </row>
    <row r="18" spans="1:76" ht="15.75" customHeight="1">
      <c r="A18" s="35">
        <v>6</v>
      </c>
      <c r="B18" s="42" t="s">
        <v>19</v>
      </c>
      <c r="C18" s="37">
        <v>17.52</v>
      </c>
      <c r="D18" s="38">
        <v>1355.07</v>
      </c>
      <c r="E18" s="39"/>
      <c r="F18" s="37">
        <v>18.06</v>
      </c>
      <c r="G18" s="38">
        <v>1392.64</v>
      </c>
      <c r="H18" s="39"/>
      <c r="I18" s="37">
        <v>18.29</v>
      </c>
      <c r="J18" s="38">
        <v>1405.85</v>
      </c>
      <c r="K18" s="39"/>
      <c r="L18" s="37">
        <v>18.06</v>
      </c>
      <c r="M18" s="38">
        <v>1402.05</v>
      </c>
      <c r="N18" s="39"/>
      <c r="O18" s="37">
        <v>17.86</v>
      </c>
      <c r="P18" s="38">
        <v>1389.52</v>
      </c>
      <c r="Q18" s="39"/>
      <c r="R18" s="37">
        <v>17.77</v>
      </c>
      <c r="S18" s="38">
        <v>1376.3</v>
      </c>
      <c r="T18" s="39"/>
      <c r="U18" s="37">
        <v>17.84</v>
      </c>
      <c r="V18" s="38">
        <v>1385.01</v>
      </c>
      <c r="W18" s="39"/>
      <c r="X18" s="37">
        <v>18.12</v>
      </c>
      <c r="Y18" s="38">
        <v>1404.14</v>
      </c>
      <c r="Z18" s="39"/>
      <c r="AA18" s="37">
        <v>18.34</v>
      </c>
      <c r="AB18" s="38">
        <v>1416.13</v>
      </c>
      <c r="AC18" s="39"/>
      <c r="AD18" s="37">
        <v>18.65</v>
      </c>
      <c r="AE18" s="38">
        <v>1433.84</v>
      </c>
      <c r="AF18" s="39"/>
      <c r="AG18" s="37">
        <v>19.29</v>
      </c>
      <c r="AH18" s="38">
        <v>1472.56</v>
      </c>
      <c r="AI18" s="39"/>
      <c r="AJ18" s="37">
        <v>18.85</v>
      </c>
      <c r="AK18" s="38">
        <v>1443.21</v>
      </c>
      <c r="AL18" s="39"/>
      <c r="AM18" s="37">
        <v>18.84</v>
      </c>
      <c r="AN18" s="38">
        <v>1447.14</v>
      </c>
      <c r="AO18" s="39"/>
      <c r="AP18" s="37">
        <v>18.55</v>
      </c>
      <c r="AQ18" s="38">
        <v>1426.16</v>
      </c>
      <c r="AR18" s="39"/>
      <c r="AS18" s="37">
        <v>18.34</v>
      </c>
      <c r="AT18" s="38">
        <v>1407.43</v>
      </c>
      <c r="AU18" s="39"/>
      <c r="AV18" s="37">
        <v>18.61</v>
      </c>
      <c r="AW18" s="38">
        <v>1424.48</v>
      </c>
      <c r="AX18" s="39"/>
      <c r="AY18" s="37">
        <v>17.64</v>
      </c>
      <c r="AZ18" s="38">
        <v>1362.67</v>
      </c>
      <c r="BA18" s="39"/>
      <c r="BB18" s="37">
        <v>17.52</v>
      </c>
      <c r="BC18" s="38">
        <v>1360.93</v>
      </c>
      <c r="BD18" s="39"/>
      <c r="BE18" s="37">
        <v>17.53</v>
      </c>
      <c r="BF18" s="38">
        <v>1359.73</v>
      </c>
      <c r="BG18" s="39"/>
      <c r="BH18" s="37">
        <v>17.43</v>
      </c>
      <c r="BI18" s="38">
        <v>1348.59</v>
      </c>
      <c r="BJ18" s="39"/>
      <c r="BK18" s="37">
        <v>17.44</v>
      </c>
      <c r="BL18" s="38">
        <v>1348.37</v>
      </c>
      <c r="BM18" s="38"/>
      <c r="BN18" s="37">
        <v>17.22</v>
      </c>
      <c r="BO18" s="38">
        <v>1343.71</v>
      </c>
      <c r="BP18" s="37"/>
      <c r="BQ18" s="37">
        <v>17.49</v>
      </c>
      <c r="BR18" s="38">
        <v>1364.38</v>
      </c>
      <c r="BS18" s="38"/>
      <c r="BT18" s="50">
        <f t="shared" si="0"/>
        <v>18.054782608695653</v>
      </c>
      <c r="BU18" s="50">
        <f t="shared" si="1"/>
        <v>1394.343913043478</v>
      </c>
      <c r="BV18" s="39"/>
      <c r="BW18" s="80"/>
      <c r="BX18" s="80"/>
    </row>
    <row r="19" spans="1:76" ht="15.75" customHeight="1">
      <c r="A19" s="35">
        <v>7</v>
      </c>
      <c r="B19" s="36" t="s">
        <v>20</v>
      </c>
      <c r="C19" s="37">
        <f>1/0.9559</f>
        <v>1.046134532900931</v>
      </c>
      <c r="D19" s="38">
        <v>73.93</v>
      </c>
      <c r="E19" s="39"/>
      <c r="F19" s="37">
        <f>1/0.9597</f>
        <v>1.0419922892570594</v>
      </c>
      <c r="G19" s="38">
        <v>74</v>
      </c>
      <c r="H19" s="39"/>
      <c r="I19" s="37">
        <f>1/0.9617</f>
        <v>1.0398253093480296</v>
      </c>
      <c r="J19" s="38">
        <v>73.92</v>
      </c>
      <c r="K19" s="39"/>
      <c r="L19" s="37">
        <f>1/0.9623</f>
        <v>1.039176971838304</v>
      </c>
      <c r="M19" s="38">
        <v>74.71</v>
      </c>
      <c r="N19" s="39"/>
      <c r="O19" s="37">
        <f>1/0.9571</f>
        <v>1.0448229025180233</v>
      </c>
      <c r="P19" s="38">
        <v>74.46</v>
      </c>
      <c r="Q19" s="39"/>
      <c r="R19" s="37">
        <f>1/0.9537</f>
        <v>1.0485477613505296</v>
      </c>
      <c r="S19" s="38">
        <v>73.86</v>
      </c>
      <c r="T19" s="39"/>
      <c r="U19" s="37">
        <f>1/0.9505</f>
        <v>1.0520778537611783</v>
      </c>
      <c r="V19" s="38">
        <v>73.79</v>
      </c>
      <c r="W19" s="39"/>
      <c r="X19" s="37">
        <f>1/0.959</f>
        <v>1.0427528675703859</v>
      </c>
      <c r="Y19" s="38">
        <v>74.31</v>
      </c>
      <c r="Z19" s="39"/>
      <c r="AA19" s="37">
        <f>1/0.9623</f>
        <v>1.039176971838304</v>
      </c>
      <c r="AB19" s="38">
        <v>74.3</v>
      </c>
      <c r="AC19" s="39"/>
      <c r="AD19" s="37">
        <f>1/0.9676</f>
        <v>1.0334849111202977</v>
      </c>
      <c r="AE19" s="38">
        <v>74.39</v>
      </c>
      <c r="AF19" s="39"/>
      <c r="AG19" s="37">
        <f>1/0.9816</f>
        <v>1.0187449062754685</v>
      </c>
      <c r="AH19" s="38">
        <v>74.93</v>
      </c>
      <c r="AI19" s="39"/>
      <c r="AJ19" s="37">
        <f>1/0.9778</f>
        <v>1.022704029453876</v>
      </c>
      <c r="AK19" s="38">
        <v>74.86</v>
      </c>
      <c r="AL19" s="39"/>
      <c r="AM19" s="37">
        <f>1/0.9784</f>
        <v>1.0220768601798855</v>
      </c>
      <c r="AN19" s="38">
        <v>75.15</v>
      </c>
      <c r="AO19" s="39"/>
      <c r="AP19" s="37">
        <f>1/0.9724</f>
        <v>1.0283833813245578</v>
      </c>
      <c r="AQ19" s="38">
        <v>74.76</v>
      </c>
      <c r="AR19" s="39"/>
      <c r="AS19" s="37">
        <f>1/0.9757</f>
        <v>1.0249051962693452</v>
      </c>
      <c r="AT19" s="38">
        <v>74.88</v>
      </c>
      <c r="AU19" s="39"/>
      <c r="AV19" s="37">
        <f>1/0.9777</f>
        <v>1.0228086325048584</v>
      </c>
      <c r="AW19" s="38">
        <v>74.84</v>
      </c>
      <c r="AX19" s="39"/>
      <c r="AY19" s="37">
        <f>1/0.9673</f>
        <v>1.0338054378166028</v>
      </c>
      <c r="AZ19" s="38">
        <v>74.72</v>
      </c>
      <c r="BA19" s="39"/>
      <c r="BB19" s="37">
        <f>1/0.9621</f>
        <v>1.0393929944912172</v>
      </c>
      <c r="BC19" s="38">
        <v>74.73</v>
      </c>
      <c r="BD19" s="39"/>
      <c r="BE19" s="37">
        <f>1/0.9574</f>
        <v>1.0444955086693126</v>
      </c>
      <c r="BF19" s="38">
        <v>74.26</v>
      </c>
      <c r="BG19" s="39"/>
      <c r="BH19" s="37">
        <v>1.0432</v>
      </c>
      <c r="BI19" s="38">
        <v>74.17</v>
      </c>
      <c r="BJ19" s="48"/>
      <c r="BK19" s="37">
        <v>1.0443</v>
      </c>
      <c r="BL19" s="38">
        <v>74.04</v>
      </c>
      <c r="BM19" s="38"/>
      <c r="BN19" s="37">
        <v>1.0556</v>
      </c>
      <c r="BO19" s="38">
        <v>73.92</v>
      </c>
      <c r="BP19" s="37"/>
      <c r="BQ19" s="37">
        <v>1.058</v>
      </c>
      <c r="BR19" s="38">
        <v>73.73</v>
      </c>
      <c r="BS19" s="38"/>
      <c r="BT19" s="50">
        <f t="shared" si="0"/>
        <v>1.0385395355864417</v>
      </c>
      <c r="BU19" s="50">
        <f t="shared" si="1"/>
        <v>74.37652173913044</v>
      </c>
      <c r="BV19" s="48"/>
      <c r="BW19" s="80"/>
      <c r="BX19" s="80"/>
    </row>
    <row r="20" spans="1:76" ht="15.75" customHeight="1">
      <c r="A20" s="35">
        <v>8</v>
      </c>
      <c r="B20" s="36" t="s">
        <v>21</v>
      </c>
      <c r="C20" s="37">
        <v>1.0166</v>
      </c>
      <c r="D20" s="38">
        <v>76.08</v>
      </c>
      <c r="E20" s="39"/>
      <c r="F20" s="37">
        <v>1.0217</v>
      </c>
      <c r="G20" s="38">
        <v>75.47</v>
      </c>
      <c r="H20" s="39"/>
      <c r="I20" s="37">
        <v>1.0156</v>
      </c>
      <c r="J20" s="38">
        <v>75.68</v>
      </c>
      <c r="K20" s="39"/>
      <c r="L20" s="37">
        <v>1.0151</v>
      </c>
      <c r="M20" s="38">
        <v>76.48</v>
      </c>
      <c r="N20" s="39"/>
      <c r="O20" s="37">
        <v>1.0206</v>
      </c>
      <c r="P20" s="38">
        <v>76.23</v>
      </c>
      <c r="Q20" s="39"/>
      <c r="R20" s="37">
        <v>1.019</v>
      </c>
      <c r="S20" s="38">
        <v>76.01</v>
      </c>
      <c r="T20" s="39"/>
      <c r="U20" s="37">
        <v>1.0161</v>
      </c>
      <c r="V20" s="38">
        <v>76.4</v>
      </c>
      <c r="W20" s="39"/>
      <c r="X20" s="37">
        <v>1.0129</v>
      </c>
      <c r="Y20" s="38">
        <v>76.5</v>
      </c>
      <c r="Z20" s="39"/>
      <c r="AA20" s="37">
        <v>1.0114</v>
      </c>
      <c r="AB20" s="38">
        <v>76.35</v>
      </c>
      <c r="AC20" s="39"/>
      <c r="AD20" s="37">
        <v>1.0101</v>
      </c>
      <c r="AE20" s="38">
        <v>76.11</v>
      </c>
      <c r="AF20" s="39"/>
      <c r="AG20" s="37">
        <v>1.0006</v>
      </c>
      <c r="AH20" s="38">
        <v>76.29</v>
      </c>
      <c r="AI20" s="39"/>
      <c r="AJ20" s="37">
        <v>1.0025</v>
      </c>
      <c r="AK20" s="38">
        <v>76.37</v>
      </c>
      <c r="AL20" s="39"/>
      <c r="AM20" s="37">
        <v>1.0006</v>
      </c>
      <c r="AN20" s="38">
        <v>76.77</v>
      </c>
      <c r="AO20" s="39"/>
      <c r="AP20" s="37">
        <v>1.0049</v>
      </c>
      <c r="AQ20" s="38">
        <v>76.51</v>
      </c>
      <c r="AR20" s="39"/>
      <c r="AS20" s="37">
        <v>1.0042</v>
      </c>
      <c r="AT20" s="38">
        <v>76.42</v>
      </c>
      <c r="AU20" s="39"/>
      <c r="AV20" s="37">
        <v>1.0028</v>
      </c>
      <c r="AW20" s="38">
        <v>76.33</v>
      </c>
      <c r="AX20" s="39"/>
      <c r="AY20" s="37">
        <v>1.0095</v>
      </c>
      <c r="AZ20" s="38">
        <v>76.52</v>
      </c>
      <c r="BA20" s="39"/>
      <c r="BB20" s="37">
        <v>1.009</v>
      </c>
      <c r="BC20" s="38">
        <v>76.99</v>
      </c>
      <c r="BD20" s="39"/>
      <c r="BE20" s="37">
        <v>1.0129</v>
      </c>
      <c r="BF20" s="38">
        <v>76.58</v>
      </c>
      <c r="BG20" s="39"/>
      <c r="BH20" s="37">
        <v>1.0189</v>
      </c>
      <c r="BI20" s="38">
        <v>75.94</v>
      </c>
      <c r="BJ20" s="39"/>
      <c r="BK20" s="37">
        <v>1.022</v>
      </c>
      <c r="BL20" s="38">
        <v>75.65</v>
      </c>
      <c r="BM20" s="38"/>
      <c r="BN20" s="37">
        <v>1.0222</v>
      </c>
      <c r="BO20" s="38">
        <v>76.34</v>
      </c>
      <c r="BP20" s="37"/>
      <c r="BQ20" s="37">
        <v>1.0229</v>
      </c>
      <c r="BR20" s="38">
        <v>76.26</v>
      </c>
      <c r="BS20" s="38"/>
      <c r="BT20" s="50">
        <f t="shared" si="0"/>
        <v>1.0126999999999997</v>
      </c>
      <c r="BU20" s="50">
        <f t="shared" si="1"/>
        <v>76.27304347826087</v>
      </c>
      <c r="BV20" s="39"/>
      <c r="BW20" s="80"/>
      <c r="BX20" s="80"/>
    </row>
    <row r="21" spans="1:76" ht="15.75" customHeight="1">
      <c r="A21" s="35">
        <v>9</v>
      </c>
      <c r="B21" s="36" t="s">
        <v>22</v>
      </c>
      <c r="C21" s="37">
        <v>5.9907</v>
      </c>
      <c r="D21" s="38">
        <v>12.91</v>
      </c>
      <c r="E21" s="39"/>
      <c r="F21" s="37">
        <v>5.9828</v>
      </c>
      <c r="G21" s="38">
        <v>12.89</v>
      </c>
      <c r="H21" s="39"/>
      <c r="I21" s="37">
        <v>5.947</v>
      </c>
      <c r="J21" s="38">
        <v>12.92</v>
      </c>
      <c r="K21" s="39"/>
      <c r="L21" s="37">
        <v>5.9809</v>
      </c>
      <c r="M21" s="38">
        <v>12.98</v>
      </c>
      <c r="N21" s="39"/>
      <c r="O21" s="37">
        <v>5.9977</v>
      </c>
      <c r="P21" s="38">
        <v>12.97</v>
      </c>
      <c r="Q21" s="39"/>
      <c r="R21" s="37">
        <v>5.9913</v>
      </c>
      <c r="S21" s="38">
        <v>12.93</v>
      </c>
      <c r="T21" s="39"/>
      <c r="U21" s="37">
        <v>6.0181</v>
      </c>
      <c r="V21" s="38">
        <v>12.9</v>
      </c>
      <c r="W21" s="39"/>
      <c r="X21" s="37">
        <v>6.012</v>
      </c>
      <c r="Y21" s="38">
        <v>12.89</v>
      </c>
      <c r="Z21" s="39"/>
      <c r="AA21" s="37">
        <v>6.0008</v>
      </c>
      <c r="AB21" s="38">
        <v>12.87</v>
      </c>
      <c r="AC21" s="39"/>
      <c r="AD21" s="37">
        <v>5.9719</v>
      </c>
      <c r="AE21" s="38">
        <v>12.87</v>
      </c>
      <c r="AF21" s="39"/>
      <c r="AG21" s="37">
        <v>5.9241</v>
      </c>
      <c r="AH21" s="38">
        <v>12.89</v>
      </c>
      <c r="AI21" s="39"/>
      <c r="AJ21" s="37">
        <v>5.9695</v>
      </c>
      <c r="AK21" s="38">
        <v>12.83</v>
      </c>
      <c r="AL21" s="39"/>
      <c r="AM21" s="37">
        <v>5.9727</v>
      </c>
      <c r="AN21" s="38">
        <v>12.86</v>
      </c>
      <c r="AO21" s="39"/>
      <c r="AP21" s="37">
        <v>5.9715</v>
      </c>
      <c r="AQ21" s="38">
        <v>12.87</v>
      </c>
      <c r="AR21" s="39"/>
      <c r="AS21" s="37">
        <v>5.9514</v>
      </c>
      <c r="AT21" s="38">
        <v>12.89</v>
      </c>
      <c r="AU21" s="39"/>
      <c r="AV21" s="37">
        <v>5.946</v>
      </c>
      <c r="AW21" s="38">
        <v>12.87</v>
      </c>
      <c r="AX21" s="39"/>
      <c r="AY21" s="37">
        <v>6.0075</v>
      </c>
      <c r="AZ21" s="38">
        <v>12.86</v>
      </c>
      <c r="BA21" s="39"/>
      <c r="BB21" s="37">
        <v>6.0368</v>
      </c>
      <c r="BC21" s="38">
        <v>12.87</v>
      </c>
      <c r="BD21" s="39"/>
      <c r="BE21" s="37">
        <v>6.0242</v>
      </c>
      <c r="BF21" s="38">
        <v>12.88</v>
      </c>
      <c r="BG21" s="39"/>
      <c r="BH21" s="37">
        <v>6.008</v>
      </c>
      <c r="BI21" s="38">
        <v>12.88</v>
      </c>
      <c r="BJ21" s="39"/>
      <c r="BK21" s="37">
        <v>6.0007</v>
      </c>
      <c r="BL21" s="38">
        <v>12.88</v>
      </c>
      <c r="BM21" s="38"/>
      <c r="BN21" s="37">
        <v>6.0607</v>
      </c>
      <c r="BO21" s="38">
        <v>12.88</v>
      </c>
      <c r="BP21" s="37"/>
      <c r="BQ21" s="37">
        <v>6.0577</v>
      </c>
      <c r="BR21" s="38">
        <v>12.88</v>
      </c>
      <c r="BS21" s="38"/>
      <c r="BT21" s="50">
        <f t="shared" si="0"/>
        <v>5.992347826086957</v>
      </c>
      <c r="BU21" s="50">
        <f t="shared" si="1"/>
        <v>12.889999999999999</v>
      </c>
      <c r="BV21" s="39"/>
      <c r="BW21" s="80"/>
      <c r="BX21" s="80"/>
    </row>
    <row r="22" spans="1:76" ht="15.75" customHeight="1">
      <c r="A22" s="35">
        <v>10</v>
      </c>
      <c r="B22" s="36" t="s">
        <v>23</v>
      </c>
      <c r="C22" s="37">
        <v>5.0696</v>
      </c>
      <c r="D22" s="38">
        <v>15.26</v>
      </c>
      <c r="E22" s="39"/>
      <c r="F22" s="37">
        <v>5.0876</v>
      </c>
      <c r="G22" s="38">
        <v>15.16</v>
      </c>
      <c r="H22" s="39"/>
      <c r="I22" s="37">
        <v>5.0651</v>
      </c>
      <c r="J22" s="38">
        <v>15.18</v>
      </c>
      <c r="K22" s="39"/>
      <c r="L22" s="37">
        <v>5.0863</v>
      </c>
      <c r="M22" s="38">
        <v>15.26</v>
      </c>
      <c r="N22" s="39"/>
      <c r="O22" s="37">
        <v>5.0805</v>
      </c>
      <c r="P22" s="38">
        <v>15.31</v>
      </c>
      <c r="Q22" s="39"/>
      <c r="R22" s="37">
        <v>5.0978</v>
      </c>
      <c r="S22" s="38">
        <v>15.19</v>
      </c>
      <c r="T22" s="39"/>
      <c r="U22" s="37">
        <v>5.1283</v>
      </c>
      <c r="V22" s="38">
        <v>15.14</v>
      </c>
      <c r="W22" s="39"/>
      <c r="X22" s="37">
        <v>5.131</v>
      </c>
      <c r="Y22" s="38">
        <v>15.1</v>
      </c>
      <c r="Z22" s="39"/>
      <c r="AA22" s="37">
        <v>5.098</v>
      </c>
      <c r="AB22" s="38">
        <v>15.15</v>
      </c>
      <c r="AC22" s="39"/>
      <c r="AD22" s="37">
        <v>5.0748</v>
      </c>
      <c r="AE22" s="38">
        <v>15.15</v>
      </c>
      <c r="AF22" s="39"/>
      <c r="AG22" s="37">
        <v>5.0124</v>
      </c>
      <c r="AH22" s="38">
        <v>15.23</v>
      </c>
      <c r="AI22" s="39"/>
      <c r="AJ22" s="37">
        <v>5.0526</v>
      </c>
      <c r="AK22" s="38">
        <v>15.15</v>
      </c>
      <c r="AL22" s="39"/>
      <c r="AM22" s="37">
        <v>5.0761</v>
      </c>
      <c r="AN22" s="38">
        <v>15.13</v>
      </c>
      <c r="AO22" s="39"/>
      <c r="AP22" s="37">
        <v>5.0711</v>
      </c>
      <c r="AQ22" s="38">
        <v>15.16</v>
      </c>
      <c r="AR22" s="39"/>
      <c r="AS22" s="37">
        <v>5.079</v>
      </c>
      <c r="AT22" s="38">
        <v>15.11</v>
      </c>
      <c r="AU22" s="39"/>
      <c r="AV22" s="37">
        <v>5.053</v>
      </c>
      <c r="AW22" s="38">
        <v>15.15</v>
      </c>
      <c r="AX22" s="39"/>
      <c r="AY22" s="37">
        <v>5.1299</v>
      </c>
      <c r="AZ22" s="38">
        <v>15.06</v>
      </c>
      <c r="BA22" s="39"/>
      <c r="BB22" s="37">
        <v>5.1583</v>
      </c>
      <c r="BC22" s="38">
        <v>15.06</v>
      </c>
      <c r="BD22" s="39"/>
      <c r="BE22" s="37">
        <v>5.1452</v>
      </c>
      <c r="BF22" s="38">
        <v>15.08</v>
      </c>
      <c r="BG22" s="39"/>
      <c r="BH22" s="37">
        <v>5.1379</v>
      </c>
      <c r="BI22" s="38">
        <v>15.06</v>
      </c>
      <c r="BJ22" s="39"/>
      <c r="BK22" s="37">
        <v>5.1275</v>
      </c>
      <c r="BL22" s="38">
        <v>15.08</v>
      </c>
      <c r="BM22" s="38"/>
      <c r="BN22" s="37">
        <v>5.1575</v>
      </c>
      <c r="BO22" s="38">
        <v>15.13</v>
      </c>
      <c r="BP22" s="37"/>
      <c r="BQ22" s="37">
        <v>5.1318</v>
      </c>
      <c r="BR22" s="38">
        <v>15.2</v>
      </c>
      <c r="BS22" s="38"/>
      <c r="BT22" s="50">
        <f t="shared" si="0"/>
        <v>5.0978826086956515</v>
      </c>
      <c r="BU22" s="50">
        <f t="shared" si="1"/>
        <v>15.152173913043475</v>
      </c>
      <c r="BV22" s="39"/>
      <c r="BW22" s="80"/>
      <c r="BX22" s="80"/>
    </row>
    <row r="23" spans="1:76" ht="15.75" customHeight="1">
      <c r="A23" s="35">
        <v>11</v>
      </c>
      <c r="B23" s="36" t="s">
        <v>24</v>
      </c>
      <c r="C23" s="37">
        <v>4.7269</v>
      </c>
      <c r="D23" s="38">
        <v>16.36</v>
      </c>
      <c r="E23" s="39"/>
      <c r="F23" s="37">
        <v>4.7177</v>
      </c>
      <c r="G23" s="38">
        <v>16.35</v>
      </c>
      <c r="H23" s="39"/>
      <c r="I23" s="37">
        <v>4.6955</v>
      </c>
      <c r="J23" s="38">
        <v>16.37</v>
      </c>
      <c r="K23" s="39"/>
      <c r="L23" s="37">
        <v>4.752</v>
      </c>
      <c r="M23" s="38">
        <v>16.34</v>
      </c>
      <c r="N23" s="39"/>
      <c r="O23" s="37">
        <v>4.762</v>
      </c>
      <c r="P23" s="38">
        <v>16.34</v>
      </c>
      <c r="Q23" s="39"/>
      <c r="R23" s="37">
        <v>4.7414</v>
      </c>
      <c r="S23" s="38">
        <v>16.33</v>
      </c>
      <c r="T23" s="39"/>
      <c r="U23" s="37">
        <v>4.7539</v>
      </c>
      <c r="V23" s="38">
        <v>16.33</v>
      </c>
      <c r="W23" s="39"/>
      <c r="X23" s="37">
        <v>4.7492</v>
      </c>
      <c r="Y23" s="38">
        <v>16.32</v>
      </c>
      <c r="Z23" s="39"/>
      <c r="AA23" s="37">
        <v>4.7229</v>
      </c>
      <c r="AB23" s="38">
        <v>16.35</v>
      </c>
      <c r="AC23" s="39"/>
      <c r="AD23" s="37">
        <v>4.7026</v>
      </c>
      <c r="AE23" s="38">
        <v>16.35</v>
      </c>
      <c r="AF23" s="39"/>
      <c r="AG23" s="37">
        <v>4.6581</v>
      </c>
      <c r="AH23" s="38">
        <v>16.39</v>
      </c>
      <c r="AI23" s="39"/>
      <c r="AJ23" s="37">
        <v>4.6826</v>
      </c>
      <c r="AK23" s="38">
        <v>16.35</v>
      </c>
      <c r="AL23" s="39"/>
      <c r="AM23" s="37">
        <v>4.6947</v>
      </c>
      <c r="AN23" s="38">
        <v>16.36</v>
      </c>
      <c r="AO23" s="39"/>
      <c r="AP23" s="37">
        <v>4.6991</v>
      </c>
      <c r="AQ23" s="38">
        <v>16.36</v>
      </c>
      <c r="AR23" s="39"/>
      <c r="AS23" s="37">
        <v>4.6973</v>
      </c>
      <c r="AT23" s="38">
        <v>16.34</v>
      </c>
      <c r="AU23" s="39"/>
      <c r="AV23" s="37">
        <v>4.6861</v>
      </c>
      <c r="AW23" s="38">
        <v>16.33</v>
      </c>
      <c r="AX23" s="39"/>
      <c r="AY23" s="37">
        <v>4.7392</v>
      </c>
      <c r="AZ23" s="38">
        <v>16.3</v>
      </c>
      <c r="BA23" s="39"/>
      <c r="BB23" s="37">
        <v>4.758</v>
      </c>
      <c r="BC23" s="38">
        <v>16.33</v>
      </c>
      <c r="BD23" s="39"/>
      <c r="BE23" s="37">
        <v>4.7473</v>
      </c>
      <c r="BF23" s="38">
        <v>16.34</v>
      </c>
      <c r="BG23" s="39"/>
      <c r="BH23" s="37">
        <v>4.7424</v>
      </c>
      <c r="BI23" s="38">
        <v>16.31</v>
      </c>
      <c r="BJ23" s="39"/>
      <c r="BK23" s="37">
        <v>4.7396</v>
      </c>
      <c r="BL23" s="38">
        <v>16.31</v>
      </c>
      <c r="BM23" s="38"/>
      <c r="BN23" s="37">
        <v>4.7809</v>
      </c>
      <c r="BO23" s="38">
        <v>16.32</v>
      </c>
      <c r="BP23" s="37"/>
      <c r="BQ23" s="37">
        <v>4.7766</v>
      </c>
      <c r="BR23" s="38">
        <v>16.33</v>
      </c>
      <c r="BS23" s="38"/>
      <c r="BT23" s="50">
        <f t="shared" si="0"/>
        <v>4.727217391304348</v>
      </c>
      <c r="BU23" s="50">
        <f t="shared" si="1"/>
        <v>16.339565217391304</v>
      </c>
      <c r="BV23" s="39"/>
      <c r="BW23" s="80"/>
      <c r="BX23" s="80"/>
    </row>
    <row r="24" spans="1:76" ht="15.75" customHeight="1">
      <c r="A24" s="35">
        <v>12</v>
      </c>
      <c r="B24" s="36" t="s">
        <v>25</v>
      </c>
      <c r="C24" s="37">
        <f>1/1.63362</f>
        <v>0.6121374615883742</v>
      </c>
      <c r="D24" s="38">
        <v>126.35</v>
      </c>
      <c r="E24" s="39"/>
      <c r="F24" s="37">
        <f>1/1.63542</f>
        <v>0.6114637218573822</v>
      </c>
      <c r="G24" s="38">
        <v>126.11</v>
      </c>
      <c r="H24" s="39"/>
      <c r="I24" s="37">
        <f>1/1.63075</f>
        <v>0.6132147784761613</v>
      </c>
      <c r="J24" s="38">
        <v>125.35</v>
      </c>
      <c r="K24" s="39"/>
      <c r="L24" s="37">
        <f>1/1.63637</f>
        <v>0.6111087345771433</v>
      </c>
      <c r="M24" s="38">
        <v>127.04</v>
      </c>
      <c r="N24" s="39"/>
      <c r="O24" s="37">
        <f>1/1.63637</f>
        <v>0.6111087345771433</v>
      </c>
      <c r="P24" s="38">
        <v>127.31</v>
      </c>
      <c r="Q24" s="39"/>
      <c r="R24" s="37">
        <f>1/1.62325</f>
        <v>0.6160480517480363</v>
      </c>
      <c r="S24" s="38">
        <v>125.72</v>
      </c>
      <c r="T24" s="39"/>
      <c r="U24" s="37">
        <f>1/1.6258</f>
        <v>0.6150818058801821</v>
      </c>
      <c r="V24" s="38">
        <v>126.22</v>
      </c>
      <c r="W24" s="39"/>
      <c r="X24" s="37">
        <f>1/1.62575</f>
        <v>0.6151007227433493</v>
      </c>
      <c r="Y24" s="38">
        <v>125.98</v>
      </c>
      <c r="Z24" s="39"/>
      <c r="AA24" s="37">
        <f>1/1.62616</f>
        <v>0.6149456388055295</v>
      </c>
      <c r="AB24" s="38">
        <v>125.56</v>
      </c>
      <c r="AC24" s="39"/>
      <c r="AD24" s="37">
        <f>1/1.63051</f>
        <v>0.6133050395275098</v>
      </c>
      <c r="AE24" s="38">
        <v>125.36</v>
      </c>
      <c r="AF24" s="39"/>
      <c r="AG24" s="37">
        <f>1/1.63391</f>
        <v>0.6120288143165781</v>
      </c>
      <c r="AH24" s="38">
        <v>124.73</v>
      </c>
      <c r="AI24" s="39"/>
      <c r="AJ24" s="37">
        <f>1/1.64597</f>
        <v>0.6075444874450932</v>
      </c>
      <c r="AK24" s="38">
        <v>126.02</v>
      </c>
      <c r="AL24" s="39"/>
      <c r="AM24" s="37">
        <f>1/1.64361</f>
        <v>0.6084168385444235</v>
      </c>
      <c r="AN24" s="38">
        <v>126.25</v>
      </c>
      <c r="AO24" s="39"/>
      <c r="AP24" s="37">
        <f>1/1.63694</f>
        <v>0.6108959399855828</v>
      </c>
      <c r="AQ24" s="38">
        <v>125.85</v>
      </c>
      <c r="AR24" s="39"/>
      <c r="AS24" s="37">
        <f>1/1.6346</f>
        <v>0.6117704637220115</v>
      </c>
      <c r="AT24" s="38">
        <v>125.44</v>
      </c>
      <c r="AU24" s="39"/>
      <c r="AV24" s="37">
        <f>1/1.63616</f>
        <v>0.6111871699589282</v>
      </c>
      <c r="AW24" s="38">
        <v>125.24</v>
      </c>
      <c r="AX24" s="39"/>
      <c r="AY24" s="37">
        <f>1/1.63825</f>
        <v>0.610407446970853</v>
      </c>
      <c r="AZ24" s="38">
        <v>126.55</v>
      </c>
      <c r="BA24" s="39"/>
      <c r="BB24" s="37">
        <f>1/1.62827</f>
        <v>0.6141487591124322</v>
      </c>
      <c r="BC24" s="38">
        <v>126.48</v>
      </c>
      <c r="BD24" s="39"/>
      <c r="BE24" s="37">
        <f>1/1.62488</f>
        <v>0.6154300625276943</v>
      </c>
      <c r="BF24" s="38">
        <v>126.03</v>
      </c>
      <c r="BG24" s="39"/>
      <c r="BH24" s="37">
        <v>0.61364</v>
      </c>
      <c r="BI24" s="38">
        <v>126.09</v>
      </c>
      <c r="BJ24" s="39"/>
      <c r="BK24" s="37">
        <v>0.61399</v>
      </c>
      <c r="BL24" s="38">
        <v>125.92</v>
      </c>
      <c r="BM24" s="38"/>
      <c r="BN24" s="37">
        <v>0.61444</v>
      </c>
      <c r="BO24" s="38">
        <v>127</v>
      </c>
      <c r="BP24" s="37"/>
      <c r="BQ24" s="37">
        <v>0.61711</v>
      </c>
      <c r="BR24" s="38">
        <v>126.41</v>
      </c>
      <c r="BS24" s="38"/>
      <c r="BT24" s="50">
        <f t="shared" si="0"/>
        <v>0.612805420537583</v>
      </c>
      <c r="BU24" s="50">
        <f t="shared" si="1"/>
        <v>126.04391304347827</v>
      </c>
      <c r="BV24" s="39"/>
      <c r="BW24" s="80"/>
      <c r="BX24" s="80"/>
    </row>
    <row r="25" spans="1:76" ht="15.75" customHeight="1" thickBot="1">
      <c r="A25" s="43">
        <v>13</v>
      </c>
      <c r="B25" s="44" t="s">
        <v>26</v>
      </c>
      <c r="C25" s="45">
        <v>1</v>
      </c>
      <c r="D25" s="46">
        <v>77.34</v>
      </c>
      <c r="E25" s="30"/>
      <c r="F25" s="45">
        <v>1</v>
      </c>
      <c r="G25" s="46">
        <v>77.11</v>
      </c>
      <c r="H25" s="30"/>
      <c r="I25" s="45">
        <v>1</v>
      </c>
      <c r="J25" s="46">
        <v>76.86</v>
      </c>
      <c r="K25" s="30"/>
      <c r="L25" s="45">
        <v>1</v>
      </c>
      <c r="M25" s="46">
        <v>77.63</v>
      </c>
      <c r="N25" s="30"/>
      <c r="O25" s="45">
        <v>1</v>
      </c>
      <c r="P25" s="46">
        <v>77.8</v>
      </c>
      <c r="Q25" s="30"/>
      <c r="R25" s="45">
        <v>1</v>
      </c>
      <c r="S25" s="46">
        <v>77.45</v>
      </c>
      <c r="T25" s="30"/>
      <c r="U25" s="45">
        <v>1</v>
      </c>
      <c r="V25" s="46">
        <v>77.64</v>
      </c>
      <c r="W25" s="30"/>
      <c r="X25" s="45">
        <v>1</v>
      </c>
      <c r="Y25" s="46">
        <v>77.49</v>
      </c>
      <c r="Z25" s="30"/>
      <c r="AA25" s="45">
        <v>1</v>
      </c>
      <c r="AB25" s="46">
        <v>77.22</v>
      </c>
      <c r="AC25" s="30"/>
      <c r="AD25" s="45">
        <v>1</v>
      </c>
      <c r="AE25" s="46">
        <v>76.88</v>
      </c>
      <c r="AF25" s="30"/>
      <c r="AG25" s="45">
        <v>1</v>
      </c>
      <c r="AH25" s="46">
        <v>76.34</v>
      </c>
      <c r="AI25" s="30"/>
      <c r="AJ25" s="45">
        <v>1</v>
      </c>
      <c r="AK25" s="46">
        <v>76.56</v>
      </c>
      <c r="AL25" s="30"/>
      <c r="AM25" s="45">
        <v>1</v>
      </c>
      <c r="AN25" s="46">
        <v>76.81</v>
      </c>
      <c r="AO25" s="30"/>
      <c r="AP25" s="45">
        <v>1</v>
      </c>
      <c r="AQ25" s="46">
        <v>76.88</v>
      </c>
      <c r="AR25" s="30"/>
      <c r="AS25" s="45">
        <v>1</v>
      </c>
      <c r="AT25" s="46">
        <v>76.74</v>
      </c>
      <c r="AU25" s="30"/>
      <c r="AV25" s="45">
        <v>1</v>
      </c>
      <c r="AW25" s="46">
        <v>76.54</v>
      </c>
      <c r="AX25" s="30"/>
      <c r="AY25" s="45">
        <v>1</v>
      </c>
      <c r="AZ25" s="46">
        <v>77.25</v>
      </c>
      <c r="BA25" s="30"/>
      <c r="BB25" s="45">
        <v>1</v>
      </c>
      <c r="BC25" s="46">
        <v>77.68</v>
      </c>
      <c r="BD25" s="30"/>
      <c r="BE25" s="45">
        <v>1</v>
      </c>
      <c r="BF25" s="46">
        <v>77.57</v>
      </c>
      <c r="BG25" s="30"/>
      <c r="BH25" s="45">
        <v>1</v>
      </c>
      <c r="BI25" s="46">
        <v>77.37</v>
      </c>
      <c r="BJ25" s="30"/>
      <c r="BK25" s="45">
        <v>1</v>
      </c>
      <c r="BL25" s="46">
        <v>77.32</v>
      </c>
      <c r="BM25" s="46"/>
      <c r="BN25" s="45">
        <v>1</v>
      </c>
      <c r="BO25" s="46">
        <v>78.03</v>
      </c>
      <c r="BP25" s="45"/>
      <c r="BQ25" s="45">
        <v>1</v>
      </c>
      <c r="BR25" s="46">
        <v>78.01</v>
      </c>
      <c r="BS25" s="46"/>
      <c r="BT25" s="51">
        <f t="shared" si="0"/>
        <v>1</v>
      </c>
      <c r="BU25" s="51">
        <f t="shared" si="1"/>
        <v>77.24000000000001</v>
      </c>
      <c r="BV25" s="30"/>
      <c r="BW25" s="80"/>
      <c r="BX25" s="80"/>
    </row>
    <row r="26" spans="1:74" ht="15.75" customHeight="1">
      <c r="A26" s="40"/>
      <c r="B26" s="41"/>
      <c r="C26" s="25"/>
      <c r="D26" s="26"/>
      <c r="E26" s="24"/>
      <c r="F26" s="25"/>
      <c r="G26" s="26"/>
      <c r="H26" s="24"/>
      <c r="I26" s="25"/>
      <c r="J26" s="26"/>
      <c r="K26" s="24"/>
      <c r="L26" s="25"/>
      <c r="M26" s="26"/>
      <c r="N26" s="24"/>
      <c r="O26" s="25"/>
      <c r="P26" s="26"/>
      <c r="Q26" s="24"/>
      <c r="R26" s="25"/>
      <c r="S26" s="26"/>
      <c r="T26" s="24"/>
      <c r="U26" s="25"/>
      <c r="V26" s="26"/>
      <c r="W26" s="24"/>
      <c r="X26" s="25"/>
      <c r="Y26" s="26"/>
      <c r="Z26" s="24"/>
      <c r="AA26" s="25"/>
      <c r="AB26" s="26"/>
      <c r="AC26" s="24"/>
      <c r="AD26" s="25"/>
      <c r="AE26" s="26"/>
      <c r="AF26" s="24"/>
      <c r="AG26" s="25"/>
      <c r="AH26" s="26"/>
      <c r="AI26" s="24"/>
      <c r="AJ26" s="25"/>
      <c r="AK26" s="26"/>
      <c r="AL26" s="24"/>
      <c r="AM26" s="25"/>
      <c r="AN26" s="26"/>
      <c r="AO26" s="24"/>
      <c r="AP26" s="25"/>
      <c r="AQ26" s="26"/>
      <c r="AR26" s="24"/>
      <c r="AS26" s="25"/>
      <c r="AT26" s="26"/>
      <c r="AU26" s="24"/>
      <c r="AV26" s="25"/>
      <c r="AW26" s="26"/>
      <c r="AX26" s="24"/>
      <c r="AY26" s="25"/>
      <c r="AZ26" s="26"/>
      <c r="BA26" s="24"/>
      <c r="BB26" s="25"/>
      <c r="BC26" s="26"/>
      <c r="BD26" s="24"/>
      <c r="BE26" s="25"/>
      <c r="BF26" s="26"/>
      <c r="BG26" s="24"/>
      <c r="BH26" s="24"/>
      <c r="BI26" s="24"/>
      <c r="BJ26" s="24"/>
      <c r="BK26" s="25"/>
      <c r="BL26" s="26"/>
      <c r="BM26" s="26"/>
      <c r="BN26" s="25"/>
      <c r="BO26" s="26"/>
      <c r="BP26" s="25"/>
      <c r="BQ26" s="25"/>
      <c r="BR26" s="26"/>
      <c r="BS26" s="26"/>
      <c r="BT26" s="25"/>
      <c r="BU26" s="26"/>
      <c r="BV26" s="24"/>
    </row>
    <row r="27" spans="1:74" ht="15.75" customHeight="1">
      <c r="A27" s="40"/>
      <c r="B27" s="41"/>
      <c r="C27" s="25"/>
      <c r="D27" s="26"/>
      <c r="E27" s="24"/>
      <c r="F27" s="25"/>
      <c r="G27" s="26"/>
      <c r="H27" s="24"/>
      <c r="I27" s="25"/>
      <c r="J27" s="26"/>
      <c r="K27" s="24"/>
      <c r="L27" s="25"/>
      <c r="M27" s="26"/>
      <c r="N27" s="24"/>
      <c r="O27" s="25"/>
      <c r="P27" s="26"/>
      <c r="Q27" s="24"/>
      <c r="R27" s="25"/>
      <c r="S27" s="26"/>
      <c r="T27" s="24"/>
      <c r="U27" s="25"/>
      <c r="V27" s="26"/>
      <c r="W27" s="24"/>
      <c r="X27" s="25"/>
      <c r="Y27" s="26"/>
      <c r="Z27" s="24"/>
      <c r="AA27" s="25"/>
      <c r="AB27" s="26"/>
      <c r="AC27" s="24"/>
      <c r="AD27" s="25"/>
      <c r="AE27" s="26"/>
      <c r="AF27" s="24"/>
      <c r="AG27" s="25"/>
      <c r="AH27" s="26"/>
      <c r="AI27" s="24"/>
      <c r="AJ27" s="25"/>
      <c r="AK27" s="26"/>
      <c r="AL27" s="24"/>
      <c r="AM27" s="25"/>
      <c r="AN27" s="26"/>
      <c r="AO27" s="24"/>
      <c r="AP27" s="25"/>
      <c r="AQ27" s="26"/>
      <c r="AR27" s="24"/>
      <c r="AS27" s="25"/>
      <c r="AT27" s="26"/>
      <c r="AU27" s="24"/>
      <c r="AV27" s="25"/>
      <c r="AW27" s="26"/>
      <c r="AX27" s="24"/>
      <c r="AY27" s="25"/>
      <c r="AZ27" s="26"/>
      <c r="BA27" s="24"/>
      <c r="BB27" s="25"/>
      <c r="BC27" s="26"/>
      <c r="BD27" s="24"/>
      <c r="BE27" s="25"/>
      <c r="BF27" s="26"/>
      <c r="BG27" s="24"/>
      <c r="BH27" s="24"/>
      <c r="BI27" s="24"/>
      <c r="BJ27" s="24"/>
      <c r="BK27" s="25"/>
      <c r="BL27" s="26"/>
      <c r="BM27" s="26"/>
      <c r="BN27" s="25"/>
      <c r="BO27" s="26"/>
      <c r="BP27" s="25"/>
      <c r="BQ27" s="25"/>
      <c r="BR27" s="26"/>
      <c r="BS27" s="26"/>
      <c r="BT27" s="25"/>
      <c r="BU27" s="26"/>
      <c r="BV27" s="24"/>
    </row>
    <row r="28" spans="1:74" ht="15.75" customHeight="1">
      <c r="A28" s="40"/>
      <c r="B28" s="41"/>
      <c r="C28" s="25"/>
      <c r="D28" s="26"/>
      <c r="E28" s="24"/>
      <c r="F28" s="25"/>
      <c r="G28" s="26"/>
      <c r="H28" s="24"/>
      <c r="I28" s="25"/>
      <c r="J28" s="26"/>
      <c r="K28" s="24"/>
      <c r="L28" s="25"/>
      <c r="M28" s="26"/>
      <c r="N28" s="24"/>
      <c r="O28" s="25"/>
      <c r="P28" s="26"/>
      <c r="Q28" s="24"/>
      <c r="R28" s="25"/>
      <c r="S28" s="26"/>
      <c r="T28" s="24"/>
      <c r="U28" s="25"/>
      <c r="V28" s="26"/>
      <c r="W28" s="24"/>
      <c r="X28" s="25"/>
      <c r="Y28" s="26"/>
      <c r="Z28" s="24"/>
      <c r="AA28" s="25"/>
      <c r="AB28" s="26"/>
      <c r="AC28" s="24"/>
      <c r="AD28" s="25"/>
      <c r="AE28" s="26"/>
      <c r="AF28" s="24"/>
      <c r="AG28" s="25"/>
      <c r="AH28" s="26"/>
      <c r="AI28" s="24"/>
      <c r="AJ28" s="25"/>
      <c r="AK28" s="26"/>
      <c r="AL28" s="24"/>
      <c r="AM28" s="25"/>
      <c r="AN28" s="26"/>
      <c r="AO28" s="24"/>
      <c r="AP28" s="25"/>
      <c r="AQ28" s="26"/>
      <c r="AR28" s="24"/>
      <c r="AS28" s="25"/>
      <c r="AT28" s="26"/>
      <c r="AU28" s="24"/>
      <c r="AV28" s="25"/>
      <c r="AW28" s="26"/>
      <c r="AX28" s="24"/>
      <c r="AY28" s="25"/>
      <c r="AZ28" s="26"/>
      <c r="BA28" s="24"/>
      <c r="BB28" s="25"/>
      <c r="BC28" s="26"/>
      <c r="BD28" s="24"/>
      <c r="BE28" s="25"/>
      <c r="BF28" s="26"/>
      <c r="BG28" s="24"/>
      <c r="BH28" s="24"/>
      <c r="BI28" s="24"/>
      <c r="BJ28" s="24"/>
      <c r="BK28" s="25"/>
      <c r="BL28" s="26"/>
      <c r="BM28" s="26"/>
      <c r="BN28" s="25"/>
      <c r="BO28" s="26"/>
      <c r="BP28" s="25"/>
      <c r="BQ28" s="25"/>
      <c r="BR28" s="26"/>
      <c r="BS28" s="26"/>
      <c r="BT28" s="25"/>
      <c r="BU28" s="26"/>
      <c r="BV28" s="24"/>
    </row>
    <row r="29" spans="1:74" ht="15.75" customHeight="1">
      <c r="A29" s="40"/>
      <c r="B29" s="41"/>
      <c r="C29" s="25"/>
      <c r="D29" s="26"/>
      <c r="E29" s="24"/>
      <c r="F29" s="25"/>
      <c r="G29" s="26"/>
      <c r="H29" s="24"/>
      <c r="I29" s="25"/>
      <c r="J29" s="26"/>
      <c r="K29" s="24"/>
      <c r="L29" s="25"/>
      <c r="M29" s="26"/>
      <c r="N29" s="24"/>
      <c r="O29" s="25"/>
      <c r="P29" s="26"/>
      <c r="Q29" s="24"/>
      <c r="R29" s="25"/>
      <c r="S29" s="26"/>
      <c r="T29" s="24"/>
      <c r="U29" s="25"/>
      <c r="V29" s="26"/>
      <c r="W29" s="24"/>
      <c r="X29" s="25"/>
      <c r="Y29" s="26"/>
      <c r="Z29" s="24"/>
      <c r="AA29" s="25"/>
      <c r="AB29" s="26"/>
      <c r="AC29" s="24"/>
      <c r="AD29" s="25"/>
      <c r="AE29" s="26"/>
      <c r="AF29" s="24"/>
      <c r="AG29" s="25"/>
      <c r="AH29" s="26"/>
      <c r="AI29" s="24"/>
      <c r="AJ29" s="25"/>
      <c r="AK29" s="26"/>
      <c r="AL29" s="24"/>
      <c r="AM29" s="25"/>
      <c r="AN29" s="26"/>
      <c r="AO29" s="24"/>
      <c r="AP29" s="25"/>
      <c r="AQ29" s="26"/>
      <c r="AR29" s="24"/>
      <c r="AS29" s="25"/>
      <c r="AT29" s="26"/>
      <c r="AU29" s="24"/>
      <c r="AV29" s="25"/>
      <c r="AW29" s="26"/>
      <c r="AX29" s="24"/>
      <c r="AY29" s="25"/>
      <c r="AZ29" s="26"/>
      <c r="BA29" s="24"/>
      <c r="BB29" s="25"/>
      <c r="BC29" s="26"/>
      <c r="BD29" s="24"/>
      <c r="BE29" s="25"/>
      <c r="BF29" s="26"/>
      <c r="BG29" s="24"/>
      <c r="BH29" s="24"/>
      <c r="BI29" s="24"/>
      <c r="BJ29" s="24"/>
      <c r="BK29" s="25"/>
      <c r="BL29" s="26"/>
      <c r="BM29" s="26"/>
      <c r="BN29" s="25"/>
      <c r="BO29" s="26"/>
      <c r="BP29" s="25"/>
      <c r="BQ29" s="25"/>
      <c r="BR29" s="26"/>
      <c r="BS29" s="26"/>
      <c r="BT29" s="25"/>
      <c r="BU29" s="26"/>
      <c r="BV29" s="24"/>
    </row>
    <row r="30" spans="1:74" ht="15.75" customHeight="1">
      <c r="A30" s="40"/>
      <c r="B30" s="41"/>
      <c r="C30" s="25"/>
      <c r="D30" s="26"/>
      <c r="E30" s="24"/>
      <c r="F30" s="25"/>
      <c r="G30" s="26"/>
      <c r="H30" s="24"/>
      <c r="I30" s="25"/>
      <c r="J30" s="26"/>
      <c r="K30" s="24"/>
      <c r="L30" s="25"/>
      <c r="M30" s="26"/>
      <c r="N30" s="24"/>
      <c r="O30" s="25"/>
      <c r="P30" s="26"/>
      <c r="Q30" s="24"/>
      <c r="R30" s="25"/>
      <c r="S30" s="26"/>
      <c r="T30" s="24"/>
      <c r="U30" s="25"/>
      <c r="V30" s="26"/>
      <c r="W30" s="24"/>
      <c r="X30" s="25"/>
      <c r="Y30" s="26"/>
      <c r="Z30" s="24"/>
      <c r="AA30" s="25"/>
      <c r="AB30" s="26"/>
      <c r="AC30" s="24"/>
      <c r="AD30" s="25"/>
      <c r="AE30" s="26"/>
      <c r="AF30" s="24"/>
      <c r="AG30" s="25"/>
      <c r="AH30" s="26"/>
      <c r="AI30" s="24"/>
      <c r="AJ30" s="25"/>
      <c r="AK30" s="26"/>
      <c r="AL30" s="24"/>
      <c r="AM30" s="25"/>
      <c r="AN30" s="26"/>
      <c r="AO30" s="24"/>
      <c r="AP30" s="25"/>
      <c r="AQ30" s="26"/>
      <c r="AR30" s="24"/>
      <c r="AS30" s="25"/>
      <c r="AT30" s="26"/>
      <c r="AU30" s="24"/>
      <c r="AV30" s="25"/>
      <c r="AW30" s="26"/>
      <c r="AX30" s="24"/>
      <c r="AY30" s="25"/>
      <c r="AZ30" s="26"/>
      <c r="BA30" s="24"/>
      <c r="BB30" s="25"/>
      <c r="BC30" s="26"/>
      <c r="BD30" s="24"/>
      <c r="BE30" s="25"/>
      <c r="BF30" s="26"/>
      <c r="BG30" s="24"/>
      <c r="BH30" s="24"/>
      <c r="BI30" s="24"/>
      <c r="BJ30" s="24"/>
      <c r="BK30" s="25"/>
      <c r="BL30" s="26"/>
      <c r="BM30" s="26"/>
      <c r="BN30" s="25"/>
      <c r="BO30" s="26"/>
      <c r="BP30" s="25"/>
      <c r="BQ30" s="25"/>
      <c r="BR30" s="26"/>
      <c r="BS30" s="26"/>
      <c r="BT30" s="25"/>
      <c r="BU30" s="26"/>
      <c r="BV30" s="24"/>
    </row>
    <row r="31" spans="1:74" ht="15.75" customHeight="1">
      <c r="A31" s="40"/>
      <c r="B31" s="41"/>
      <c r="C31" s="25"/>
      <c r="D31" s="26"/>
      <c r="E31" s="24"/>
      <c r="F31" s="25"/>
      <c r="G31" s="26"/>
      <c r="H31" s="24"/>
      <c r="I31" s="25"/>
      <c r="J31" s="26"/>
      <c r="K31" s="24"/>
      <c r="L31" s="25"/>
      <c r="M31" s="26"/>
      <c r="N31" s="24"/>
      <c r="O31" s="25"/>
      <c r="P31" s="26"/>
      <c r="Q31" s="24"/>
      <c r="R31" s="25"/>
      <c r="S31" s="26"/>
      <c r="T31" s="24"/>
      <c r="U31" s="25"/>
      <c r="V31" s="26"/>
      <c r="W31" s="24"/>
      <c r="X31" s="25"/>
      <c r="Y31" s="26"/>
      <c r="Z31" s="24"/>
      <c r="AA31" s="25"/>
      <c r="AB31" s="26"/>
      <c r="AC31" s="24"/>
      <c r="AD31" s="25"/>
      <c r="AE31" s="26"/>
      <c r="AF31" s="24"/>
      <c r="AG31" s="25"/>
      <c r="AH31" s="26"/>
      <c r="AI31" s="24"/>
      <c r="AJ31" s="25"/>
      <c r="AK31" s="26"/>
      <c r="AL31" s="24"/>
      <c r="AM31" s="25"/>
      <c r="AN31" s="26"/>
      <c r="AO31" s="24"/>
      <c r="AP31" s="25"/>
      <c r="AQ31" s="26"/>
      <c r="AR31" s="24"/>
      <c r="AS31" s="25"/>
      <c r="AT31" s="26"/>
      <c r="AU31" s="24"/>
      <c r="AV31" s="25"/>
      <c r="AW31" s="26"/>
      <c r="AX31" s="24"/>
      <c r="AY31" s="25"/>
      <c r="AZ31" s="26"/>
      <c r="BA31" s="24"/>
      <c r="BB31" s="25"/>
      <c r="BC31" s="26"/>
      <c r="BD31" s="24"/>
      <c r="BE31" s="25"/>
      <c r="BF31" s="26"/>
      <c r="BG31" s="24"/>
      <c r="BH31" s="24"/>
      <c r="BI31" s="24"/>
      <c r="BJ31" s="24"/>
      <c r="BK31" s="25"/>
      <c r="BL31" s="26"/>
      <c r="BM31" s="26"/>
      <c r="BN31" s="25"/>
      <c r="BO31" s="26"/>
      <c r="BP31" s="25"/>
      <c r="BQ31" s="25"/>
      <c r="BR31" s="26"/>
      <c r="BS31" s="26"/>
      <c r="BT31" s="25"/>
      <c r="BU31" s="26"/>
      <c r="BV31" s="24"/>
    </row>
    <row r="32" spans="1:74" ht="15.75" customHeight="1">
      <c r="A32" s="40"/>
      <c r="B32" s="41"/>
      <c r="C32" s="25"/>
      <c r="D32" s="26"/>
      <c r="E32" s="24"/>
      <c r="F32" s="25"/>
      <c r="G32" s="26"/>
      <c r="H32" s="24"/>
      <c r="I32" s="25"/>
      <c r="J32" s="26"/>
      <c r="K32" s="24"/>
      <c r="L32" s="25"/>
      <c r="M32" s="26"/>
      <c r="N32" s="24"/>
      <c r="O32" s="25"/>
      <c r="P32" s="26"/>
      <c r="Q32" s="24"/>
      <c r="R32" s="25"/>
      <c r="S32" s="26"/>
      <c r="T32" s="24"/>
      <c r="U32" s="25"/>
      <c r="V32" s="26"/>
      <c r="W32" s="24"/>
      <c r="X32" s="25"/>
      <c r="Y32" s="26"/>
      <c r="Z32" s="24"/>
      <c r="AA32" s="25"/>
      <c r="AB32" s="26"/>
      <c r="AC32" s="24"/>
      <c r="AD32" s="25"/>
      <c r="AE32" s="26"/>
      <c r="AF32" s="24"/>
      <c r="AG32" s="25"/>
      <c r="AH32" s="26"/>
      <c r="AI32" s="24"/>
      <c r="AJ32" s="25"/>
      <c r="AK32" s="26"/>
      <c r="AL32" s="24"/>
      <c r="AM32" s="25"/>
      <c r="AN32" s="26"/>
      <c r="AO32" s="24"/>
      <c r="AP32" s="25"/>
      <c r="AQ32" s="26"/>
      <c r="AR32" s="24"/>
      <c r="AS32" s="25"/>
      <c r="AT32" s="26"/>
      <c r="AU32" s="24"/>
      <c r="AV32" s="25"/>
      <c r="AW32" s="26"/>
      <c r="AX32" s="24"/>
      <c r="AY32" s="25"/>
      <c r="AZ32" s="26"/>
      <c r="BA32" s="24"/>
      <c r="BB32" s="25"/>
      <c r="BC32" s="26"/>
      <c r="BD32" s="24"/>
      <c r="BE32" s="25"/>
      <c r="BF32" s="26"/>
      <c r="BG32" s="24"/>
      <c r="BH32" s="24"/>
      <c r="BI32" s="24"/>
      <c r="BJ32" s="24"/>
      <c r="BK32" s="25"/>
      <c r="BL32" s="26"/>
      <c r="BM32" s="26"/>
      <c r="BN32" s="25"/>
      <c r="BO32" s="26"/>
      <c r="BP32" s="25"/>
      <c r="BQ32" s="25"/>
      <c r="BR32" s="26"/>
      <c r="BS32" s="26"/>
      <c r="BT32" s="25"/>
      <c r="BU32" s="26"/>
      <c r="BV32" s="24"/>
    </row>
    <row r="33" spans="1:74" ht="15.75" customHeight="1">
      <c r="A33" s="40"/>
      <c r="B33" s="63"/>
      <c r="C33" s="25"/>
      <c r="D33" s="26"/>
      <c r="E33" s="24"/>
      <c r="F33" s="25"/>
      <c r="G33" s="26"/>
      <c r="H33" s="24"/>
      <c r="I33" s="25"/>
      <c r="J33" s="26"/>
      <c r="K33" s="24"/>
      <c r="L33" s="25"/>
      <c r="M33" s="26"/>
      <c r="N33" s="24"/>
      <c r="O33" s="25"/>
      <c r="P33" s="26"/>
      <c r="Q33" s="24"/>
      <c r="R33" s="25"/>
      <c r="S33" s="26"/>
      <c r="T33" s="24"/>
      <c r="U33" s="25"/>
      <c r="V33" s="26"/>
      <c r="W33" s="24"/>
      <c r="X33" s="25"/>
      <c r="Y33" s="26"/>
      <c r="Z33" s="24"/>
      <c r="AA33" s="25"/>
      <c r="AB33" s="26"/>
      <c r="AC33" s="24"/>
      <c r="AD33" s="25"/>
      <c r="AE33" s="26"/>
      <c r="AF33" s="24"/>
      <c r="AG33" s="25"/>
      <c r="AH33" s="26"/>
      <c r="AI33" s="24"/>
      <c r="AJ33" s="25"/>
      <c r="AK33" s="26"/>
      <c r="AL33" s="24"/>
      <c r="AM33" s="25"/>
      <c r="AN33" s="26"/>
      <c r="AO33" s="24"/>
      <c r="AP33" s="25"/>
      <c r="AQ33" s="26"/>
      <c r="AR33" s="24"/>
      <c r="AS33" s="25"/>
      <c r="AT33" s="26"/>
      <c r="AU33" s="24"/>
      <c r="AV33" s="25"/>
      <c r="AW33" s="26"/>
      <c r="AX33" s="24"/>
      <c r="AY33" s="25"/>
      <c r="AZ33" s="26"/>
      <c r="BA33" s="24"/>
      <c r="BB33" s="25"/>
      <c r="BC33" s="26"/>
      <c r="BD33" s="24"/>
      <c r="BE33" s="25"/>
      <c r="BF33" s="26"/>
      <c r="BG33" s="24"/>
      <c r="BH33" s="24"/>
      <c r="BI33" s="24"/>
      <c r="BJ33" s="24"/>
      <c r="BK33" s="25"/>
      <c r="BL33" s="26"/>
      <c r="BM33" s="26"/>
      <c r="BN33" s="25"/>
      <c r="BO33" s="26"/>
      <c r="BP33" s="25"/>
      <c r="BQ33" s="25"/>
      <c r="BR33" s="26"/>
      <c r="BS33" s="26"/>
      <c r="BT33" s="25"/>
      <c r="BU33" s="26"/>
      <c r="BV33" s="24"/>
    </row>
    <row r="34" spans="1:74" ht="15.75" customHeight="1">
      <c r="A34" s="40"/>
      <c r="B34" s="63"/>
      <c r="C34" s="25"/>
      <c r="D34" s="26"/>
      <c r="E34" s="24"/>
      <c r="F34" s="25"/>
      <c r="G34" s="26"/>
      <c r="H34" s="24"/>
      <c r="I34" s="25"/>
      <c r="J34" s="26"/>
      <c r="K34" s="24"/>
      <c r="L34" s="25"/>
      <c r="M34" s="26"/>
      <c r="N34" s="24"/>
      <c r="O34" s="25"/>
      <c r="P34" s="26"/>
      <c r="Q34" s="24"/>
      <c r="R34" s="25"/>
      <c r="S34" s="26"/>
      <c r="T34" s="64"/>
      <c r="U34" s="25"/>
      <c r="V34" s="26"/>
      <c r="W34" s="24"/>
      <c r="X34" s="25"/>
      <c r="Y34" s="26"/>
      <c r="Z34" s="24"/>
      <c r="AA34" s="25"/>
      <c r="AB34" s="26"/>
      <c r="AC34" s="24"/>
      <c r="AD34" s="25"/>
      <c r="AE34" s="26"/>
      <c r="AF34" s="24"/>
      <c r="AG34" s="25"/>
      <c r="AH34" s="26"/>
      <c r="AI34" s="24"/>
      <c r="AJ34" s="25"/>
      <c r="AK34" s="26"/>
      <c r="AL34" s="24"/>
      <c r="AM34" s="25"/>
      <c r="AN34" s="26"/>
      <c r="AO34" s="24"/>
      <c r="AP34" s="25"/>
      <c r="AQ34" s="26"/>
      <c r="AR34" s="24"/>
      <c r="AS34" s="25"/>
      <c r="AT34" s="26"/>
      <c r="AU34" s="24"/>
      <c r="AV34" s="25"/>
      <c r="AW34" s="26"/>
      <c r="AX34" s="24"/>
      <c r="AY34" s="25"/>
      <c r="AZ34" s="26"/>
      <c r="BA34" s="24"/>
      <c r="BB34" s="25"/>
      <c r="BC34" s="26"/>
      <c r="BD34" s="24"/>
      <c r="BE34" s="25"/>
      <c r="BF34" s="26"/>
      <c r="BG34" s="24"/>
      <c r="BH34" s="24"/>
      <c r="BI34" s="24"/>
      <c r="BJ34" s="24"/>
      <c r="BK34" s="25"/>
      <c r="BL34" s="26"/>
      <c r="BM34" s="26"/>
      <c r="BN34" s="25"/>
      <c r="BO34" s="26"/>
      <c r="BP34" s="25"/>
      <c r="BQ34" s="25"/>
      <c r="BR34" s="26"/>
      <c r="BS34" s="26"/>
      <c r="BT34" s="25"/>
      <c r="BU34" s="26"/>
      <c r="BV34" s="65"/>
    </row>
    <row r="35" spans="1:74" ht="15.75" customHeight="1">
      <c r="A35" s="40"/>
      <c r="B35" s="63"/>
      <c r="C35" s="25"/>
      <c r="D35" s="26"/>
      <c r="E35" s="24"/>
      <c r="F35" s="25"/>
      <c r="G35" s="26"/>
      <c r="H35" s="24"/>
      <c r="I35" s="25"/>
      <c r="J35" s="26"/>
      <c r="K35" s="24"/>
      <c r="L35" s="25"/>
      <c r="M35" s="26"/>
      <c r="N35" s="24"/>
      <c r="O35" s="25"/>
      <c r="P35" s="26"/>
      <c r="Q35" s="24"/>
      <c r="R35" s="25"/>
      <c r="S35" s="26"/>
      <c r="T35" s="24"/>
      <c r="U35" s="25"/>
      <c r="V35" s="26"/>
      <c r="W35" s="24"/>
      <c r="X35" s="25"/>
      <c r="Y35" s="26"/>
      <c r="Z35" s="24"/>
      <c r="AA35" s="25"/>
      <c r="AB35" s="26"/>
      <c r="AC35" s="24"/>
      <c r="AD35" s="25"/>
      <c r="AE35" s="26"/>
      <c r="AF35" s="24"/>
      <c r="AG35" s="25"/>
      <c r="AH35" s="26"/>
      <c r="AI35" s="24"/>
      <c r="AJ35" s="25"/>
      <c r="AK35" s="26"/>
      <c r="AL35" s="24"/>
      <c r="AM35" s="25"/>
      <c r="AN35" s="26"/>
      <c r="AO35" s="24"/>
      <c r="AP35" s="25"/>
      <c r="AQ35" s="26"/>
      <c r="AR35" s="24"/>
      <c r="AS35" s="25"/>
      <c r="AT35" s="26"/>
      <c r="AU35" s="24"/>
      <c r="AV35" s="25"/>
      <c r="AW35" s="26"/>
      <c r="AX35" s="24"/>
      <c r="AY35" s="25"/>
      <c r="AZ35" s="26"/>
      <c r="BA35" s="24"/>
      <c r="BB35" s="25"/>
      <c r="BC35" s="26"/>
      <c r="BD35" s="24"/>
      <c r="BE35" s="25"/>
      <c r="BF35" s="26"/>
      <c r="BG35" s="24"/>
      <c r="BH35" s="24"/>
      <c r="BI35" s="24"/>
      <c r="BJ35" s="24"/>
      <c r="BK35" s="25"/>
      <c r="BL35" s="26"/>
      <c r="BM35" s="26"/>
      <c r="BN35" s="25"/>
      <c r="BO35" s="26"/>
      <c r="BP35" s="25"/>
      <c r="BQ35" s="25"/>
      <c r="BR35" s="26"/>
      <c r="BS35" s="26"/>
      <c r="BT35" s="25"/>
      <c r="BU35" s="26"/>
      <c r="BV35" s="65"/>
    </row>
    <row r="36" spans="1:74" ht="15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7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66"/>
      <c r="BU36" s="66"/>
      <c r="BV36" s="67"/>
    </row>
    <row r="37" spans="1:74" ht="15.7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</row>
    <row r="38" spans="1:74" ht="15.7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</row>
    <row r="39" spans="1:74" ht="15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</row>
    <row r="40" spans="1:74" ht="15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</row>
    <row r="41" spans="1:74" ht="15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</row>
    <row r="42" spans="1:74" ht="15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</row>
    <row r="43" spans="1:74" ht="15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</row>
    <row r="44" spans="1:74" ht="15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</row>
    <row r="45" spans="1:74" ht="15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</row>
    <row r="46" spans="1:74" ht="15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</row>
    <row r="47" spans="1:74" ht="15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</row>
    <row r="48" spans="1:74" ht="15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</row>
    <row r="49" spans="1:74" ht="15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</row>
    <row r="50" spans="1:74" ht="15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</row>
    <row r="51" spans="1:74" ht="15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</row>
    <row r="52" spans="1:74" ht="15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9" r:id="rId1"/>
  <headerFooter alignWithMargins="0">
    <oddHeader>&amp;L&amp;"Times New Roman,Bold"&amp;14Banka e Shqiperise&amp;12
Sektori i Informacionit</oddHeader>
  </headerFooter>
  <colBreaks count="1" manualBreakCount="1">
    <brk id="6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W52"/>
  <sheetViews>
    <sheetView zoomScale="75" zoomScaleNormal="75" zoomScalePageLayoutView="0" workbookViewId="0" topLeftCell="A1">
      <pane xSplit="2" ySplit="11" topLeftCell="BJ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:IV16384"/>
    </sheetView>
  </sheetViews>
  <sheetFormatPr defaultColWidth="13.28125" defaultRowHeight="15.75" customHeight="1"/>
  <cols>
    <col min="1" max="1" width="6.28125" style="34" customWidth="1"/>
    <col min="2" max="2" width="30.8515625" style="79" customWidth="1"/>
    <col min="3" max="3" width="25.421875" style="34" customWidth="1"/>
    <col min="4" max="4" width="12.421875" style="34" customWidth="1"/>
    <col min="5" max="5" width="7.57421875" style="34" customWidth="1"/>
    <col min="6" max="6" width="21.57421875" style="34" customWidth="1"/>
    <col min="7" max="7" width="18.421875" style="34" customWidth="1"/>
    <col min="8" max="8" width="6.421875" style="34" customWidth="1"/>
    <col min="9" max="9" width="24.00390625" style="34" customWidth="1"/>
    <col min="10" max="10" width="14.00390625" style="34" customWidth="1"/>
    <col min="11" max="11" width="7.8515625" style="34" customWidth="1"/>
    <col min="12" max="12" width="26.00390625" style="34" customWidth="1"/>
    <col min="13" max="13" width="13.8515625" style="34" customWidth="1"/>
    <col min="14" max="14" width="8.00390625" style="34" customWidth="1"/>
    <col min="15" max="15" width="24.140625" style="34" customWidth="1"/>
    <col min="16" max="16" width="14.00390625" style="34" customWidth="1"/>
    <col min="17" max="17" width="7.00390625" style="34" customWidth="1"/>
    <col min="18" max="18" width="21.7109375" style="34" customWidth="1"/>
    <col min="19" max="19" width="15.00390625" style="34" customWidth="1"/>
    <col min="20" max="20" width="5.57421875" style="34" customWidth="1"/>
    <col min="21" max="21" width="25.7109375" style="34" customWidth="1"/>
    <col min="22" max="22" width="15.8515625" style="34" customWidth="1"/>
    <col min="23" max="23" width="6.7109375" style="34" customWidth="1"/>
    <col min="24" max="24" width="23.00390625" style="34" customWidth="1"/>
    <col min="25" max="25" width="13.8515625" style="34" customWidth="1"/>
    <col min="26" max="26" width="7.140625" style="34" customWidth="1"/>
    <col min="27" max="27" width="24.00390625" style="34" customWidth="1"/>
    <col min="28" max="28" width="15.7109375" style="34" customWidth="1"/>
    <col min="29" max="29" width="5.7109375" style="34" customWidth="1"/>
    <col min="30" max="30" width="25.140625" style="34" customWidth="1"/>
    <col min="31" max="31" width="14.00390625" style="34" customWidth="1"/>
    <col min="32" max="32" width="5.7109375" style="34" customWidth="1"/>
    <col min="33" max="33" width="22.7109375" style="34" customWidth="1"/>
    <col min="34" max="34" width="13.421875" style="34" customWidth="1"/>
    <col min="35" max="35" width="6.421875" style="34" customWidth="1"/>
    <col min="36" max="36" width="24.00390625" style="34" customWidth="1"/>
    <col min="37" max="37" width="12.421875" style="34" customWidth="1"/>
    <col min="38" max="38" width="5.7109375" style="34" customWidth="1"/>
    <col min="39" max="39" width="27.140625" style="34" customWidth="1"/>
    <col min="40" max="40" width="12.421875" style="34" customWidth="1"/>
    <col min="41" max="41" width="5.7109375" style="34" customWidth="1"/>
    <col min="42" max="42" width="22.57421875" style="34" customWidth="1"/>
    <col min="43" max="43" width="10.57421875" style="34" customWidth="1"/>
    <col min="44" max="44" width="5.7109375" style="34" customWidth="1"/>
    <col min="45" max="45" width="21.8515625" style="34" customWidth="1"/>
    <col min="46" max="46" width="14.28125" style="34" customWidth="1"/>
    <col min="47" max="47" width="6.421875" style="34" customWidth="1"/>
    <col min="48" max="48" width="25.28125" style="34" customWidth="1"/>
    <col min="49" max="49" width="10.57421875" style="34" customWidth="1"/>
    <col min="50" max="50" width="5.7109375" style="34" customWidth="1"/>
    <col min="51" max="51" width="21.421875" style="34" customWidth="1"/>
    <col min="52" max="52" width="13.421875" style="34" customWidth="1"/>
    <col min="53" max="53" width="5.7109375" style="34" customWidth="1"/>
    <col min="54" max="54" width="22.28125" style="34" customWidth="1"/>
    <col min="55" max="55" width="13.140625" style="34" customWidth="1"/>
    <col min="56" max="56" width="7.00390625" style="34" customWidth="1"/>
    <col min="57" max="57" width="21.421875" style="34" customWidth="1"/>
    <col min="58" max="58" width="15.421875" style="34" customWidth="1"/>
    <col min="59" max="59" width="6.421875" style="34" customWidth="1"/>
    <col min="60" max="60" width="23.57421875" style="34" customWidth="1"/>
    <col min="61" max="61" width="12.8515625" style="34" customWidth="1"/>
    <col min="62" max="62" width="8.140625" style="34" customWidth="1"/>
    <col min="63" max="63" width="18.57421875" style="34" customWidth="1"/>
    <col min="64" max="64" width="9.57421875" style="34" customWidth="1"/>
    <col min="65" max="65" width="8.57421875" style="34" customWidth="1"/>
    <col min="66" max="66" width="22.57421875" style="34" customWidth="1"/>
    <col min="67" max="67" width="14.140625" style="34" customWidth="1"/>
    <col min="68" max="68" width="10.7109375" style="34" customWidth="1"/>
    <col min="69" max="69" width="22.57421875" style="83" customWidth="1"/>
    <col min="70" max="70" width="14.140625" style="83" customWidth="1"/>
    <col min="71" max="71" width="9.140625" style="83" customWidth="1"/>
    <col min="72" max="72" width="21.7109375" style="83" customWidth="1"/>
    <col min="73" max="73" width="13.140625" style="83" customWidth="1"/>
    <col min="74" max="83" width="13.28125" style="83" customWidth="1"/>
    <col min="84" max="16384" width="13.28125" style="34" customWidth="1"/>
  </cols>
  <sheetData>
    <row r="1" spans="1:74" ht="15.75" customHeight="1">
      <c r="A1" s="53" t="s">
        <v>0</v>
      </c>
      <c r="B1" s="6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 t="s">
        <v>1</v>
      </c>
      <c r="AC1" s="39"/>
      <c r="AD1" s="39"/>
      <c r="AE1" s="39"/>
      <c r="AF1" s="39"/>
      <c r="AG1" s="39"/>
      <c r="AH1" s="55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56"/>
      <c r="BI1" s="56"/>
      <c r="BJ1" s="56"/>
      <c r="BK1" s="56"/>
      <c r="BL1" s="56"/>
      <c r="BM1" s="56"/>
      <c r="BN1" s="56"/>
      <c r="BO1" s="56"/>
      <c r="BP1" s="56"/>
      <c r="BQ1" s="82"/>
      <c r="BR1" s="82"/>
      <c r="BS1" s="82"/>
      <c r="BT1" s="82"/>
      <c r="BU1" s="67"/>
      <c r="BV1" s="67"/>
    </row>
    <row r="2" spans="1:74" ht="15.75" customHeight="1">
      <c r="A2" s="53"/>
      <c r="B2" s="6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55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56"/>
      <c r="BI2" s="56"/>
      <c r="BJ2" s="56"/>
      <c r="BK2" s="56"/>
      <c r="BL2" s="56"/>
      <c r="BM2" s="56"/>
      <c r="BN2" s="56"/>
      <c r="BO2" s="56"/>
      <c r="BP2" s="56"/>
      <c r="BQ2" s="82"/>
      <c r="BR2" s="82"/>
      <c r="BS2" s="82"/>
      <c r="BT2" s="82"/>
      <c r="BU2" s="67"/>
      <c r="BV2" s="67"/>
    </row>
    <row r="3" spans="1:74" ht="15.75" customHeight="1">
      <c r="A3" s="39"/>
      <c r="B3" s="69" t="s">
        <v>180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67"/>
      <c r="BV3" s="67"/>
    </row>
    <row r="4" spans="1:74" ht="15.75" customHeight="1">
      <c r="A4" s="55" t="s">
        <v>2</v>
      </c>
      <c r="B4" s="70"/>
      <c r="C4" s="53" t="s">
        <v>181</v>
      </c>
      <c r="D4" s="53"/>
      <c r="E4" s="59"/>
      <c r="F4" s="53" t="s">
        <v>182</v>
      </c>
      <c r="G4" s="53"/>
      <c r="H4" s="59"/>
      <c r="I4" s="53" t="s">
        <v>183</v>
      </c>
      <c r="J4" s="53"/>
      <c r="K4" s="53"/>
      <c r="L4" s="53" t="s">
        <v>184</v>
      </c>
      <c r="M4" s="53"/>
      <c r="N4" s="59"/>
      <c r="O4" s="53" t="s">
        <v>185</v>
      </c>
      <c r="P4" s="53"/>
      <c r="Q4" s="59"/>
      <c r="R4" s="53" t="s">
        <v>186</v>
      </c>
      <c r="S4" s="53"/>
      <c r="T4" s="53"/>
      <c r="U4" s="53" t="s">
        <v>187</v>
      </c>
      <c r="V4" s="53"/>
      <c r="W4" s="53"/>
      <c r="X4" s="53" t="s">
        <v>191</v>
      </c>
      <c r="Y4" s="53"/>
      <c r="Z4" s="59"/>
      <c r="AA4" s="53" t="s">
        <v>190</v>
      </c>
      <c r="AB4" s="53"/>
      <c r="AC4" s="59"/>
      <c r="AD4" s="53" t="s">
        <v>189</v>
      </c>
      <c r="AE4" s="53"/>
      <c r="AF4" s="59"/>
      <c r="AG4" s="53" t="s">
        <v>188</v>
      </c>
      <c r="AH4" s="53"/>
      <c r="AI4" s="59"/>
      <c r="AJ4" s="53" t="s">
        <v>192</v>
      </c>
      <c r="AK4" s="53"/>
      <c r="AL4" s="59"/>
      <c r="AM4" s="53" t="s">
        <v>193</v>
      </c>
      <c r="AN4" s="53"/>
      <c r="AO4" s="59"/>
      <c r="AP4" s="53" t="s">
        <v>194</v>
      </c>
      <c r="AQ4" s="53"/>
      <c r="AR4" s="59"/>
      <c r="AS4" s="53" t="s">
        <v>195</v>
      </c>
      <c r="AT4" s="53"/>
      <c r="AU4" s="59"/>
      <c r="AV4" s="53" t="s">
        <v>196</v>
      </c>
      <c r="AW4" s="53"/>
      <c r="AX4" s="59"/>
      <c r="AY4" s="53" t="s">
        <v>197</v>
      </c>
      <c r="AZ4" s="53"/>
      <c r="BA4" s="59"/>
      <c r="BB4" s="53" t="s">
        <v>199</v>
      </c>
      <c r="BC4" s="53"/>
      <c r="BD4" s="59"/>
      <c r="BE4" s="53" t="s">
        <v>198</v>
      </c>
      <c r="BF4" s="53"/>
      <c r="BG4" s="59"/>
      <c r="BH4" s="53" t="s">
        <v>201</v>
      </c>
      <c r="BI4" s="60"/>
      <c r="BJ4" s="60"/>
      <c r="BK4" s="53" t="s">
        <v>200</v>
      </c>
      <c r="BL4" s="53"/>
      <c r="BM4" s="53"/>
      <c r="BN4" s="53" t="s">
        <v>3</v>
      </c>
      <c r="BO4" s="53"/>
      <c r="BP4" s="53"/>
      <c r="BQ4" s="84"/>
      <c r="BR4" s="84"/>
      <c r="BS4" s="84"/>
      <c r="BT4" s="84"/>
      <c r="BU4" s="84"/>
      <c r="BV4" s="85"/>
    </row>
    <row r="5" spans="1:74" ht="15.75" customHeight="1" thickBot="1">
      <c r="A5" s="39"/>
      <c r="B5" s="70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60"/>
      <c r="BI5" s="60"/>
      <c r="BJ5" s="60"/>
      <c r="BK5" s="60"/>
      <c r="BL5" s="60"/>
      <c r="BM5" s="60"/>
      <c r="BN5" s="60"/>
      <c r="BO5" s="60"/>
      <c r="BP5" s="60"/>
      <c r="BQ5" s="85"/>
      <c r="BR5" s="85"/>
      <c r="BS5" s="85"/>
      <c r="BT5" s="85"/>
      <c r="BU5" s="85"/>
      <c r="BV5" s="85"/>
    </row>
    <row r="6" spans="1:74" ht="15" customHeight="1" thickTop="1">
      <c r="A6" s="32"/>
      <c r="B6" s="7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24"/>
      <c r="BR6" s="24"/>
      <c r="BS6" s="24"/>
      <c r="BT6" s="24"/>
      <c r="BU6" s="24"/>
      <c r="BV6" s="24"/>
    </row>
    <row r="7" spans="1:74" ht="15.75" customHeight="1">
      <c r="A7" s="59"/>
      <c r="B7" s="70"/>
      <c r="C7" s="49" t="s">
        <v>4</v>
      </c>
      <c r="D7" s="49" t="s">
        <v>4</v>
      </c>
      <c r="E7" s="49"/>
      <c r="F7" s="49" t="s">
        <v>4</v>
      </c>
      <c r="G7" s="49" t="s">
        <v>4</v>
      </c>
      <c r="H7" s="49"/>
      <c r="I7" s="49" t="s">
        <v>4</v>
      </c>
      <c r="J7" s="49" t="s">
        <v>4</v>
      </c>
      <c r="K7" s="49"/>
      <c r="L7" s="49" t="s">
        <v>4</v>
      </c>
      <c r="M7" s="49" t="s">
        <v>4</v>
      </c>
      <c r="N7" s="49"/>
      <c r="O7" s="49" t="s">
        <v>4</v>
      </c>
      <c r="P7" s="49" t="s">
        <v>4</v>
      </c>
      <c r="Q7" s="49"/>
      <c r="R7" s="49" t="s">
        <v>4</v>
      </c>
      <c r="S7" s="49" t="s">
        <v>4</v>
      </c>
      <c r="T7" s="49"/>
      <c r="U7" s="49" t="s">
        <v>4</v>
      </c>
      <c r="V7" s="49" t="s">
        <v>4</v>
      </c>
      <c r="W7" s="49"/>
      <c r="X7" s="49" t="s">
        <v>4</v>
      </c>
      <c r="Y7" s="49" t="s">
        <v>4</v>
      </c>
      <c r="Z7" s="49"/>
      <c r="AA7" s="49" t="s">
        <v>4</v>
      </c>
      <c r="AB7" s="49" t="s">
        <v>4</v>
      </c>
      <c r="AC7" s="49"/>
      <c r="AD7" s="49" t="s">
        <v>4</v>
      </c>
      <c r="AE7" s="49" t="s">
        <v>4</v>
      </c>
      <c r="AF7" s="49"/>
      <c r="AG7" s="49" t="s">
        <v>4</v>
      </c>
      <c r="AH7" s="49" t="s">
        <v>4</v>
      </c>
      <c r="AI7" s="49"/>
      <c r="AJ7" s="49" t="s">
        <v>4</v>
      </c>
      <c r="AK7" s="49" t="s">
        <v>4</v>
      </c>
      <c r="AL7" s="49"/>
      <c r="AM7" s="49" t="s">
        <v>4</v>
      </c>
      <c r="AN7" s="49" t="s">
        <v>4</v>
      </c>
      <c r="AO7" s="49"/>
      <c r="AP7" s="49" t="s">
        <v>4</v>
      </c>
      <c r="AQ7" s="49" t="s">
        <v>4</v>
      </c>
      <c r="AR7" s="49"/>
      <c r="AS7" s="49" t="s">
        <v>4</v>
      </c>
      <c r="AT7" s="49" t="s">
        <v>4</v>
      </c>
      <c r="AU7" s="49"/>
      <c r="AV7" s="49" t="s">
        <v>4</v>
      </c>
      <c r="AW7" s="49" t="s">
        <v>4</v>
      </c>
      <c r="AX7" s="49"/>
      <c r="AY7" s="49" t="s">
        <v>4</v>
      </c>
      <c r="AZ7" s="49" t="s">
        <v>4</v>
      </c>
      <c r="BA7" s="49"/>
      <c r="BB7" s="49" t="s">
        <v>4</v>
      </c>
      <c r="BC7" s="49" t="s">
        <v>4</v>
      </c>
      <c r="BD7" s="49"/>
      <c r="BE7" s="49" t="s">
        <v>4</v>
      </c>
      <c r="BF7" s="49" t="s">
        <v>4</v>
      </c>
      <c r="BG7" s="49"/>
      <c r="BH7" s="49" t="s">
        <v>4</v>
      </c>
      <c r="BI7" s="49" t="s">
        <v>4</v>
      </c>
      <c r="BJ7" s="49"/>
      <c r="BK7" s="49" t="s">
        <v>4</v>
      </c>
      <c r="BL7" s="49" t="s">
        <v>4</v>
      </c>
      <c r="BM7" s="49"/>
      <c r="BN7" s="49" t="s">
        <v>5</v>
      </c>
      <c r="BO7" s="49" t="s">
        <v>5</v>
      </c>
      <c r="BP7" s="49"/>
      <c r="BQ7" s="28"/>
      <c r="BR7" s="28"/>
      <c r="BS7" s="28"/>
      <c r="BT7" s="28"/>
      <c r="BU7" s="28"/>
      <c r="BV7" s="28"/>
    </row>
    <row r="8" spans="1:74" ht="15.75" customHeight="1">
      <c r="A8" s="39"/>
      <c r="B8" s="72" t="s">
        <v>6</v>
      </c>
      <c r="C8" s="49" t="s">
        <v>7</v>
      </c>
      <c r="D8" s="49" t="s">
        <v>7</v>
      </c>
      <c r="E8" s="49"/>
      <c r="F8" s="49" t="s">
        <v>7</v>
      </c>
      <c r="G8" s="49" t="s">
        <v>7</v>
      </c>
      <c r="H8" s="49"/>
      <c r="I8" s="49" t="s">
        <v>7</v>
      </c>
      <c r="J8" s="49" t="s">
        <v>7</v>
      </c>
      <c r="K8" s="49"/>
      <c r="L8" s="49" t="s">
        <v>7</v>
      </c>
      <c r="M8" s="49" t="s">
        <v>7</v>
      </c>
      <c r="N8" s="49"/>
      <c r="O8" s="49" t="s">
        <v>7</v>
      </c>
      <c r="P8" s="49" t="s">
        <v>7</v>
      </c>
      <c r="Q8" s="49"/>
      <c r="R8" s="49" t="s">
        <v>7</v>
      </c>
      <c r="S8" s="49" t="s">
        <v>7</v>
      </c>
      <c r="T8" s="49"/>
      <c r="U8" s="49" t="s">
        <v>7</v>
      </c>
      <c r="V8" s="49" t="s">
        <v>7</v>
      </c>
      <c r="W8" s="49"/>
      <c r="X8" s="49" t="s">
        <v>7</v>
      </c>
      <c r="Y8" s="49" t="s">
        <v>7</v>
      </c>
      <c r="Z8" s="49"/>
      <c r="AA8" s="49" t="s">
        <v>7</v>
      </c>
      <c r="AB8" s="49" t="s">
        <v>7</v>
      </c>
      <c r="AC8" s="49"/>
      <c r="AD8" s="49" t="s">
        <v>7</v>
      </c>
      <c r="AE8" s="49" t="s">
        <v>7</v>
      </c>
      <c r="AF8" s="49"/>
      <c r="AG8" s="49" t="s">
        <v>7</v>
      </c>
      <c r="AH8" s="49" t="s">
        <v>7</v>
      </c>
      <c r="AI8" s="49"/>
      <c r="AJ8" s="49" t="s">
        <v>7</v>
      </c>
      <c r="AK8" s="49" t="s">
        <v>7</v>
      </c>
      <c r="AL8" s="49"/>
      <c r="AM8" s="49" t="s">
        <v>7</v>
      </c>
      <c r="AN8" s="49" t="s">
        <v>7</v>
      </c>
      <c r="AO8" s="49"/>
      <c r="AP8" s="49" t="s">
        <v>7</v>
      </c>
      <c r="AQ8" s="49" t="s">
        <v>7</v>
      </c>
      <c r="AR8" s="49"/>
      <c r="AS8" s="49" t="s">
        <v>7</v>
      </c>
      <c r="AT8" s="49" t="s">
        <v>7</v>
      </c>
      <c r="AU8" s="49"/>
      <c r="AV8" s="49" t="s">
        <v>7</v>
      </c>
      <c r="AW8" s="49" t="s">
        <v>7</v>
      </c>
      <c r="AX8" s="49"/>
      <c r="AY8" s="49" t="s">
        <v>7</v>
      </c>
      <c r="AZ8" s="49" t="s">
        <v>7</v>
      </c>
      <c r="BA8" s="49"/>
      <c r="BB8" s="49" t="s">
        <v>7</v>
      </c>
      <c r="BC8" s="49" t="s">
        <v>7</v>
      </c>
      <c r="BD8" s="49"/>
      <c r="BE8" s="49" t="s">
        <v>7</v>
      </c>
      <c r="BF8" s="49" t="s">
        <v>7</v>
      </c>
      <c r="BG8" s="49"/>
      <c r="BH8" s="49" t="s">
        <v>7</v>
      </c>
      <c r="BI8" s="49" t="s">
        <v>7</v>
      </c>
      <c r="BJ8" s="49"/>
      <c r="BK8" s="49" t="s">
        <v>7</v>
      </c>
      <c r="BL8" s="49" t="s">
        <v>7</v>
      </c>
      <c r="BM8" s="49"/>
      <c r="BN8" s="49" t="s">
        <v>8</v>
      </c>
      <c r="BO8" s="49" t="s">
        <v>9</v>
      </c>
      <c r="BP8" s="49"/>
      <c r="BQ8" s="28"/>
      <c r="BR8" s="28"/>
      <c r="BS8" s="28"/>
      <c r="BT8" s="28"/>
      <c r="BU8" s="28"/>
      <c r="BV8" s="28"/>
    </row>
    <row r="9" spans="1:74" ht="15.75" customHeight="1">
      <c r="A9" s="39"/>
      <c r="B9" s="70"/>
      <c r="C9" s="49" t="s">
        <v>10</v>
      </c>
      <c r="D9" s="49" t="s">
        <v>9</v>
      </c>
      <c r="E9" s="49"/>
      <c r="F9" s="49" t="s">
        <v>10</v>
      </c>
      <c r="G9" s="49" t="s">
        <v>9</v>
      </c>
      <c r="H9" s="49"/>
      <c r="I9" s="49" t="s">
        <v>10</v>
      </c>
      <c r="J9" s="49" t="s">
        <v>9</v>
      </c>
      <c r="K9" s="49"/>
      <c r="L9" s="49" t="s">
        <v>10</v>
      </c>
      <c r="M9" s="49" t="s">
        <v>9</v>
      </c>
      <c r="N9" s="49"/>
      <c r="O9" s="49" t="s">
        <v>10</v>
      </c>
      <c r="P9" s="49" t="s">
        <v>9</v>
      </c>
      <c r="Q9" s="49"/>
      <c r="R9" s="49" t="s">
        <v>10</v>
      </c>
      <c r="S9" s="49" t="s">
        <v>9</v>
      </c>
      <c r="T9" s="49"/>
      <c r="U9" s="49" t="s">
        <v>10</v>
      </c>
      <c r="V9" s="49" t="s">
        <v>9</v>
      </c>
      <c r="W9" s="49"/>
      <c r="X9" s="49" t="s">
        <v>10</v>
      </c>
      <c r="Y9" s="49" t="s">
        <v>9</v>
      </c>
      <c r="Z9" s="49"/>
      <c r="AA9" s="49" t="s">
        <v>10</v>
      </c>
      <c r="AB9" s="49" t="s">
        <v>9</v>
      </c>
      <c r="AC9" s="49"/>
      <c r="AD9" s="49" t="s">
        <v>10</v>
      </c>
      <c r="AE9" s="49" t="s">
        <v>9</v>
      </c>
      <c r="AF9" s="49"/>
      <c r="AG9" s="49" t="s">
        <v>10</v>
      </c>
      <c r="AH9" s="49" t="s">
        <v>9</v>
      </c>
      <c r="AI9" s="49"/>
      <c r="AJ9" s="49" t="s">
        <v>10</v>
      </c>
      <c r="AK9" s="49" t="s">
        <v>9</v>
      </c>
      <c r="AL9" s="49"/>
      <c r="AM9" s="49" t="s">
        <v>10</v>
      </c>
      <c r="AN9" s="49" t="s">
        <v>9</v>
      </c>
      <c r="AO9" s="49"/>
      <c r="AP9" s="49" t="s">
        <v>10</v>
      </c>
      <c r="AQ9" s="49" t="s">
        <v>9</v>
      </c>
      <c r="AR9" s="49"/>
      <c r="AS9" s="49" t="s">
        <v>10</v>
      </c>
      <c r="AT9" s="49" t="s">
        <v>9</v>
      </c>
      <c r="AU9" s="49"/>
      <c r="AV9" s="49" t="s">
        <v>10</v>
      </c>
      <c r="AW9" s="49" t="s">
        <v>9</v>
      </c>
      <c r="AX9" s="49"/>
      <c r="AY9" s="49" t="s">
        <v>10</v>
      </c>
      <c r="AZ9" s="49" t="s">
        <v>9</v>
      </c>
      <c r="BA9" s="49"/>
      <c r="BB9" s="49" t="s">
        <v>10</v>
      </c>
      <c r="BC9" s="49" t="s">
        <v>9</v>
      </c>
      <c r="BD9" s="49"/>
      <c r="BE9" s="49" t="s">
        <v>10</v>
      </c>
      <c r="BF9" s="49" t="s">
        <v>9</v>
      </c>
      <c r="BG9" s="49"/>
      <c r="BH9" s="49" t="s">
        <v>10</v>
      </c>
      <c r="BI9" s="49" t="s">
        <v>9</v>
      </c>
      <c r="BJ9" s="49"/>
      <c r="BK9" s="49" t="s">
        <v>10</v>
      </c>
      <c r="BL9" s="49" t="s">
        <v>9</v>
      </c>
      <c r="BM9" s="49"/>
      <c r="BN9" s="49" t="s">
        <v>7</v>
      </c>
      <c r="BO9" s="49" t="s">
        <v>11</v>
      </c>
      <c r="BP9" s="49"/>
      <c r="BQ9" s="28"/>
      <c r="BR9" s="28"/>
      <c r="BS9" s="28"/>
      <c r="BT9" s="28"/>
      <c r="BU9" s="28"/>
      <c r="BV9" s="28"/>
    </row>
    <row r="10" spans="1:75" ht="15.75" customHeight="1">
      <c r="A10" s="39"/>
      <c r="B10" s="70"/>
      <c r="C10" s="39"/>
      <c r="D10" s="49" t="s">
        <v>12</v>
      </c>
      <c r="E10" s="49"/>
      <c r="F10" s="39"/>
      <c r="G10" s="49" t="s">
        <v>12</v>
      </c>
      <c r="H10" s="49"/>
      <c r="I10" s="39"/>
      <c r="J10" s="49" t="s">
        <v>12</v>
      </c>
      <c r="K10" s="39"/>
      <c r="L10" s="39"/>
      <c r="M10" s="49" t="s">
        <v>12</v>
      </c>
      <c r="N10" s="49"/>
      <c r="O10" s="39"/>
      <c r="P10" s="49" t="s">
        <v>12</v>
      </c>
      <c r="Q10" s="49"/>
      <c r="R10" s="39"/>
      <c r="S10" s="49" t="s">
        <v>12</v>
      </c>
      <c r="T10" s="49"/>
      <c r="U10" s="39"/>
      <c r="V10" s="49" t="s">
        <v>12</v>
      </c>
      <c r="W10" s="49"/>
      <c r="X10" s="39"/>
      <c r="Y10" s="49" t="s">
        <v>12</v>
      </c>
      <c r="Z10" s="49"/>
      <c r="AA10" s="39"/>
      <c r="AB10" s="49" t="s">
        <v>12</v>
      </c>
      <c r="AC10" s="49"/>
      <c r="AD10" s="39"/>
      <c r="AE10" s="49" t="s">
        <v>12</v>
      </c>
      <c r="AF10" s="49"/>
      <c r="AG10" s="39"/>
      <c r="AH10" s="49" t="s">
        <v>12</v>
      </c>
      <c r="AI10" s="49"/>
      <c r="AJ10" s="39"/>
      <c r="AK10" s="49" t="s">
        <v>12</v>
      </c>
      <c r="AL10" s="49"/>
      <c r="AM10" s="39"/>
      <c r="AN10" s="49" t="s">
        <v>12</v>
      </c>
      <c r="AO10" s="49"/>
      <c r="AP10" s="39"/>
      <c r="AQ10" s="49" t="s">
        <v>12</v>
      </c>
      <c r="AR10" s="49"/>
      <c r="AS10" s="39"/>
      <c r="AT10" s="49" t="s">
        <v>12</v>
      </c>
      <c r="AU10" s="49"/>
      <c r="AV10" s="39"/>
      <c r="AW10" s="49" t="s">
        <v>12</v>
      </c>
      <c r="AX10" s="49"/>
      <c r="AY10" s="39"/>
      <c r="AZ10" s="49" t="s">
        <v>12</v>
      </c>
      <c r="BA10" s="49"/>
      <c r="BB10" s="39"/>
      <c r="BC10" s="49" t="s">
        <v>12</v>
      </c>
      <c r="BD10" s="49"/>
      <c r="BE10" s="39"/>
      <c r="BF10" s="49" t="s">
        <v>12</v>
      </c>
      <c r="BG10" s="49"/>
      <c r="BH10" s="39"/>
      <c r="BI10" s="49" t="s">
        <v>12</v>
      </c>
      <c r="BJ10" s="49"/>
      <c r="BK10" s="39"/>
      <c r="BL10" s="49" t="s">
        <v>12</v>
      </c>
      <c r="BM10" s="49"/>
      <c r="BN10" s="39" t="s">
        <v>10</v>
      </c>
      <c r="BO10" s="49" t="s">
        <v>12</v>
      </c>
      <c r="BP10" s="39"/>
      <c r="BQ10" s="24"/>
      <c r="BR10" s="28"/>
      <c r="BS10" s="28"/>
      <c r="BT10" s="28"/>
      <c r="BU10" s="28"/>
      <c r="BV10" s="28"/>
      <c r="BW10" s="86"/>
    </row>
    <row r="11" spans="1:74" ht="15.75" customHeight="1" thickBot="1">
      <c r="A11" s="39"/>
      <c r="B11" s="70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24"/>
      <c r="BR11" s="24"/>
      <c r="BS11" s="24"/>
      <c r="BT11" s="24"/>
      <c r="BU11" s="24"/>
      <c r="BV11" s="24"/>
    </row>
    <row r="12" spans="1:74" ht="16.5" customHeight="1" thickTop="1">
      <c r="A12" s="31" t="s">
        <v>2</v>
      </c>
      <c r="B12" s="71"/>
      <c r="C12" s="33"/>
      <c r="D12" s="32"/>
      <c r="E12" s="32"/>
      <c r="F12" s="33"/>
      <c r="G12" s="32"/>
      <c r="H12" s="32"/>
      <c r="I12" s="33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24"/>
      <c r="BR12" s="24"/>
      <c r="BS12" s="24"/>
      <c r="BT12" s="24"/>
      <c r="BU12" s="24"/>
      <c r="BV12" s="24"/>
    </row>
    <row r="13" spans="1:74" ht="15.75" customHeight="1">
      <c r="A13" s="35">
        <v>1</v>
      </c>
      <c r="B13" s="73" t="s">
        <v>14</v>
      </c>
      <c r="C13" s="37">
        <v>107.6</v>
      </c>
      <c r="D13" s="38">
        <v>72.63</v>
      </c>
      <c r="E13" s="39"/>
      <c r="F13" s="37">
        <v>107.99</v>
      </c>
      <c r="G13" s="38">
        <v>72.06</v>
      </c>
      <c r="H13" s="39"/>
      <c r="I13" s="37">
        <v>107.92</v>
      </c>
      <c r="J13" s="38">
        <v>72.47</v>
      </c>
      <c r="K13" s="39"/>
      <c r="L13" s="37">
        <v>108.45</v>
      </c>
      <c r="M13" s="38">
        <v>72.22</v>
      </c>
      <c r="N13" s="39"/>
      <c r="O13" s="37">
        <v>109.46</v>
      </c>
      <c r="P13" s="38">
        <v>71.63</v>
      </c>
      <c r="Q13" s="39"/>
      <c r="R13" s="37">
        <v>109.61</v>
      </c>
      <c r="S13" s="38">
        <v>72.97</v>
      </c>
      <c r="T13" s="39"/>
      <c r="U13" s="37">
        <v>109.75</v>
      </c>
      <c r="V13" s="38">
        <v>73.35</v>
      </c>
      <c r="W13" s="39"/>
      <c r="X13" s="37">
        <v>110.24</v>
      </c>
      <c r="Y13" s="38">
        <v>73.76</v>
      </c>
      <c r="Z13" s="39"/>
      <c r="AA13" s="37">
        <v>109.03</v>
      </c>
      <c r="AB13" s="38">
        <v>74.54</v>
      </c>
      <c r="AC13" s="39"/>
      <c r="AD13" s="37">
        <v>109.6</v>
      </c>
      <c r="AE13" s="38">
        <v>74.27</v>
      </c>
      <c r="AF13" s="39"/>
      <c r="AG13" s="37">
        <v>110.51</v>
      </c>
      <c r="AH13" s="38">
        <v>74.44</v>
      </c>
      <c r="AI13" s="39"/>
      <c r="AJ13" s="37">
        <v>110.17</v>
      </c>
      <c r="AK13" s="38">
        <v>74.71</v>
      </c>
      <c r="AL13" s="39"/>
      <c r="AM13" s="37">
        <v>109.94</v>
      </c>
      <c r="AN13" s="38">
        <v>75.32</v>
      </c>
      <c r="AO13" s="39"/>
      <c r="AP13" s="37">
        <v>110.17</v>
      </c>
      <c r="AQ13" s="38">
        <v>75.18</v>
      </c>
      <c r="AR13" s="39"/>
      <c r="AS13" s="37">
        <v>108.71</v>
      </c>
      <c r="AT13" s="38">
        <v>75.94</v>
      </c>
      <c r="AU13" s="39"/>
      <c r="AV13" s="37">
        <v>109.15</v>
      </c>
      <c r="AW13" s="38">
        <v>75.32</v>
      </c>
      <c r="AX13" s="39"/>
      <c r="AY13" s="37">
        <v>109.95</v>
      </c>
      <c r="AZ13" s="38">
        <v>75.09</v>
      </c>
      <c r="BA13" s="39"/>
      <c r="BB13" s="37">
        <v>109.77</v>
      </c>
      <c r="BC13" s="38">
        <v>75.76</v>
      </c>
      <c r="BD13" s="39"/>
      <c r="BE13" s="37">
        <v>108.85</v>
      </c>
      <c r="BF13" s="38">
        <v>75.85</v>
      </c>
      <c r="BG13" s="39"/>
      <c r="BH13" s="37">
        <v>109.05</v>
      </c>
      <c r="BI13" s="38">
        <v>75.48</v>
      </c>
      <c r="BJ13" s="39"/>
      <c r="BK13" s="37">
        <v>108.84</v>
      </c>
      <c r="BL13" s="38">
        <v>75.95</v>
      </c>
      <c r="BM13" s="38"/>
      <c r="BN13" s="37">
        <f>(C13+F13+I13+L13+O13+R13+U13+X13+AA13+AD13+AG13+AJ13+AM13+AP13+AS13+AV13+AY13+BB13+BE13+BH13+BK13)/21</f>
        <v>109.27428571428575</v>
      </c>
      <c r="BO13" s="37">
        <f>(D13+G13+J13+M13+P13+S13+V13+Y13+AB13+AE13+AH13+AK13+AN13+AQ13+AT13+AW13+AZ13+BC13+BF13+BI13+BL13)/21</f>
        <v>74.23523809523809</v>
      </c>
      <c r="BP13" s="37"/>
      <c r="BQ13" s="25"/>
      <c r="BR13" s="25"/>
      <c r="BS13" s="25"/>
      <c r="BT13" s="89"/>
      <c r="BU13" s="87"/>
      <c r="BV13" s="24"/>
    </row>
    <row r="14" spans="1:74" s="47" customFormat="1" ht="15.75" customHeight="1">
      <c r="A14" s="40">
        <v>2</v>
      </c>
      <c r="B14" s="73" t="s">
        <v>15</v>
      </c>
      <c r="C14" s="25">
        <v>0.5056</v>
      </c>
      <c r="D14" s="26">
        <v>154.58</v>
      </c>
      <c r="E14" s="24"/>
      <c r="F14" s="25">
        <v>0.5078</v>
      </c>
      <c r="G14" s="26">
        <v>153.24</v>
      </c>
      <c r="H14" s="24"/>
      <c r="I14" s="25">
        <v>0.5112</v>
      </c>
      <c r="J14" s="26">
        <v>152.99</v>
      </c>
      <c r="K14" s="24"/>
      <c r="L14" s="25">
        <v>0.5118</v>
      </c>
      <c r="M14" s="26">
        <v>153.02</v>
      </c>
      <c r="N14" s="24"/>
      <c r="O14" s="25">
        <v>0.5124</v>
      </c>
      <c r="P14" s="26">
        <v>153.01</v>
      </c>
      <c r="Q14" s="24"/>
      <c r="R14" s="25">
        <v>0.5196</v>
      </c>
      <c r="S14" s="26">
        <v>153.91</v>
      </c>
      <c r="T14" s="24"/>
      <c r="U14" s="25">
        <v>0.5199</v>
      </c>
      <c r="V14" s="26">
        <v>154.85</v>
      </c>
      <c r="W14" s="24"/>
      <c r="X14" s="25">
        <v>0.5263</v>
      </c>
      <c r="Y14" s="26">
        <v>154.5</v>
      </c>
      <c r="Z14" s="24"/>
      <c r="AA14" s="25">
        <v>0.5291</v>
      </c>
      <c r="AB14" s="26">
        <v>153.6</v>
      </c>
      <c r="AC14" s="24"/>
      <c r="AD14" s="25">
        <v>0.5349</v>
      </c>
      <c r="AE14" s="26">
        <v>152.18</v>
      </c>
      <c r="AF14" s="24"/>
      <c r="AG14" s="25">
        <v>0.5383</v>
      </c>
      <c r="AH14" s="26">
        <v>152.82</v>
      </c>
      <c r="AI14" s="24"/>
      <c r="AJ14" s="25">
        <v>0.5352</v>
      </c>
      <c r="AK14" s="26">
        <v>153.79</v>
      </c>
      <c r="AL14" s="24"/>
      <c r="AM14" s="25">
        <v>0.5387</v>
      </c>
      <c r="AN14" s="26">
        <v>153.72</v>
      </c>
      <c r="AO14" s="24"/>
      <c r="AP14" s="25">
        <v>0.5383</v>
      </c>
      <c r="AQ14" s="26">
        <v>153.87</v>
      </c>
      <c r="AR14" s="24"/>
      <c r="AS14" s="25">
        <v>0.5354</v>
      </c>
      <c r="AT14" s="26">
        <v>154.2</v>
      </c>
      <c r="AU14" s="24"/>
      <c r="AV14" s="25">
        <v>0.5376</v>
      </c>
      <c r="AW14" s="26">
        <v>152.94</v>
      </c>
      <c r="AX14" s="24"/>
      <c r="AY14" s="25">
        <v>0.5412</v>
      </c>
      <c r="AZ14" s="26">
        <v>152.57</v>
      </c>
      <c r="BA14" s="24"/>
      <c r="BB14" s="25">
        <v>0.5447</v>
      </c>
      <c r="BC14" s="26">
        <v>152.68</v>
      </c>
      <c r="BD14" s="24"/>
      <c r="BE14" s="25">
        <v>0.542</v>
      </c>
      <c r="BF14" s="26">
        <v>152.32</v>
      </c>
      <c r="BG14" s="24"/>
      <c r="BH14" s="25">
        <v>0.544</v>
      </c>
      <c r="BI14" s="26">
        <v>151.29</v>
      </c>
      <c r="BJ14" s="24"/>
      <c r="BK14" s="25">
        <v>0.5465</v>
      </c>
      <c r="BL14" s="26">
        <v>151.25</v>
      </c>
      <c r="BM14" s="26"/>
      <c r="BN14" s="37">
        <f aca="true" t="shared" si="0" ref="BN14:BN25">(C14+F14+I14+L14+O14+R14+U14+X14+AA14+AD14+AG14+AJ14+AM14+AP14+AS14+AV14+AY14+BB14+BE14+BH14+BK14)/21</f>
        <v>0.5295476190476192</v>
      </c>
      <c r="BO14" s="37">
        <f aca="true" t="shared" si="1" ref="BO14:BO25">(D14+G14+J14+M14+P14+S14+V14+Y14+AB14+AE14+AH14+AK14+AN14+AQ14+AT14+AW14+AZ14+BC14+BF14+BI14+BL14)/21</f>
        <v>153.20619047619047</v>
      </c>
      <c r="BP14" s="25"/>
      <c r="BQ14" s="25"/>
      <c r="BR14" s="25"/>
      <c r="BS14" s="25"/>
      <c r="BT14" s="89"/>
      <c r="BU14" s="87"/>
      <c r="BV14" s="24"/>
    </row>
    <row r="15" spans="1:74" ht="15.75" customHeight="1">
      <c r="A15" s="35">
        <v>3</v>
      </c>
      <c r="B15" s="73" t="s">
        <v>16</v>
      </c>
      <c r="C15" s="37">
        <v>1.0478</v>
      </c>
      <c r="D15" s="38">
        <v>74.59</v>
      </c>
      <c r="E15" s="39"/>
      <c r="F15" s="37">
        <v>1.0479</v>
      </c>
      <c r="G15" s="38">
        <v>74.26</v>
      </c>
      <c r="H15" s="39"/>
      <c r="I15" s="37">
        <v>1.0529</v>
      </c>
      <c r="J15" s="38">
        <v>74.28</v>
      </c>
      <c r="K15" s="39"/>
      <c r="L15" s="37">
        <v>1.0519</v>
      </c>
      <c r="M15" s="38">
        <v>74.45</v>
      </c>
      <c r="N15" s="39"/>
      <c r="O15" s="37">
        <v>1.0549</v>
      </c>
      <c r="P15" s="38">
        <v>74.32</v>
      </c>
      <c r="Q15" s="39"/>
      <c r="R15" s="37">
        <v>1.0745</v>
      </c>
      <c r="S15" s="38">
        <v>74.43</v>
      </c>
      <c r="T15" s="39"/>
      <c r="U15" s="37">
        <v>1.0763</v>
      </c>
      <c r="V15" s="38">
        <v>74.79</v>
      </c>
      <c r="W15" s="39"/>
      <c r="X15" s="37">
        <v>1.0893</v>
      </c>
      <c r="Y15" s="38">
        <v>74.64</v>
      </c>
      <c r="Z15" s="39"/>
      <c r="AA15" s="37">
        <v>1.0878</v>
      </c>
      <c r="AB15" s="38">
        <v>74.71</v>
      </c>
      <c r="AC15" s="39"/>
      <c r="AD15" s="37">
        <v>1.087</v>
      </c>
      <c r="AE15" s="38">
        <v>74.88</v>
      </c>
      <c r="AF15" s="39"/>
      <c r="AG15" s="37">
        <v>1.0985</v>
      </c>
      <c r="AH15" s="38">
        <v>74.89</v>
      </c>
      <c r="AI15" s="39"/>
      <c r="AJ15" s="37">
        <v>1.0947</v>
      </c>
      <c r="AK15" s="38">
        <v>75.18</v>
      </c>
      <c r="AL15" s="39"/>
      <c r="AM15" s="37">
        <v>1.0994</v>
      </c>
      <c r="AN15" s="38">
        <v>75.32</v>
      </c>
      <c r="AO15" s="39"/>
      <c r="AP15" s="37">
        <v>1.0986</v>
      </c>
      <c r="AQ15" s="38">
        <v>75.4</v>
      </c>
      <c r="AR15" s="39"/>
      <c r="AS15" s="37">
        <v>1.0944</v>
      </c>
      <c r="AT15" s="38">
        <v>75.43</v>
      </c>
      <c r="AU15" s="39"/>
      <c r="AV15" s="37">
        <v>1.0916</v>
      </c>
      <c r="AW15" s="38">
        <v>75.32</v>
      </c>
      <c r="AX15" s="39"/>
      <c r="AY15" s="37">
        <v>1.099</v>
      </c>
      <c r="AZ15" s="38">
        <v>75.13</v>
      </c>
      <c r="BA15" s="39"/>
      <c r="BB15" s="37">
        <v>1.1065</v>
      </c>
      <c r="BC15" s="38">
        <v>75.16</v>
      </c>
      <c r="BD15" s="39"/>
      <c r="BE15" s="37">
        <v>1.0942</v>
      </c>
      <c r="BF15" s="38">
        <v>75.45</v>
      </c>
      <c r="BG15" s="39"/>
      <c r="BH15" s="37">
        <v>1.0908</v>
      </c>
      <c r="BI15" s="38">
        <v>75.46</v>
      </c>
      <c r="BJ15" s="39"/>
      <c r="BK15" s="37">
        <v>1.0975</v>
      </c>
      <c r="BL15" s="38">
        <v>75.32</v>
      </c>
      <c r="BM15" s="38"/>
      <c r="BN15" s="37">
        <f t="shared" si="0"/>
        <v>1.082642857142857</v>
      </c>
      <c r="BO15" s="37">
        <f t="shared" si="1"/>
        <v>74.92428571428572</v>
      </c>
      <c r="BP15" s="37"/>
      <c r="BQ15" s="25"/>
      <c r="BR15" s="25"/>
      <c r="BS15" s="25"/>
      <c r="BT15" s="89"/>
      <c r="BU15" s="87"/>
      <c r="BV15" s="24"/>
    </row>
    <row r="16" spans="1:74" ht="15.75" customHeight="1">
      <c r="A16" s="35">
        <v>4</v>
      </c>
      <c r="B16" s="73" t="s">
        <v>17</v>
      </c>
      <c r="C16" s="37">
        <v>0.6425</v>
      </c>
      <c r="D16" s="38">
        <v>121.67</v>
      </c>
      <c r="E16" s="39"/>
      <c r="F16" s="37">
        <v>0.6417</v>
      </c>
      <c r="G16" s="38">
        <v>121.28</v>
      </c>
      <c r="H16" s="39"/>
      <c r="I16" s="37">
        <v>0.6455</v>
      </c>
      <c r="J16" s="38">
        <v>121.2</v>
      </c>
      <c r="K16" s="39"/>
      <c r="L16" s="37">
        <v>0.6461</v>
      </c>
      <c r="M16" s="38">
        <v>121.24</v>
      </c>
      <c r="N16" s="39"/>
      <c r="O16" s="37">
        <v>0.6462</v>
      </c>
      <c r="P16" s="38">
        <v>121.31</v>
      </c>
      <c r="Q16" s="39"/>
      <c r="R16" s="37">
        <v>0.661</v>
      </c>
      <c r="S16" s="38">
        <v>121.2</v>
      </c>
      <c r="T16" s="39"/>
      <c r="U16" s="37">
        <v>0.664</v>
      </c>
      <c r="V16" s="38">
        <v>121.16</v>
      </c>
      <c r="W16" s="39"/>
      <c r="X16" s="37">
        <v>0.6713</v>
      </c>
      <c r="Y16" s="38">
        <v>121.08</v>
      </c>
      <c r="Z16" s="39"/>
      <c r="AA16" s="37">
        <v>0.6704</v>
      </c>
      <c r="AB16" s="38">
        <v>121.21</v>
      </c>
      <c r="AC16" s="39"/>
      <c r="AD16" s="37">
        <v>0.6711</v>
      </c>
      <c r="AE16" s="38">
        <v>121.22</v>
      </c>
      <c r="AF16" s="39"/>
      <c r="AG16" s="37">
        <v>0.6794</v>
      </c>
      <c r="AH16" s="38">
        <v>121.11</v>
      </c>
      <c r="AI16" s="39"/>
      <c r="AJ16" s="37">
        <v>0.6785</v>
      </c>
      <c r="AK16" s="38">
        <v>121.26</v>
      </c>
      <c r="AL16" s="39"/>
      <c r="AM16" s="37">
        <v>0.6825</v>
      </c>
      <c r="AN16" s="38">
        <v>121.32</v>
      </c>
      <c r="AO16" s="39"/>
      <c r="AP16" s="37">
        <v>0.6795</v>
      </c>
      <c r="AQ16" s="38">
        <v>121.87</v>
      </c>
      <c r="AR16" s="39"/>
      <c r="AS16" s="37">
        <v>0.6766</v>
      </c>
      <c r="AT16" s="38">
        <v>122</v>
      </c>
      <c r="AU16" s="39"/>
      <c r="AV16" s="37">
        <v>0.6737</v>
      </c>
      <c r="AW16" s="38">
        <v>122.03</v>
      </c>
      <c r="AX16" s="39"/>
      <c r="AY16" s="37">
        <v>0.6783</v>
      </c>
      <c r="AZ16" s="38">
        <v>121.69</v>
      </c>
      <c r="BA16" s="39"/>
      <c r="BB16" s="37">
        <v>0.6848</v>
      </c>
      <c r="BC16" s="38">
        <v>121.5</v>
      </c>
      <c r="BD16" s="39"/>
      <c r="BE16" s="37">
        <v>0.6793</v>
      </c>
      <c r="BF16" s="38">
        <v>121.53</v>
      </c>
      <c r="BG16" s="39"/>
      <c r="BH16" s="37">
        <v>0.6764</v>
      </c>
      <c r="BI16" s="38">
        <v>121.64</v>
      </c>
      <c r="BJ16" s="39"/>
      <c r="BK16" s="37">
        <v>0.6796</v>
      </c>
      <c r="BL16" s="38">
        <v>121.7</v>
      </c>
      <c r="BM16" s="38"/>
      <c r="BN16" s="37">
        <f t="shared" si="0"/>
        <v>0.6680190476190475</v>
      </c>
      <c r="BO16" s="37">
        <f t="shared" si="1"/>
        <v>121.43904761904761</v>
      </c>
      <c r="BP16" s="37"/>
      <c r="BQ16" s="25"/>
      <c r="BR16" s="25"/>
      <c r="BS16" s="25"/>
      <c r="BT16" s="89"/>
      <c r="BU16" s="87"/>
      <c r="BV16" s="24"/>
    </row>
    <row r="17" spans="1:74" ht="15.75" customHeight="1">
      <c r="A17" s="35">
        <v>5</v>
      </c>
      <c r="B17" s="73" t="s">
        <v>18</v>
      </c>
      <c r="C17" s="37">
        <v>909.45</v>
      </c>
      <c r="D17" s="52">
        <v>71076.93</v>
      </c>
      <c r="E17" s="39"/>
      <c r="F17" s="37">
        <v>909.2</v>
      </c>
      <c r="G17" s="52">
        <v>70750.53</v>
      </c>
      <c r="H17" s="39"/>
      <c r="I17" s="37">
        <v>884.2</v>
      </c>
      <c r="J17" s="52">
        <v>69149.97</v>
      </c>
      <c r="K17" s="39"/>
      <c r="L17" s="37">
        <v>883.7</v>
      </c>
      <c r="M17" s="52">
        <v>69210.28</v>
      </c>
      <c r="N17" s="39"/>
      <c r="O17" s="37">
        <v>882.1</v>
      </c>
      <c r="P17" s="52">
        <v>69158.85</v>
      </c>
      <c r="Q17" s="39"/>
      <c r="R17" s="37">
        <v>862.8</v>
      </c>
      <c r="S17" s="52">
        <v>69004.59</v>
      </c>
      <c r="T17" s="39"/>
      <c r="U17" s="37">
        <v>862.8</v>
      </c>
      <c r="V17" s="52">
        <v>69454.86</v>
      </c>
      <c r="W17" s="39"/>
      <c r="X17" s="37">
        <v>808.7</v>
      </c>
      <c r="Y17" s="52">
        <v>65755.4</v>
      </c>
      <c r="Z17" s="39"/>
      <c r="AA17" s="37">
        <v>823.4</v>
      </c>
      <c r="AB17" s="52">
        <v>66916.69</v>
      </c>
      <c r="AC17" s="39"/>
      <c r="AD17" s="37">
        <v>832</v>
      </c>
      <c r="AE17" s="52">
        <v>67721.16</v>
      </c>
      <c r="AF17" s="39"/>
      <c r="AG17" s="37">
        <v>784.2</v>
      </c>
      <c r="AH17" s="52">
        <v>64513.19</v>
      </c>
      <c r="AI17" s="39"/>
      <c r="AJ17" s="37">
        <v>795.95</v>
      </c>
      <c r="AK17" s="52">
        <v>65509.17</v>
      </c>
      <c r="AL17" s="39"/>
      <c r="AM17" s="37">
        <v>790.5</v>
      </c>
      <c r="AN17" s="52">
        <v>65462.29</v>
      </c>
      <c r="AO17" s="39"/>
      <c r="AP17" s="37">
        <v>806.7</v>
      </c>
      <c r="AQ17" s="52">
        <v>66818.46</v>
      </c>
      <c r="AR17" s="39"/>
      <c r="AS17" s="37">
        <v>820.4</v>
      </c>
      <c r="AT17" s="52">
        <v>67728.12</v>
      </c>
      <c r="AU17" s="39"/>
      <c r="AV17" s="37">
        <v>830.2</v>
      </c>
      <c r="AW17" s="52">
        <v>68254.89</v>
      </c>
      <c r="AX17" s="39"/>
      <c r="AY17" s="37">
        <v>821.2</v>
      </c>
      <c r="AZ17" s="52">
        <v>67802.89</v>
      </c>
      <c r="BA17" s="39"/>
      <c r="BB17" s="37">
        <v>810.2</v>
      </c>
      <c r="BC17" s="52">
        <v>67376.23</v>
      </c>
      <c r="BD17" s="39"/>
      <c r="BE17" s="37">
        <v>833.8</v>
      </c>
      <c r="BF17" s="52">
        <v>68839.05</v>
      </c>
      <c r="BG17" s="39"/>
      <c r="BH17" s="37">
        <v>833.6</v>
      </c>
      <c r="BI17" s="52">
        <v>68611.01</v>
      </c>
      <c r="BJ17" s="39"/>
      <c r="BK17" s="37">
        <v>835.7</v>
      </c>
      <c r="BL17" s="52">
        <v>69077.92</v>
      </c>
      <c r="BM17" s="52"/>
      <c r="BN17" s="37">
        <f t="shared" si="0"/>
        <v>839.0857142857144</v>
      </c>
      <c r="BO17" s="37">
        <f t="shared" si="1"/>
        <v>68009.1657142857</v>
      </c>
      <c r="BP17" s="37"/>
      <c r="BQ17" s="25"/>
      <c r="BR17" s="88"/>
      <c r="BS17" s="88"/>
      <c r="BT17" s="89"/>
      <c r="BU17" s="87"/>
      <c r="BV17" s="24"/>
    </row>
    <row r="18" spans="1:74" ht="15.75" customHeight="1">
      <c r="A18" s="35">
        <v>6</v>
      </c>
      <c r="B18" s="74" t="s">
        <v>19</v>
      </c>
      <c r="C18" s="37">
        <v>17.52</v>
      </c>
      <c r="D18" s="38">
        <v>1369.25</v>
      </c>
      <c r="E18" s="39"/>
      <c r="F18" s="37">
        <v>17.46</v>
      </c>
      <c r="G18" s="38">
        <v>1358.67</v>
      </c>
      <c r="H18" s="39"/>
      <c r="I18" s="37">
        <v>16.68</v>
      </c>
      <c r="J18" s="38">
        <v>1304.48</v>
      </c>
      <c r="K18" s="39"/>
      <c r="L18" s="37">
        <v>16.65</v>
      </c>
      <c r="M18" s="38">
        <v>1304.01</v>
      </c>
      <c r="N18" s="39"/>
      <c r="O18" s="37">
        <v>16.62</v>
      </c>
      <c r="P18" s="38">
        <v>1303.05</v>
      </c>
      <c r="Q18" s="39"/>
      <c r="R18" s="37">
        <v>15.82</v>
      </c>
      <c r="S18" s="38">
        <v>1265.24</v>
      </c>
      <c r="T18" s="39"/>
      <c r="U18" s="37">
        <v>15.34</v>
      </c>
      <c r="V18" s="38">
        <v>1234.86</v>
      </c>
      <c r="W18" s="39"/>
      <c r="X18" s="37">
        <v>14.33</v>
      </c>
      <c r="Y18" s="38">
        <v>1165.17</v>
      </c>
      <c r="Z18" s="39"/>
      <c r="AA18" s="37">
        <v>14.83</v>
      </c>
      <c r="AB18" s="38">
        <v>1205.22</v>
      </c>
      <c r="AC18" s="39"/>
      <c r="AD18" s="37">
        <v>14.92</v>
      </c>
      <c r="AE18" s="38">
        <v>1214.42</v>
      </c>
      <c r="AF18" s="39"/>
      <c r="AG18" s="37">
        <v>13.05</v>
      </c>
      <c r="AH18" s="38">
        <v>1073.57</v>
      </c>
      <c r="AI18" s="39"/>
      <c r="AJ18" s="37">
        <v>13.11</v>
      </c>
      <c r="AK18" s="38">
        <v>1078.99</v>
      </c>
      <c r="AL18" s="39"/>
      <c r="AM18" s="37">
        <v>12.84</v>
      </c>
      <c r="AN18" s="38">
        <v>1063.3</v>
      </c>
      <c r="AO18" s="39"/>
      <c r="AP18" s="37">
        <v>13.12</v>
      </c>
      <c r="AQ18" s="38">
        <v>1086.72</v>
      </c>
      <c r="AR18" s="39"/>
      <c r="AS18" s="37">
        <v>13.46</v>
      </c>
      <c r="AT18" s="38">
        <v>1111.19</v>
      </c>
      <c r="AU18" s="39"/>
      <c r="AV18" s="37">
        <v>13.63</v>
      </c>
      <c r="AW18" s="38">
        <v>1120.59</v>
      </c>
      <c r="AX18" s="39"/>
      <c r="AY18" s="37">
        <v>13.3</v>
      </c>
      <c r="AZ18" s="38">
        <v>1098.12</v>
      </c>
      <c r="BA18" s="39"/>
      <c r="BB18" s="37">
        <v>13.18</v>
      </c>
      <c r="BC18" s="38">
        <v>1096.05</v>
      </c>
      <c r="BD18" s="39"/>
      <c r="BE18" s="37">
        <v>13.78</v>
      </c>
      <c r="BF18" s="38">
        <v>1137.69</v>
      </c>
      <c r="BG18" s="39"/>
      <c r="BH18" s="37">
        <v>13.71</v>
      </c>
      <c r="BI18" s="38">
        <v>1128.43</v>
      </c>
      <c r="BJ18" s="39"/>
      <c r="BK18" s="37">
        <v>13.75</v>
      </c>
      <c r="BL18" s="38">
        <v>1136.56</v>
      </c>
      <c r="BM18" s="38"/>
      <c r="BN18" s="37">
        <f t="shared" si="0"/>
        <v>14.623809523809525</v>
      </c>
      <c r="BO18" s="37">
        <f t="shared" si="1"/>
        <v>1183.5990476190473</v>
      </c>
      <c r="BP18" s="37"/>
      <c r="BQ18" s="25"/>
      <c r="BR18" s="25"/>
      <c r="BS18" s="25"/>
      <c r="BT18" s="89"/>
      <c r="BU18" s="87"/>
      <c r="BV18" s="24"/>
    </row>
    <row r="19" spans="1:74" ht="15.75" customHeight="1">
      <c r="A19" s="35">
        <v>7</v>
      </c>
      <c r="B19" s="73" t="s">
        <v>20</v>
      </c>
      <c r="C19" s="37">
        <v>1.0681</v>
      </c>
      <c r="D19" s="38">
        <v>73.17</v>
      </c>
      <c r="E19" s="39"/>
      <c r="F19" s="37">
        <v>1.0719</v>
      </c>
      <c r="G19" s="38">
        <v>72.59</v>
      </c>
      <c r="H19" s="39"/>
      <c r="I19" s="37">
        <v>1.0883</v>
      </c>
      <c r="J19" s="38">
        <v>71.86</v>
      </c>
      <c r="K19" s="39"/>
      <c r="L19" s="37">
        <v>1.0928</v>
      </c>
      <c r="M19" s="38">
        <v>71.67</v>
      </c>
      <c r="N19" s="39"/>
      <c r="O19" s="37">
        <v>1.0976</v>
      </c>
      <c r="P19" s="38">
        <v>71.43</v>
      </c>
      <c r="Q19" s="39"/>
      <c r="R19" s="37">
        <v>1.1225</v>
      </c>
      <c r="S19" s="38">
        <v>71.25</v>
      </c>
      <c r="T19" s="39"/>
      <c r="U19" s="37">
        <v>1.1204</v>
      </c>
      <c r="V19" s="38">
        <v>71.85</v>
      </c>
      <c r="W19" s="39"/>
      <c r="X19" s="37">
        <v>1.1455</v>
      </c>
      <c r="Y19" s="38">
        <v>70.98</v>
      </c>
      <c r="Z19" s="39"/>
      <c r="AA19" s="37">
        <v>1.1451</v>
      </c>
      <c r="AB19" s="38">
        <v>70.97</v>
      </c>
      <c r="AC19" s="39"/>
      <c r="AD19" s="37">
        <v>1.1418</v>
      </c>
      <c r="AE19" s="38">
        <v>71.29</v>
      </c>
      <c r="AF19" s="39"/>
      <c r="AG19" s="37">
        <v>1.1593</v>
      </c>
      <c r="AH19" s="38">
        <v>70.96</v>
      </c>
      <c r="AI19" s="39"/>
      <c r="AJ19" s="37">
        <v>1.1459</v>
      </c>
      <c r="AK19" s="38">
        <v>71.83</v>
      </c>
      <c r="AL19" s="39"/>
      <c r="AM19" s="37">
        <v>1.155</v>
      </c>
      <c r="AN19" s="38">
        <v>71.7</v>
      </c>
      <c r="AO19" s="39"/>
      <c r="AP19" s="37">
        <v>1.151</v>
      </c>
      <c r="AQ19" s="38">
        <v>71.96</v>
      </c>
      <c r="AR19" s="39"/>
      <c r="AS19" s="37">
        <v>1.1509</v>
      </c>
      <c r="AT19" s="38">
        <v>71.73</v>
      </c>
      <c r="AU19" s="39"/>
      <c r="AV19" s="37">
        <v>1.1435</v>
      </c>
      <c r="AW19" s="38">
        <v>71.9</v>
      </c>
      <c r="AX19" s="39"/>
      <c r="AY19" s="37">
        <v>1.1561</v>
      </c>
      <c r="AZ19" s="38">
        <v>71.42</v>
      </c>
      <c r="BA19" s="39"/>
      <c r="BB19" s="37">
        <v>1.1715</v>
      </c>
      <c r="BC19" s="38">
        <v>70.99</v>
      </c>
      <c r="BD19" s="39"/>
      <c r="BE19" s="37">
        <v>1.1609</v>
      </c>
      <c r="BF19" s="38">
        <v>71.12</v>
      </c>
      <c r="BG19" s="39"/>
      <c r="BH19" s="37">
        <v>1.1527</v>
      </c>
      <c r="BI19" s="38">
        <v>71.4</v>
      </c>
      <c r="BJ19" s="48"/>
      <c r="BK19" s="37">
        <v>1.1579</v>
      </c>
      <c r="BL19" s="38">
        <v>71.38</v>
      </c>
      <c r="BM19" s="38"/>
      <c r="BN19" s="37">
        <f t="shared" si="0"/>
        <v>1.1332714285714285</v>
      </c>
      <c r="BO19" s="37">
        <f t="shared" si="1"/>
        <v>71.59285714285718</v>
      </c>
      <c r="BP19" s="37"/>
      <c r="BQ19" s="25"/>
      <c r="BR19" s="25"/>
      <c r="BS19" s="25"/>
      <c r="BT19" s="89"/>
      <c r="BU19" s="87"/>
      <c r="BV19" s="65"/>
    </row>
    <row r="20" spans="1:74" ht="15.75" customHeight="1">
      <c r="A20" s="35">
        <v>8</v>
      </c>
      <c r="B20" s="73" t="s">
        <v>21</v>
      </c>
      <c r="C20" s="37">
        <v>1.0256</v>
      </c>
      <c r="D20" s="38">
        <v>76.2</v>
      </c>
      <c r="E20" s="39"/>
      <c r="F20" s="37">
        <v>1.0298</v>
      </c>
      <c r="G20" s="38">
        <v>75.56</v>
      </c>
      <c r="H20" s="39"/>
      <c r="I20" s="37">
        <v>1.0411</v>
      </c>
      <c r="J20" s="38">
        <v>75.12</v>
      </c>
      <c r="K20" s="39"/>
      <c r="L20" s="37">
        <v>1.0435</v>
      </c>
      <c r="M20" s="38">
        <v>75.05</v>
      </c>
      <c r="N20" s="39"/>
      <c r="O20" s="37">
        <v>1.0467</v>
      </c>
      <c r="P20" s="38">
        <v>74.9</v>
      </c>
      <c r="Q20" s="39"/>
      <c r="R20" s="37">
        <v>1.0574</v>
      </c>
      <c r="S20" s="38">
        <v>75.64</v>
      </c>
      <c r="T20" s="39"/>
      <c r="U20" s="37">
        <v>1.0635</v>
      </c>
      <c r="V20" s="38">
        <v>75.69</v>
      </c>
      <c r="W20" s="39"/>
      <c r="X20" s="37">
        <v>1.0695</v>
      </c>
      <c r="Y20" s="38">
        <v>76.03</v>
      </c>
      <c r="Z20" s="39"/>
      <c r="AA20" s="37">
        <v>1.0655</v>
      </c>
      <c r="AB20" s="38">
        <v>76.27</v>
      </c>
      <c r="AC20" s="39"/>
      <c r="AD20" s="37">
        <v>1.0624</v>
      </c>
      <c r="AE20" s="38">
        <v>76.61</v>
      </c>
      <c r="AF20" s="39"/>
      <c r="AG20" s="37">
        <v>1.0671</v>
      </c>
      <c r="AH20" s="38">
        <v>77.09</v>
      </c>
      <c r="AI20" s="39"/>
      <c r="AJ20" s="37">
        <v>1.0588</v>
      </c>
      <c r="AK20" s="38">
        <v>77.73</v>
      </c>
      <c r="AL20" s="39"/>
      <c r="AM20" s="37">
        <v>1.065</v>
      </c>
      <c r="AN20" s="38">
        <v>77.76</v>
      </c>
      <c r="AO20" s="39"/>
      <c r="AP20" s="37">
        <v>1.0641</v>
      </c>
      <c r="AQ20" s="38">
        <v>77.84</v>
      </c>
      <c r="AR20" s="39"/>
      <c r="AS20" s="37">
        <v>1.057</v>
      </c>
      <c r="AT20" s="38">
        <v>78.1</v>
      </c>
      <c r="AU20" s="39"/>
      <c r="AV20" s="37">
        <v>1.0451</v>
      </c>
      <c r="AW20" s="38">
        <v>78.67</v>
      </c>
      <c r="AX20" s="39"/>
      <c r="AY20" s="37">
        <v>1.0488</v>
      </c>
      <c r="AZ20" s="38">
        <v>78.72</v>
      </c>
      <c r="BA20" s="39"/>
      <c r="BB20" s="37">
        <v>1.0556</v>
      </c>
      <c r="BC20" s="38">
        <v>78.78</v>
      </c>
      <c r="BD20" s="39"/>
      <c r="BE20" s="37">
        <v>1.0443</v>
      </c>
      <c r="BF20" s="38">
        <v>79.06</v>
      </c>
      <c r="BG20" s="39"/>
      <c r="BH20" s="37">
        <v>1.0457</v>
      </c>
      <c r="BI20" s="38">
        <v>78.71</v>
      </c>
      <c r="BJ20" s="39"/>
      <c r="BK20" s="37">
        <v>1.0479</v>
      </c>
      <c r="BL20" s="38">
        <v>78.88</v>
      </c>
      <c r="BM20" s="38"/>
      <c r="BN20" s="37">
        <f t="shared" si="0"/>
        <v>1.0525904761904759</v>
      </c>
      <c r="BO20" s="37">
        <f t="shared" si="1"/>
        <v>77.06714285714285</v>
      </c>
      <c r="BP20" s="37"/>
      <c r="BQ20" s="25"/>
      <c r="BR20" s="25"/>
      <c r="BS20" s="25"/>
      <c r="BT20" s="89"/>
      <c r="BU20" s="87"/>
      <c r="BV20" s="24"/>
    </row>
    <row r="21" spans="1:74" ht="15.75" customHeight="1">
      <c r="A21" s="35">
        <v>9</v>
      </c>
      <c r="B21" s="73" t="s">
        <v>22</v>
      </c>
      <c r="C21" s="37">
        <v>6.0621</v>
      </c>
      <c r="D21" s="38">
        <v>12.89</v>
      </c>
      <c r="E21" s="39"/>
      <c r="F21" s="37">
        <v>6.0641</v>
      </c>
      <c r="G21" s="38">
        <v>12.83</v>
      </c>
      <c r="H21" s="39"/>
      <c r="I21" s="37">
        <v>6.0993</v>
      </c>
      <c r="J21" s="38">
        <v>12.82</v>
      </c>
      <c r="K21" s="39"/>
      <c r="L21" s="37">
        <v>6.0943</v>
      </c>
      <c r="M21" s="38">
        <v>12.85</v>
      </c>
      <c r="N21" s="39"/>
      <c r="O21" s="37">
        <v>6.0701</v>
      </c>
      <c r="P21" s="38">
        <v>12.92</v>
      </c>
      <c r="Q21" s="39"/>
      <c r="R21" s="37">
        <v>6.2093</v>
      </c>
      <c r="S21" s="38">
        <v>12.88</v>
      </c>
      <c r="T21" s="39"/>
      <c r="U21" s="37">
        <v>6.2302</v>
      </c>
      <c r="V21" s="38">
        <v>12.92</v>
      </c>
      <c r="W21" s="39"/>
      <c r="X21" s="37">
        <v>6.3054</v>
      </c>
      <c r="Y21" s="38">
        <v>12.9</v>
      </c>
      <c r="Z21" s="39"/>
      <c r="AA21" s="37">
        <v>6.2883</v>
      </c>
      <c r="AB21" s="38">
        <v>12.92</v>
      </c>
      <c r="AC21" s="39"/>
      <c r="AD21" s="37">
        <v>6.2915</v>
      </c>
      <c r="AE21" s="38">
        <v>12.94</v>
      </c>
      <c r="AF21" s="39"/>
      <c r="AG21" s="37">
        <v>6.3526</v>
      </c>
      <c r="AH21" s="38">
        <v>12.95</v>
      </c>
      <c r="AI21" s="39"/>
      <c r="AJ21" s="37">
        <v>6.3472</v>
      </c>
      <c r="AK21" s="38">
        <v>12.97</v>
      </c>
      <c r="AL21" s="39"/>
      <c r="AM21" s="37">
        <v>6.386</v>
      </c>
      <c r="AN21" s="38">
        <v>12.97</v>
      </c>
      <c r="AO21" s="39"/>
      <c r="AP21" s="37">
        <v>6.3825</v>
      </c>
      <c r="AQ21" s="38">
        <v>12.98</v>
      </c>
      <c r="AR21" s="39"/>
      <c r="AS21" s="37">
        <v>6.3436</v>
      </c>
      <c r="AT21" s="38">
        <v>13.01</v>
      </c>
      <c r="AU21" s="39"/>
      <c r="AV21" s="37">
        <v>6.3039</v>
      </c>
      <c r="AW21" s="38">
        <v>13.04</v>
      </c>
      <c r="AX21" s="39"/>
      <c r="AY21" s="37">
        <v>6.3401</v>
      </c>
      <c r="AZ21" s="38">
        <v>13.02</v>
      </c>
      <c r="BA21" s="39"/>
      <c r="BB21" s="37">
        <v>6.4147</v>
      </c>
      <c r="BC21" s="38">
        <v>12.96</v>
      </c>
      <c r="BD21" s="39"/>
      <c r="BE21" s="37">
        <v>6.3739</v>
      </c>
      <c r="BF21" s="38">
        <v>12.95</v>
      </c>
      <c r="BG21" s="39"/>
      <c r="BH21" s="37">
        <v>6.3761</v>
      </c>
      <c r="BI21" s="38">
        <v>12.91</v>
      </c>
      <c r="BJ21" s="39"/>
      <c r="BK21" s="37">
        <v>6.4105</v>
      </c>
      <c r="BL21" s="38">
        <v>12.89</v>
      </c>
      <c r="BM21" s="38"/>
      <c r="BN21" s="37">
        <f t="shared" si="0"/>
        <v>6.27360476190476</v>
      </c>
      <c r="BO21" s="37">
        <f t="shared" si="1"/>
        <v>12.92952380952381</v>
      </c>
      <c r="BP21" s="37"/>
      <c r="BQ21" s="25"/>
      <c r="BR21" s="25"/>
      <c r="BS21" s="25"/>
      <c r="BT21" s="89"/>
      <c r="BU21" s="87"/>
      <c r="BV21" s="24"/>
    </row>
    <row r="22" spans="1:74" ht="15.75" customHeight="1">
      <c r="A22" s="35">
        <v>10</v>
      </c>
      <c r="B22" s="73" t="s">
        <v>23</v>
      </c>
      <c r="C22" s="37">
        <v>5.1368</v>
      </c>
      <c r="D22" s="38">
        <v>15.21</v>
      </c>
      <c r="E22" s="39"/>
      <c r="F22" s="37">
        <v>5.1268</v>
      </c>
      <c r="G22" s="38">
        <v>15.18</v>
      </c>
      <c r="H22" s="39"/>
      <c r="I22" s="37">
        <v>5.1818</v>
      </c>
      <c r="J22" s="38">
        <v>15.09</v>
      </c>
      <c r="K22" s="39"/>
      <c r="L22" s="37">
        <v>5.1892</v>
      </c>
      <c r="M22" s="38">
        <v>15.09</v>
      </c>
      <c r="N22" s="39"/>
      <c r="O22" s="37">
        <v>5.1633</v>
      </c>
      <c r="P22" s="38">
        <v>15.18</v>
      </c>
      <c r="Q22" s="39"/>
      <c r="R22" s="37">
        <v>5.2836</v>
      </c>
      <c r="S22" s="38">
        <v>15.14</v>
      </c>
      <c r="T22" s="39"/>
      <c r="U22" s="37">
        <v>5.3199</v>
      </c>
      <c r="V22" s="38">
        <v>15.13</v>
      </c>
      <c r="W22" s="39"/>
      <c r="X22" s="37">
        <v>5.3742</v>
      </c>
      <c r="Y22" s="38">
        <v>15.13</v>
      </c>
      <c r="Z22" s="39"/>
      <c r="AA22" s="37">
        <v>5.3666</v>
      </c>
      <c r="AB22" s="38">
        <v>15.14</v>
      </c>
      <c r="AC22" s="39"/>
      <c r="AD22" s="37">
        <v>5.3769</v>
      </c>
      <c r="AE22" s="38">
        <v>15.14</v>
      </c>
      <c r="AF22" s="39"/>
      <c r="AG22" s="37">
        <v>5.4293</v>
      </c>
      <c r="AH22" s="38">
        <v>15.15</v>
      </c>
      <c r="AI22" s="39"/>
      <c r="AJ22" s="37">
        <v>5.3989</v>
      </c>
      <c r="AK22" s="38">
        <v>15.24</v>
      </c>
      <c r="AL22" s="39"/>
      <c r="AM22" s="37">
        <v>5.433</v>
      </c>
      <c r="AN22" s="38">
        <v>15.24</v>
      </c>
      <c r="AO22" s="39"/>
      <c r="AP22" s="37">
        <v>5.4016</v>
      </c>
      <c r="AQ22" s="38">
        <v>15.33</v>
      </c>
      <c r="AR22" s="39"/>
      <c r="AS22" s="37">
        <v>5.3836</v>
      </c>
      <c r="AT22" s="38">
        <v>15.33</v>
      </c>
      <c r="AU22" s="39"/>
      <c r="AV22" s="37">
        <v>5.3489</v>
      </c>
      <c r="AW22" s="38">
        <v>15.37</v>
      </c>
      <c r="AX22" s="39"/>
      <c r="AY22" s="37">
        <v>5.3772</v>
      </c>
      <c r="AZ22" s="38">
        <v>15.35</v>
      </c>
      <c r="BA22" s="39"/>
      <c r="BB22" s="37">
        <v>5.4176</v>
      </c>
      <c r="BC22" s="38">
        <v>15.35</v>
      </c>
      <c r="BD22" s="39"/>
      <c r="BE22" s="37">
        <v>5.3804</v>
      </c>
      <c r="BF22" s="38">
        <v>15.34</v>
      </c>
      <c r="BG22" s="39"/>
      <c r="BH22" s="37">
        <v>5.3594</v>
      </c>
      <c r="BI22" s="38">
        <v>15.36</v>
      </c>
      <c r="BJ22" s="39"/>
      <c r="BK22" s="37">
        <v>5.3925</v>
      </c>
      <c r="BL22" s="38">
        <v>15.33</v>
      </c>
      <c r="BM22" s="38"/>
      <c r="BN22" s="37">
        <f t="shared" si="0"/>
        <v>5.325785714285713</v>
      </c>
      <c r="BO22" s="37">
        <f t="shared" si="1"/>
        <v>15.229523809523812</v>
      </c>
      <c r="BP22" s="37"/>
      <c r="BQ22" s="25"/>
      <c r="BR22" s="25"/>
      <c r="BS22" s="25"/>
      <c r="BT22" s="89"/>
      <c r="BU22" s="87"/>
      <c r="BV22" s="24"/>
    </row>
    <row r="23" spans="1:74" ht="15.75" customHeight="1">
      <c r="A23" s="35">
        <v>11</v>
      </c>
      <c r="B23" s="73" t="s">
        <v>24</v>
      </c>
      <c r="C23" s="37">
        <v>4.7923</v>
      </c>
      <c r="D23" s="38">
        <v>16.31</v>
      </c>
      <c r="E23" s="39"/>
      <c r="F23" s="37">
        <v>4.7868</v>
      </c>
      <c r="G23" s="38">
        <v>16.26</v>
      </c>
      <c r="H23" s="39"/>
      <c r="I23" s="37">
        <v>4.8148</v>
      </c>
      <c r="J23" s="38">
        <v>16.24</v>
      </c>
      <c r="K23" s="39"/>
      <c r="L23" s="37">
        <v>4.8206</v>
      </c>
      <c r="M23" s="38">
        <v>16.25</v>
      </c>
      <c r="N23" s="39"/>
      <c r="O23" s="37">
        <v>4.8198</v>
      </c>
      <c r="P23" s="38">
        <v>16.27</v>
      </c>
      <c r="Q23" s="39"/>
      <c r="R23" s="37">
        <v>4.9298</v>
      </c>
      <c r="S23" s="38">
        <v>16.22</v>
      </c>
      <c r="T23" s="39"/>
      <c r="U23" s="37">
        <v>4.9526</v>
      </c>
      <c r="V23" s="38">
        <v>16.25</v>
      </c>
      <c r="W23" s="39"/>
      <c r="X23" s="37">
        <v>5.0067</v>
      </c>
      <c r="Y23" s="38">
        <v>16.24</v>
      </c>
      <c r="Z23" s="39"/>
      <c r="AA23" s="37">
        <v>5.0004</v>
      </c>
      <c r="AB23" s="38">
        <v>16.25</v>
      </c>
      <c r="AC23" s="39"/>
      <c r="AD23" s="37">
        <v>5.0061</v>
      </c>
      <c r="AE23" s="38">
        <v>16.26</v>
      </c>
      <c r="AF23" s="39"/>
      <c r="AG23" s="37">
        <v>5.0664</v>
      </c>
      <c r="AH23" s="38">
        <v>16.24</v>
      </c>
      <c r="AI23" s="39"/>
      <c r="AJ23" s="37">
        <v>5.06</v>
      </c>
      <c r="AK23" s="38">
        <v>16.27</v>
      </c>
      <c r="AL23" s="39"/>
      <c r="AM23" s="37">
        <v>5.0896</v>
      </c>
      <c r="AN23" s="38">
        <v>16.27</v>
      </c>
      <c r="AO23" s="39"/>
      <c r="AP23" s="37">
        <v>5.0679</v>
      </c>
      <c r="AQ23" s="38">
        <v>16.34</v>
      </c>
      <c r="AR23" s="39"/>
      <c r="AS23" s="37">
        <v>5.0468</v>
      </c>
      <c r="AT23" s="38">
        <v>16.36</v>
      </c>
      <c r="AU23" s="39"/>
      <c r="AV23" s="37">
        <v>5.0258</v>
      </c>
      <c r="AW23" s="38">
        <v>16.36</v>
      </c>
      <c r="AX23" s="39"/>
      <c r="AY23" s="37">
        <v>5.0584</v>
      </c>
      <c r="AZ23" s="38">
        <v>16.32</v>
      </c>
      <c r="BA23" s="39"/>
      <c r="BB23" s="37">
        <v>5.1077</v>
      </c>
      <c r="BC23" s="38">
        <v>16.28</v>
      </c>
      <c r="BD23" s="39"/>
      <c r="BE23" s="37">
        <v>5.0651</v>
      </c>
      <c r="BF23" s="38">
        <v>16.3</v>
      </c>
      <c r="BG23" s="39"/>
      <c r="BH23" s="37">
        <v>5.0443</v>
      </c>
      <c r="BI23" s="38">
        <v>16.32</v>
      </c>
      <c r="BJ23" s="39"/>
      <c r="BK23" s="37">
        <v>5.0662</v>
      </c>
      <c r="BL23" s="38">
        <v>16.32</v>
      </c>
      <c r="BM23" s="38"/>
      <c r="BN23" s="37">
        <f t="shared" si="0"/>
        <v>4.982290476190476</v>
      </c>
      <c r="BO23" s="37">
        <f t="shared" si="1"/>
        <v>16.282380952380954</v>
      </c>
      <c r="BP23" s="37"/>
      <c r="BQ23" s="25"/>
      <c r="BR23" s="25"/>
      <c r="BS23" s="25"/>
      <c r="BT23" s="89"/>
      <c r="BU23" s="87"/>
      <c r="BV23" s="24"/>
    </row>
    <row r="24" spans="1:74" ht="15.75" customHeight="1">
      <c r="A24" s="35">
        <v>12</v>
      </c>
      <c r="B24" s="73" t="s">
        <v>25</v>
      </c>
      <c r="C24" s="37">
        <v>0.61695</v>
      </c>
      <c r="D24" s="38">
        <v>126.68</v>
      </c>
      <c r="E24" s="39"/>
      <c r="F24" s="37">
        <v>0.61741</v>
      </c>
      <c r="G24" s="38">
        <v>126.04</v>
      </c>
      <c r="H24" s="39"/>
      <c r="I24" s="37">
        <v>0.61753</v>
      </c>
      <c r="J24" s="38">
        <v>126.64</v>
      </c>
      <c r="K24" s="39"/>
      <c r="L24" s="37">
        <v>0.61943</v>
      </c>
      <c r="M24" s="38">
        <v>126.44</v>
      </c>
      <c r="N24" s="39"/>
      <c r="O24" s="37">
        <v>0.62031</v>
      </c>
      <c r="P24" s="38">
        <v>126.39</v>
      </c>
      <c r="Q24" s="39"/>
      <c r="R24" s="37">
        <v>0.62097</v>
      </c>
      <c r="S24" s="38">
        <v>128.79</v>
      </c>
      <c r="T24" s="39"/>
      <c r="U24" s="37">
        <v>0.62776</v>
      </c>
      <c r="V24" s="38">
        <v>128.23</v>
      </c>
      <c r="W24" s="39"/>
      <c r="X24" s="37">
        <v>0.6294</v>
      </c>
      <c r="Y24" s="38">
        <v>129.19</v>
      </c>
      <c r="Z24" s="39"/>
      <c r="AA24" s="37">
        <v>0.63239</v>
      </c>
      <c r="AB24" s="38">
        <v>128.51</v>
      </c>
      <c r="AC24" s="39"/>
      <c r="AD24" s="37">
        <v>0.63291</v>
      </c>
      <c r="AE24" s="38">
        <v>128.61</v>
      </c>
      <c r="AF24" s="39"/>
      <c r="AG24" s="37">
        <v>0.63298</v>
      </c>
      <c r="AH24" s="38">
        <v>129.97</v>
      </c>
      <c r="AI24" s="39"/>
      <c r="AJ24" s="37">
        <v>0.63714</v>
      </c>
      <c r="AK24" s="38">
        <v>129.18</v>
      </c>
      <c r="AL24" s="39"/>
      <c r="AM24" s="37">
        <v>0.63683</v>
      </c>
      <c r="AN24" s="38">
        <v>130.04</v>
      </c>
      <c r="AO24" s="39"/>
      <c r="AP24" s="37">
        <v>0.63669</v>
      </c>
      <c r="AQ24" s="38">
        <v>130.09</v>
      </c>
      <c r="AR24" s="39"/>
      <c r="AS24" s="37">
        <v>0.63694</v>
      </c>
      <c r="AT24" s="38">
        <v>129.61</v>
      </c>
      <c r="AU24" s="39"/>
      <c r="AV24" s="37">
        <v>0.63478</v>
      </c>
      <c r="AW24" s="38">
        <v>129.52</v>
      </c>
      <c r="AX24" s="39"/>
      <c r="AY24" s="37">
        <v>0.63422</v>
      </c>
      <c r="AZ24" s="38">
        <v>130.18</v>
      </c>
      <c r="BA24" s="39"/>
      <c r="BB24" s="37">
        <v>0.63476</v>
      </c>
      <c r="BC24" s="38">
        <v>131.01</v>
      </c>
      <c r="BD24" s="39"/>
      <c r="BE24" s="37">
        <v>0.63982</v>
      </c>
      <c r="BF24" s="38">
        <v>129.04</v>
      </c>
      <c r="BG24" s="39"/>
      <c r="BH24" s="37">
        <v>0.63576</v>
      </c>
      <c r="BI24" s="38">
        <v>129.46</v>
      </c>
      <c r="BJ24" s="39"/>
      <c r="BK24" s="37">
        <v>0.63618</v>
      </c>
      <c r="BL24" s="38">
        <v>129.93</v>
      </c>
      <c r="BM24" s="38"/>
      <c r="BN24" s="37">
        <f t="shared" si="0"/>
        <v>0.630055238095238</v>
      </c>
      <c r="BO24" s="37">
        <f t="shared" si="1"/>
        <v>128.7404761904762</v>
      </c>
      <c r="BP24" s="37"/>
      <c r="BQ24" s="25"/>
      <c r="BR24" s="25"/>
      <c r="BS24" s="25"/>
      <c r="BT24" s="89"/>
      <c r="BU24" s="87"/>
      <c r="BV24" s="24"/>
    </row>
    <row r="25" spans="1:74" ht="15.75" customHeight="1" thickBot="1">
      <c r="A25" s="43">
        <v>13</v>
      </c>
      <c r="B25" s="75" t="s">
        <v>26</v>
      </c>
      <c r="C25" s="45">
        <v>1</v>
      </c>
      <c r="D25" s="46">
        <v>78.15</v>
      </c>
      <c r="E25" s="30"/>
      <c r="F25" s="45">
        <v>1</v>
      </c>
      <c r="G25" s="46">
        <v>77.82</v>
      </c>
      <c r="H25" s="30"/>
      <c r="I25" s="45">
        <v>1</v>
      </c>
      <c r="J25" s="46">
        <v>78.21</v>
      </c>
      <c r="K25" s="30"/>
      <c r="L25" s="45">
        <v>1</v>
      </c>
      <c r="M25" s="46">
        <v>78.32</v>
      </c>
      <c r="N25" s="30"/>
      <c r="O25" s="45">
        <v>1</v>
      </c>
      <c r="P25" s="46">
        <v>78.4</v>
      </c>
      <c r="Q25" s="30"/>
      <c r="R25" s="45">
        <v>1</v>
      </c>
      <c r="S25" s="46">
        <v>79.98</v>
      </c>
      <c r="T25" s="30"/>
      <c r="U25" s="45">
        <v>1</v>
      </c>
      <c r="V25" s="46">
        <v>80.5</v>
      </c>
      <c r="W25" s="30"/>
      <c r="X25" s="45">
        <v>1</v>
      </c>
      <c r="Y25" s="46">
        <v>81.31</v>
      </c>
      <c r="Z25" s="30"/>
      <c r="AA25" s="45">
        <v>1</v>
      </c>
      <c r="AB25" s="46">
        <v>81.27</v>
      </c>
      <c r="AC25" s="30"/>
      <c r="AD25" s="45">
        <v>1</v>
      </c>
      <c r="AE25" s="46">
        <v>81.4</v>
      </c>
      <c r="AF25" s="30"/>
      <c r="AG25" s="45">
        <v>1</v>
      </c>
      <c r="AH25" s="46">
        <v>82.27</v>
      </c>
      <c r="AI25" s="30"/>
      <c r="AJ25" s="45">
        <v>1</v>
      </c>
      <c r="AK25" s="46">
        <v>82.3</v>
      </c>
      <c r="AL25" s="30"/>
      <c r="AM25" s="45">
        <v>1</v>
      </c>
      <c r="AN25" s="46">
        <v>82.81</v>
      </c>
      <c r="AO25" s="30"/>
      <c r="AP25" s="45">
        <v>1</v>
      </c>
      <c r="AQ25" s="46">
        <v>82.83</v>
      </c>
      <c r="AR25" s="30"/>
      <c r="AS25" s="45">
        <v>1</v>
      </c>
      <c r="AT25" s="46">
        <v>82.56</v>
      </c>
      <c r="AU25" s="30"/>
      <c r="AV25" s="45">
        <v>1</v>
      </c>
      <c r="AW25" s="46">
        <v>82.22</v>
      </c>
      <c r="AX25" s="30"/>
      <c r="AY25" s="45">
        <v>1</v>
      </c>
      <c r="AZ25" s="46">
        <v>82.57</v>
      </c>
      <c r="BA25" s="30"/>
      <c r="BB25" s="45">
        <v>1</v>
      </c>
      <c r="BC25" s="46">
        <v>83.16</v>
      </c>
      <c r="BD25" s="30"/>
      <c r="BE25" s="45">
        <v>1</v>
      </c>
      <c r="BF25" s="46">
        <v>82.56</v>
      </c>
      <c r="BG25" s="30"/>
      <c r="BH25" s="45">
        <v>1</v>
      </c>
      <c r="BI25" s="46">
        <v>82.31</v>
      </c>
      <c r="BJ25" s="30"/>
      <c r="BK25" s="45">
        <v>1</v>
      </c>
      <c r="BL25" s="46">
        <v>82.66</v>
      </c>
      <c r="BM25" s="46"/>
      <c r="BN25" s="45">
        <f t="shared" si="0"/>
        <v>1</v>
      </c>
      <c r="BO25" s="45">
        <f t="shared" si="1"/>
        <v>81.1242857142857</v>
      </c>
      <c r="BP25" s="45"/>
      <c r="BQ25" s="25"/>
      <c r="BR25" s="25"/>
      <c r="BS25" s="25"/>
      <c r="BT25" s="89"/>
      <c r="BU25" s="87"/>
      <c r="BV25" s="24"/>
    </row>
    <row r="26" spans="1:74" ht="15.75" customHeight="1">
      <c r="A26" s="40"/>
      <c r="B26" s="73"/>
      <c r="C26" s="25"/>
      <c r="D26" s="26"/>
      <c r="E26" s="24"/>
      <c r="F26" s="25"/>
      <c r="G26" s="26"/>
      <c r="H26" s="24"/>
      <c r="I26" s="25"/>
      <c r="J26" s="26"/>
      <c r="K26" s="24"/>
      <c r="L26" s="25"/>
      <c r="M26" s="26"/>
      <c r="N26" s="24"/>
      <c r="O26" s="25"/>
      <c r="P26" s="26"/>
      <c r="Q26" s="24"/>
      <c r="R26" s="25"/>
      <c r="S26" s="26"/>
      <c r="T26" s="24"/>
      <c r="U26" s="25"/>
      <c r="V26" s="26"/>
      <c r="W26" s="24"/>
      <c r="X26" s="25"/>
      <c r="Y26" s="26"/>
      <c r="Z26" s="24"/>
      <c r="AA26" s="25"/>
      <c r="AB26" s="26"/>
      <c r="AC26" s="24"/>
      <c r="AD26" s="25"/>
      <c r="AE26" s="26"/>
      <c r="AF26" s="24"/>
      <c r="AG26" s="25"/>
      <c r="AH26" s="26"/>
      <c r="AI26" s="24"/>
      <c r="AJ26" s="25"/>
      <c r="AK26" s="26"/>
      <c r="AL26" s="24"/>
      <c r="AM26" s="25"/>
      <c r="AN26" s="26"/>
      <c r="AO26" s="24"/>
      <c r="AP26" s="25"/>
      <c r="AQ26" s="26"/>
      <c r="AR26" s="24"/>
      <c r="AS26" s="25"/>
      <c r="AT26" s="26"/>
      <c r="AU26" s="24"/>
      <c r="AV26" s="25"/>
      <c r="AW26" s="26"/>
      <c r="AX26" s="24"/>
      <c r="AY26" s="25"/>
      <c r="AZ26" s="26"/>
      <c r="BA26" s="24"/>
      <c r="BB26" s="25"/>
      <c r="BC26" s="26"/>
      <c r="BD26" s="24"/>
      <c r="BE26" s="25"/>
      <c r="BF26" s="26"/>
      <c r="BG26" s="24"/>
      <c r="BH26" s="24"/>
      <c r="BI26" s="24"/>
      <c r="BJ26" s="24"/>
      <c r="BK26" s="25"/>
      <c r="BL26" s="26"/>
      <c r="BM26" s="26"/>
      <c r="BN26" s="25"/>
      <c r="BO26" s="26"/>
      <c r="BP26" s="25"/>
      <c r="BQ26" s="25"/>
      <c r="BR26" s="26"/>
      <c r="BS26" s="26"/>
      <c r="BT26" s="89"/>
      <c r="BU26" s="26"/>
      <c r="BV26" s="24"/>
    </row>
    <row r="27" spans="1:74" ht="15.75" customHeight="1">
      <c r="A27" s="40"/>
      <c r="B27" s="73"/>
      <c r="C27" s="25"/>
      <c r="D27" s="26"/>
      <c r="E27" s="24"/>
      <c r="F27" s="25"/>
      <c r="G27" s="26"/>
      <c r="H27" s="24"/>
      <c r="I27" s="25"/>
      <c r="J27" s="26"/>
      <c r="K27" s="24"/>
      <c r="L27" s="25"/>
      <c r="M27" s="26"/>
      <c r="N27" s="24"/>
      <c r="O27" s="25"/>
      <c r="P27" s="26"/>
      <c r="Q27" s="24"/>
      <c r="R27" s="25"/>
      <c r="S27" s="26"/>
      <c r="T27" s="24"/>
      <c r="U27" s="25"/>
      <c r="V27" s="26"/>
      <c r="W27" s="24"/>
      <c r="X27" s="25"/>
      <c r="Y27" s="26"/>
      <c r="Z27" s="24"/>
      <c r="AA27" s="25"/>
      <c r="AB27" s="26"/>
      <c r="AC27" s="24"/>
      <c r="AD27" s="25"/>
      <c r="AE27" s="26"/>
      <c r="AF27" s="24"/>
      <c r="AG27" s="25"/>
      <c r="AH27" s="26"/>
      <c r="AI27" s="24"/>
      <c r="AJ27" s="25"/>
      <c r="AK27" s="26"/>
      <c r="AL27" s="24"/>
      <c r="AM27" s="25"/>
      <c r="AN27" s="26"/>
      <c r="AO27" s="24"/>
      <c r="AP27" s="25"/>
      <c r="AQ27" s="26"/>
      <c r="AR27" s="24"/>
      <c r="AS27" s="25"/>
      <c r="AT27" s="26"/>
      <c r="AU27" s="24"/>
      <c r="AV27" s="25"/>
      <c r="AW27" s="26"/>
      <c r="AX27" s="24"/>
      <c r="AY27" s="25"/>
      <c r="AZ27" s="26"/>
      <c r="BA27" s="24"/>
      <c r="BB27" s="25"/>
      <c r="BC27" s="26"/>
      <c r="BD27" s="24"/>
      <c r="BE27" s="25"/>
      <c r="BF27" s="26"/>
      <c r="BG27" s="24"/>
      <c r="BH27" s="24"/>
      <c r="BI27" s="24"/>
      <c r="BJ27" s="24"/>
      <c r="BK27" s="25"/>
      <c r="BL27" s="26"/>
      <c r="BM27" s="26"/>
      <c r="BN27" s="25"/>
      <c r="BO27" s="26"/>
      <c r="BP27" s="25"/>
      <c r="BQ27" s="25"/>
      <c r="BR27" s="26"/>
      <c r="BS27" s="26"/>
      <c r="BT27" s="25"/>
      <c r="BU27" s="26"/>
      <c r="BV27" s="24"/>
    </row>
    <row r="28" spans="1:74" ht="15.75" customHeight="1">
      <c r="A28" s="40"/>
      <c r="B28" s="73"/>
      <c r="C28" s="25"/>
      <c r="D28" s="26"/>
      <c r="E28" s="24"/>
      <c r="F28" s="25"/>
      <c r="G28" s="26"/>
      <c r="H28" s="24"/>
      <c r="I28" s="25"/>
      <c r="J28" s="26"/>
      <c r="K28" s="24"/>
      <c r="L28" s="25"/>
      <c r="M28" s="26"/>
      <c r="N28" s="24"/>
      <c r="O28" s="25"/>
      <c r="P28" s="26"/>
      <c r="Q28" s="24"/>
      <c r="R28" s="25"/>
      <c r="S28" s="26"/>
      <c r="T28" s="24"/>
      <c r="U28" s="25"/>
      <c r="V28" s="26"/>
      <c r="W28" s="24"/>
      <c r="X28" s="25"/>
      <c r="Y28" s="26"/>
      <c r="Z28" s="24"/>
      <c r="AA28" s="25"/>
      <c r="AB28" s="26"/>
      <c r="AC28" s="24"/>
      <c r="AD28" s="25"/>
      <c r="AE28" s="26"/>
      <c r="AF28" s="24"/>
      <c r="AG28" s="25"/>
      <c r="AH28" s="26"/>
      <c r="AI28" s="24"/>
      <c r="AJ28" s="25"/>
      <c r="AK28" s="26"/>
      <c r="AL28" s="24"/>
      <c r="AM28" s="25"/>
      <c r="AN28" s="26"/>
      <c r="AO28" s="24"/>
      <c r="AP28" s="25"/>
      <c r="AQ28" s="26"/>
      <c r="AR28" s="24"/>
      <c r="AS28" s="25"/>
      <c r="AT28" s="26"/>
      <c r="AU28" s="24"/>
      <c r="AV28" s="25"/>
      <c r="AW28" s="26"/>
      <c r="AX28" s="24"/>
      <c r="AY28" s="25"/>
      <c r="AZ28" s="26"/>
      <c r="BA28" s="24"/>
      <c r="BB28" s="25"/>
      <c r="BC28" s="26"/>
      <c r="BD28" s="24"/>
      <c r="BE28" s="25"/>
      <c r="BF28" s="26"/>
      <c r="BG28" s="24"/>
      <c r="BH28" s="24"/>
      <c r="BI28" s="24"/>
      <c r="BJ28" s="24"/>
      <c r="BK28" s="25"/>
      <c r="BL28" s="26"/>
      <c r="BM28" s="26"/>
      <c r="BN28" s="25"/>
      <c r="BO28" s="26"/>
      <c r="BP28" s="25"/>
      <c r="BQ28" s="25"/>
      <c r="BR28" s="26"/>
      <c r="BS28" s="26"/>
      <c r="BT28" s="25"/>
      <c r="BU28" s="26"/>
      <c r="BV28" s="24"/>
    </row>
    <row r="29" spans="1:74" ht="15.75" customHeight="1">
      <c r="A29" s="40"/>
      <c r="B29" s="73"/>
      <c r="C29" s="25"/>
      <c r="D29" s="26"/>
      <c r="E29" s="24"/>
      <c r="F29" s="25"/>
      <c r="G29" s="26"/>
      <c r="H29" s="24"/>
      <c r="I29" s="25"/>
      <c r="J29" s="26"/>
      <c r="K29" s="24"/>
      <c r="L29" s="25"/>
      <c r="M29" s="26"/>
      <c r="N29" s="24"/>
      <c r="O29" s="25"/>
      <c r="P29" s="26"/>
      <c r="Q29" s="24"/>
      <c r="R29" s="25"/>
      <c r="S29" s="26"/>
      <c r="T29" s="24"/>
      <c r="U29" s="25"/>
      <c r="V29" s="26"/>
      <c r="W29" s="24"/>
      <c r="X29" s="25"/>
      <c r="Y29" s="26"/>
      <c r="Z29" s="24"/>
      <c r="AA29" s="25"/>
      <c r="AB29" s="26"/>
      <c r="AC29" s="24"/>
      <c r="AD29" s="25"/>
      <c r="AE29" s="26"/>
      <c r="AF29" s="24"/>
      <c r="AG29" s="25"/>
      <c r="AH29" s="26"/>
      <c r="AI29" s="24"/>
      <c r="AJ29" s="25"/>
      <c r="AK29" s="26"/>
      <c r="AL29" s="24"/>
      <c r="AM29" s="25"/>
      <c r="AN29" s="26"/>
      <c r="AO29" s="24"/>
      <c r="AP29" s="25"/>
      <c r="AQ29" s="26"/>
      <c r="AR29" s="24"/>
      <c r="AS29" s="25"/>
      <c r="AT29" s="26"/>
      <c r="AU29" s="24"/>
      <c r="AV29" s="25"/>
      <c r="AW29" s="26"/>
      <c r="AX29" s="24"/>
      <c r="AY29" s="25"/>
      <c r="AZ29" s="26"/>
      <c r="BA29" s="24"/>
      <c r="BB29" s="25"/>
      <c r="BC29" s="26"/>
      <c r="BD29" s="24"/>
      <c r="BE29" s="25"/>
      <c r="BF29" s="26"/>
      <c r="BG29" s="24"/>
      <c r="BH29" s="24"/>
      <c r="BI29" s="24"/>
      <c r="BJ29" s="24"/>
      <c r="BK29" s="25"/>
      <c r="BL29" s="26"/>
      <c r="BM29" s="26"/>
      <c r="BN29" s="25"/>
      <c r="BO29" s="26"/>
      <c r="BP29" s="25"/>
      <c r="BQ29" s="25"/>
      <c r="BR29" s="26"/>
      <c r="BS29" s="26"/>
      <c r="BT29" s="25"/>
      <c r="BU29" s="26"/>
      <c r="BV29" s="24"/>
    </row>
    <row r="30" spans="1:74" ht="15.75" customHeight="1">
      <c r="A30" s="40"/>
      <c r="B30" s="73"/>
      <c r="C30" s="25"/>
      <c r="D30" s="26"/>
      <c r="E30" s="24"/>
      <c r="F30" s="25"/>
      <c r="G30" s="26"/>
      <c r="H30" s="24"/>
      <c r="I30" s="25"/>
      <c r="J30" s="26"/>
      <c r="K30" s="24"/>
      <c r="L30" s="25"/>
      <c r="M30" s="26"/>
      <c r="N30" s="24"/>
      <c r="O30" s="25"/>
      <c r="P30" s="26"/>
      <c r="Q30" s="24"/>
      <c r="R30" s="25"/>
      <c r="S30" s="26"/>
      <c r="T30" s="24"/>
      <c r="U30" s="25"/>
      <c r="V30" s="26"/>
      <c r="W30" s="24"/>
      <c r="X30" s="25"/>
      <c r="Y30" s="26"/>
      <c r="Z30" s="24"/>
      <c r="AA30" s="25"/>
      <c r="AB30" s="26"/>
      <c r="AC30" s="24"/>
      <c r="AD30" s="25"/>
      <c r="AE30" s="26"/>
      <c r="AF30" s="24"/>
      <c r="AG30" s="25"/>
      <c r="AH30" s="26"/>
      <c r="AI30" s="24"/>
      <c r="AJ30" s="25"/>
      <c r="AK30" s="26"/>
      <c r="AL30" s="24"/>
      <c r="AM30" s="25"/>
      <c r="AN30" s="26"/>
      <c r="AO30" s="24"/>
      <c r="AP30" s="25"/>
      <c r="AQ30" s="26"/>
      <c r="AR30" s="24"/>
      <c r="AS30" s="25"/>
      <c r="AT30" s="26"/>
      <c r="AU30" s="24"/>
      <c r="AV30" s="25"/>
      <c r="AW30" s="26"/>
      <c r="AX30" s="24"/>
      <c r="AY30" s="25"/>
      <c r="AZ30" s="26"/>
      <c r="BA30" s="24"/>
      <c r="BB30" s="25"/>
      <c r="BC30" s="26"/>
      <c r="BD30" s="24"/>
      <c r="BE30" s="25"/>
      <c r="BF30" s="26"/>
      <c r="BG30" s="24"/>
      <c r="BH30" s="24"/>
      <c r="BI30" s="24"/>
      <c r="BJ30" s="24"/>
      <c r="BK30" s="25"/>
      <c r="BL30" s="26"/>
      <c r="BM30" s="26"/>
      <c r="BN30" s="25"/>
      <c r="BO30" s="26"/>
      <c r="BP30" s="25"/>
      <c r="BQ30" s="25"/>
      <c r="BR30" s="26"/>
      <c r="BS30" s="26"/>
      <c r="BT30" s="25"/>
      <c r="BU30" s="26"/>
      <c r="BV30" s="24"/>
    </row>
    <row r="31" spans="1:74" ht="15.75" customHeight="1">
      <c r="A31" s="40"/>
      <c r="B31" s="73"/>
      <c r="C31" s="25"/>
      <c r="D31" s="26"/>
      <c r="E31" s="24"/>
      <c r="F31" s="25"/>
      <c r="G31" s="26"/>
      <c r="H31" s="24"/>
      <c r="I31" s="25"/>
      <c r="J31" s="26"/>
      <c r="K31" s="24"/>
      <c r="L31" s="25"/>
      <c r="M31" s="26"/>
      <c r="N31" s="24"/>
      <c r="O31" s="25"/>
      <c r="P31" s="26"/>
      <c r="Q31" s="24"/>
      <c r="R31" s="90"/>
      <c r="S31" s="26"/>
      <c r="T31" s="24"/>
      <c r="U31" s="25"/>
      <c r="V31" s="26"/>
      <c r="W31" s="24"/>
      <c r="X31" s="25"/>
      <c r="Y31" s="26"/>
      <c r="Z31" s="24"/>
      <c r="AA31" s="25"/>
      <c r="AB31" s="26"/>
      <c r="AC31" s="24"/>
      <c r="AD31" s="25"/>
      <c r="AE31" s="26"/>
      <c r="AF31" s="24"/>
      <c r="AG31" s="25"/>
      <c r="AH31" s="26"/>
      <c r="AI31" s="24"/>
      <c r="AJ31" s="25"/>
      <c r="AK31" s="26"/>
      <c r="AL31" s="24"/>
      <c r="AM31" s="25"/>
      <c r="AN31" s="26"/>
      <c r="AO31" s="24"/>
      <c r="AP31" s="25"/>
      <c r="AQ31" s="26"/>
      <c r="AR31" s="24"/>
      <c r="AS31" s="25"/>
      <c r="AT31" s="26"/>
      <c r="AU31" s="24"/>
      <c r="AV31" s="25">
        <f>AV18*AV16</f>
        <v>9.182531</v>
      </c>
      <c r="AW31" s="26"/>
      <c r="AX31" s="24"/>
      <c r="AY31" s="25"/>
      <c r="AZ31" s="26"/>
      <c r="BA31" s="24"/>
      <c r="BB31" s="25"/>
      <c r="BC31" s="26"/>
      <c r="BD31" s="24"/>
      <c r="BE31" s="25"/>
      <c r="BF31" s="26"/>
      <c r="BG31" s="24"/>
      <c r="BH31" s="24"/>
      <c r="BI31" s="24"/>
      <c r="BJ31" s="24"/>
      <c r="BK31" s="25"/>
      <c r="BL31" s="26"/>
      <c r="BM31" s="26"/>
      <c r="BN31" s="25"/>
      <c r="BO31" s="26"/>
      <c r="BP31" s="25"/>
      <c r="BQ31" s="25"/>
      <c r="BR31" s="26"/>
      <c r="BS31" s="26"/>
      <c r="BT31" s="25"/>
      <c r="BU31" s="26"/>
      <c r="BV31" s="24"/>
    </row>
    <row r="32" spans="1:74" ht="15.75" customHeight="1">
      <c r="A32" s="40"/>
      <c r="B32" s="73"/>
      <c r="C32" s="25"/>
      <c r="D32" s="26"/>
      <c r="E32" s="24"/>
      <c r="F32" s="25"/>
      <c r="G32" s="26"/>
      <c r="H32" s="24"/>
      <c r="I32" s="25"/>
      <c r="J32" s="26"/>
      <c r="K32" s="24"/>
      <c r="L32" s="25"/>
      <c r="M32" s="26"/>
      <c r="N32" s="24"/>
      <c r="O32" s="25"/>
      <c r="P32" s="26"/>
      <c r="Q32" s="24"/>
      <c r="R32" s="25"/>
      <c r="S32" s="26"/>
      <c r="T32" s="24"/>
      <c r="U32" s="25"/>
      <c r="V32" s="26"/>
      <c r="W32" s="24"/>
      <c r="X32" s="25"/>
      <c r="Y32" s="26"/>
      <c r="Z32" s="24"/>
      <c r="AA32" s="25"/>
      <c r="AB32" s="26"/>
      <c r="AC32" s="24"/>
      <c r="AD32" s="25"/>
      <c r="AE32" s="26"/>
      <c r="AF32" s="24"/>
      <c r="AG32" s="25"/>
      <c r="AH32" s="26"/>
      <c r="AI32" s="24"/>
      <c r="AJ32" s="25"/>
      <c r="AK32" s="26"/>
      <c r="AL32" s="24"/>
      <c r="AM32" s="25"/>
      <c r="AN32" s="26"/>
      <c r="AO32" s="24"/>
      <c r="AP32" s="25"/>
      <c r="AQ32" s="26"/>
      <c r="AR32" s="24"/>
      <c r="AS32" s="25"/>
      <c r="AT32" s="26"/>
      <c r="AU32" s="24"/>
      <c r="AV32" s="25"/>
      <c r="AW32" s="26"/>
      <c r="AX32" s="24"/>
      <c r="AY32" s="25"/>
      <c r="AZ32" s="26"/>
      <c r="BA32" s="24"/>
      <c r="BB32" s="25"/>
      <c r="BC32" s="26"/>
      <c r="BD32" s="24"/>
      <c r="BE32" s="25"/>
      <c r="BF32" s="26"/>
      <c r="BG32" s="24"/>
      <c r="BH32" s="24"/>
      <c r="BI32" s="24"/>
      <c r="BJ32" s="24"/>
      <c r="BK32" s="25"/>
      <c r="BL32" s="26"/>
      <c r="BM32" s="26"/>
      <c r="BN32" s="25"/>
      <c r="BO32" s="26"/>
      <c r="BP32" s="25"/>
      <c r="BQ32" s="25"/>
      <c r="BR32" s="26"/>
      <c r="BS32" s="26"/>
      <c r="BT32" s="25"/>
      <c r="BU32" s="26"/>
      <c r="BV32" s="24"/>
    </row>
    <row r="33" spans="1:74" ht="15.75" customHeight="1">
      <c r="A33" s="40"/>
      <c r="B33" s="76"/>
      <c r="C33" s="25"/>
      <c r="D33" s="26"/>
      <c r="E33" s="24"/>
      <c r="F33" s="25"/>
      <c r="G33" s="26"/>
      <c r="H33" s="24"/>
      <c r="I33" s="25"/>
      <c r="J33" s="26"/>
      <c r="K33" s="24"/>
      <c r="L33" s="25"/>
      <c r="M33" s="26"/>
      <c r="N33" s="24"/>
      <c r="O33" s="25"/>
      <c r="P33" s="26"/>
      <c r="Q33" s="24"/>
      <c r="R33" s="25"/>
      <c r="S33" s="26"/>
      <c r="T33" s="24"/>
      <c r="U33" s="25"/>
      <c r="V33" s="26"/>
      <c r="W33" s="24"/>
      <c r="X33" s="25"/>
      <c r="Y33" s="26"/>
      <c r="Z33" s="24"/>
      <c r="AA33" s="25"/>
      <c r="AB33" s="26"/>
      <c r="AC33" s="24"/>
      <c r="AD33" s="25"/>
      <c r="AE33" s="26"/>
      <c r="AF33" s="24"/>
      <c r="AG33" s="25"/>
      <c r="AH33" s="26"/>
      <c r="AI33" s="24"/>
      <c r="AJ33" s="25"/>
      <c r="AK33" s="26"/>
      <c r="AL33" s="24"/>
      <c r="AM33" s="25"/>
      <c r="AN33" s="26"/>
      <c r="AO33" s="24"/>
      <c r="AP33" s="25"/>
      <c r="AQ33" s="26"/>
      <c r="AR33" s="24"/>
      <c r="AS33" s="25"/>
      <c r="AT33" s="26"/>
      <c r="AU33" s="24"/>
      <c r="AV33" s="25"/>
      <c r="AW33" s="26"/>
      <c r="AX33" s="24"/>
      <c r="AY33" s="25"/>
      <c r="AZ33" s="26"/>
      <c r="BA33" s="24"/>
      <c r="BB33" s="25"/>
      <c r="BC33" s="26"/>
      <c r="BD33" s="24"/>
      <c r="BE33" s="25"/>
      <c r="BF33" s="26"/>
      <c r="BG33" s="24"/>
      <c r="BH33" s="24"/>
      <c r="BI33" s="24"/>
      <c r="BJ33" s="24"/>
      <c r="BK33" s="25"/>
      <c r="BL33" s="26"/>
      <c r="BM33" s="26"/>
      <c r="BN33" s="25"/>
      <c r="BO33" s="26"/>
      <c r="BP33" s="25"/>
      <c r="BQ33" s="25"/>
      <c r="BR33" s="26"/>
      <c r="BS33" s="26"/>
      <c r="BT33" s="25"/>
      <c r="BU33" s="26"/>
      <c r="BV33" s="24"/>
    </row>
    <row r="34" spans="1:74" ht="15.75" customHeight="1">
      <c r="A34" s="40"/>
      <c r="B34" s="76"/>
      <c r="C34" s="25"/>
      <c r="D34" s="26"/>
      <c r="E34" s="24"/>
      <c r="F34" s="25"/>
      <c r="G34" s="26"/>
      <c r="H34" s="24"/>
      <c r="I34" s="25"/>
      <c r="J34" s="26"/>
      <c r="K34" s="24"/>
      <c r="L34" s="25"/>
      <c r="M34" s="26"/>
      <c r="N34" s="24"/>
      <c r="O34" s="25"/>
      <c r="P34" s="26"/>
      <c r="Q34" s="24"/>
      <c r="R34" s="25"/>
      <c r="S34" s="26"/>
      <c r="T34" s="64"/>
      <c r="U34" s="25"/>
      <c r="V34" s="26"/>
      <c r="W34" s="24"/>
      <c r="X34" s="25"/>
      <c r="Y34" s="26"/>
      <c r="Z34" s="24"/>
      <c r="AA34" s="25"/>
      <c r="AB34" s="26"/>
      <c r="AC34" s="24"/>
      <c r="AD34" s="25"/>
      <c r="AE34" s="26"/>
      <c r="AF34" s="24"/>
      <c r="AG34" s="25"/>
      <c r="AH34" s="26"/>
      <c r="AI34" s="24"/>
      <c r="AJ34" s="25"/>
      <c r="AK34" s="26"/>
      <c r="AL34" s="24"/>
      <c r="AM34" s="25"/>
      <c r="AN34" s="26"/>
      <c r="AO34" s="24"/>
      <c r="AP34" s="25"/>
      <c r="AQ34" s="26"/>
      <c r="AR34" s="24"/>
      <c r="AS34" s="25"/>
      <c r="AT34" s="26"/>
      <c r="AU34" s="24"/>
      <c r="AV34" s="25"/>
      <c r="AW34" s="26"/>
      <c r="AX34" s="24"/>
      <c r="AY34" s="25"/>
      <c r="AZ34" s="26"/>
      <c r="BA34" s="24"/>
      <c r="BB34" s="25"/>
      <c r="BC34" s="26"/>
      <c r="BD34" s="24"/>
      <c r="BE34" s="25"/>
      <c r="BF34" s="26"/>
      <c r="BG34" s="24"/>
      <c r="BH34" s="24"/>
      <c r="BI34" s="24"/>
      <c r="BJ34" s="24"/>
      <c r="BK34" s="25"/>
      <c r="BL34" s="26"/>
      <c r="BM34" s="26"/>
      <c r="BN34" s="25"/>
      <c r="BO34" s="26"/>
      <c r="BP34" s="25"/>
      <c r="BQ34" s="25"/>
      <c r="BR34" s="26"/>
      <c r="BS34" s="26"/>
      <c r="BT34" s="25"/>
      <c r="BU34" s="26"/>
      <c r="BV34" s="65"/>
    </row>
    <row r="35" spans="1:74" ht="15.75" customHeight="1">
      <c r="A35" s="40"/>
      <c r="B35" s="76"/>
      <c r="C35" s="25"/>
      <c r="D35" s="26"/>
      <c r="E35" s="24"/>
      <c r="F35" s="25"/>
      <c r="G35" s="26"/>
      <c r="H35" s="24"/>
      <c r="I35" s="25"/>
      <c r="J35" s="26"/>
      <c r="K35" s="24"/>
      <c r="L35" s="25"/>
      <c r="M35" s="26"/>
      <c r="N35" s="24"/>
      <c r="O35" s="25"/>
      <c r="P35" s="26"/>
      <c r="Q35" s="24"/>
      <c r="R35" s="25"/>
      <c r="S35" s="26"/>
      <c r="T35" s="24"/>
      <c r="U35" s="25"/>
      <c r="V35" s="26"/>
      <c r="W35" s="24"/>
      <c r="X35" s="25"/>
      <c r="Y35" s="26"/>
      <c r="Z35" s="24"/>
      <c r="AA35" s="25"/>
      <c r="AB35" s="26"/>
      <c r="AC35" s="24"/>
      <c r="AD35" s="25"/>
      <c r="AE35" s="26"/>
      <c r="AF35" s="24"/>
      <c r="AG35" s="25"/>
      <c r="AH35" s="26"/>
      <c r="AI35" s="24"/>
      <c r="AJ35" s="25"/>
      <c r="AK35" s="26"/>
      <c r="AL35" s="24"/>
      <c r="AM35" s="25"/>
      <c r="AN35" s="26"/>
      <c r="AO35" s="24"/>
      <c r="AP35" s="25"/>
      <c r="AQ35" s="26"/>
      <c r="AR35" s="24"/>
      <c r="AS35" s="25"/>
      <c r="AT35" s="26"/>
      <c r="AU35" s="24"/>
      <c r="AV35" s="25"/>
      <c r="AW35" s="26"/>
      <c r="AX35" s="24"/>
      <c r="AY35" s="25"/>
      <c r="AZ35" s="26"/>
      <c r="BA35" s="24"/>
      <c r="BB35" s="25"/>
      <c r="BC35" s="26"/>
      <c r="BD35" s="24"/>
      <c r="BE35" s="25"/>
      <c r="BF35" s="26"/>
      <c r="BG35" s="24"/>
      <c r="BH35" s="24"/>
      <c r="BI35" s="24"/>
      <c r="BJ35" s="24"/>
      <c r="BK35" s="25"/>
      <c r="BL35" s="26"/>
      <c r="BM35" s="26"/>
      <c r="BN35" s="25"/>
      <c r="BO35" s="26"/>
      <c r="BP35" s="25"/>
      <c r="BQ35" s="25"/>
      <c r="BR35" s="26"/>
      <c r="BS35" s="26"/>
      <c r="BT35" s="25"/>
      <c r="BU35" s="26"/>
      <c r="BV35" s="65"/>
    </row>
    <row r="36" spans="1:74" ht="15.75" customHeight="1">
      <c r="A36" s="66"/>
      <c r="B36" s="77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7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66"/>
      <c r="BU36" s="66"/>
      <c r="BV36" s="67"/>
    </row>
    <row r="37" spans="1:74" ht="15.75" customHeight="1">
      <c r="A37" s="57"/>
      <c r="B37" s="7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67"/>
      <c r="BR37" s="67"/>
      <c r="BS37" s="67"/>
      <c r="BT37" s="67"/>
      <c r="BU37" s="67"/>
      <c r="BV37" s="67"/>
    </row>
    <row r="38" spans="1:74" ht="15.75" customHeight="1">
      <c r="A38" s="57"/>
      <c r="B38" s="7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67"/>
      <c r="BR38" s="67"/>
      <c r="BS38" s="67"/>
      <c r="BT38" s="67"/>
      <c r="BU38" s="67"/>
      <c r="BV38" s="67"/>
    </row>
    <row r="39" spans="1:74" ht="15.75" customHeight="1">
      <c r="A39" s="57"/>
      <c r="B39" s="7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67"/>
      <c r="BR39" s="67"/>
      <c r="BS39" s="67"/>
      <c r="BT39" s="67"/>
      <c r="BU39" s="67"/>
      <c r="BV39" s="67"/>
    </row>
    <row r="40" spans="1:74" ht="15.75" customHeight="1">
      <c r="A40" s="57"/>
      <c r="B40" s="7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67"/>
      <c r="BR40" s="67"/>
      <c r="BS40" s="67"/>
      <c r="BT40" s="67"/>
      <c r="BU40" s="67"/>
      <c r="BV40" s="67"/>
    </row>
    <row r="41" spans="1:74" ht="15.75" customHeight="1">
      <c r="A41" s="57"/>
      <c r="B41" s="78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67"/>
      <c r="BR41" s="67"/>
      <c r="BS41" s="67"/>
      <c r="BT41" s="67"/>
      <c r="BU41" s="67"/>
      <c r="BV41" s="67"/>
    </row>
    <row r="42" spans="1:74" ht="15.75" customHeight="1">
      <c r="A42" s="57"/>
      <c r="B42" s="7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67"/>
      <c r="BR42" s="67"/>
      <c r="BS42" s="67"/>
      <c r="BT42" s="67"/>
      <c r="BU42" s="67"/>
      <c r="BV42" s="67"/>
    </row>
    <row r="43" spans="1:74" ht="15.75" customHeight="1">
      <c r="A43" s="57"/>
      <c r="B43" s="7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67"/>
      <c r="BR43" s="67"/>
      <c r="BS43" s="67"/>
      <c r="BT43" s="67"/>
      <c r="BU43" s="67"/>
      <c r="BV43" s="67"/>
    </row>
    <row r="44" spans="1:74" ht="15.75" customHeight="1">
      <c r="A44" s="57"/>
      <c r="B44" s="7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67"/>
      <c r="BR44" s="67"/>
      <c r="BS44" s="67"/>
      <c r="BT44" s="67"/>
      <c r="BU44" s="67"/>
      <c r="BV44" s="67"/>
    </row>
    <row r="45" spans="1:74" ht="15.75" customHeight="1">
      <c r="A45" s="57"/>
      <c r="B45" s="78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67"/>
      <c r="BR45" s="67"/>
      <c r="BS45" s="67"/>
      <c r="BT45" s="67"/>
      <c r="BU45" s="67"/>
      <c r="BV45" s="67"/>
    </row>
    <row r="46" spans="1:74" ht="15.75" customHeight="1">
      <c r="A46" s="57"/>
      <c r="B46" s="78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67"/>
      <c r="BR46" s="67"/>
      <c r="BS46" s="67"/>
      <c r="BT46" s="67"/>
      <c r="BU46" s="67"/>
      <c r="BV46" s="67"/>
    </row>
    <row r="47" spans="1:74" ht="15.75" customHeight="1">
      <c r="A47" s="57"/>
      <c r="B47" s="78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67"/>
      <c r="BR47" s="67"/>
      <c r="BS47" s="67"/>
      <c r="BT47" s="67"/>
      <c r="BU47" s="67"/>
      <c r="BV47" s="67"/>
    </row>
    <row r="48" spans="1:74" ht="15.75" customHeight="1">
      <c r="A48" s="57"/>
      <c r="B48" s="78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67"/>
      <c r="BR48" s="67"/>
      <c r="BS48" s="67"/>
      <c r="BT48" s="67"/>
      <c r="BU48" s="67"/>
      <c r="BV48" s="67"/>
    </row>
    <row r="49" spans="1:74" ht="15.75" customHeight="1">
      <c r="A49" s="57"/>
      <c r="B49" s="78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67"/>
      <c r="BR49" s="67"/>
      <c r="BS49" s="67"/>
      <c r="BT49" s="67"/>
      <c r="BU49" s="67"/>
      <c r="BV49" s="67"/>
    </row>
    <row r="50" spans="1:74" ht="15.75" customHeight="1">
      <c r="A50" s="57"/>
      <c r="B50" s="78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67"/>
      <c r="BR50" s="67"/>
      <c r="BS50" s="67"/>
      <c r="BT50" s="67"/>
      <c r="BU50" s="67"/>
      <c r="BV50" s="67"/>
    </row>
    <row r="51" spans="1:74" ht="15.75" customHeight="1">
      <c r="A51" s="57"/>
      <c r="B51" s="78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67"/>
      <c r="BR51" s="67"/>
      <c r="BS51" s="67"/>
      <c r="BT51" s="67"/>
      <c r="BU51" s="67"/>
      <c r="BV51" s="67"/>
    </row>
    <row r="52" spans="1:74" ht="15.75" customHeight="1">
      <c r="A52" s="57"/>
      <c r="B52" s="78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67"/>
      <c r="BR52" s="67"/>
      <c r="BS52" s="67"/>
      <c r="BT52" s="67"/>
      <c r="BU52" s="67"/>
      <c r="BV52" s="6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37"/>
  <sheetViews>
    <sheetView zoomScale="85" zoomScaleNormal="85" zoomScalePageLayoutView="0" workbookViewId="0" topLeftCell="A1">
      <pane xSplit="2" ySplit="11" topLeftCell="BJ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:IV16384"/>
    </sheetView>
  </sheetViews>
  <sheetFormatPr defaultColWidth="12.00390625" defaultRowHeight="12.75"/>
  <cols>
    <col min="1" max="1" width="5.421875" style="34" customWidth="1"/>
    <col min="2" max="2" width="36.28125" style="34" customWidth="1"/>
    <col min="3" max="63" width="12.00390625" style="34" customWidth="1"/>
    <col min="64" max="64" width="17.7109375" style="34" customWidth="1"/>
    <col min="65" max="65" width="12.00390625" style="34" customWidth="1"/>
    <col min="66" max="66" width="15.00390625" style="34" customWidth="1"/>
    <col min="67" max="67" width="20.8515625" style="34" customWidth="1"/>
    <col min="68" max="146" width="12.00390625" style="83" customWidth="1"/>
    <col min="147" max="16384" width="12.00390625" style="34" customWidth="1"/>
  </cols>
  <sheetData>
    <row r="1" spans="1:73" ht="15.75" customHeight="1">
      <c r="A1" s="53" t="s">
        <v>0</v>
      </c>
      <c r="B1" s="6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 t="s">
        <v>1</v>
      </c>
      <c r="AC1" s="39"/>
      <c r="AD1" s="39"/>
      <c r="AE1" s="39"/>
      <c r="AF1" s="39"/>
      <c r="AG1" s="39"/>
      <c r="AH1" s="55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56"/>
      <c r="BI1" s="56"/>
      <c r="BJ1" s="56"/>
      <c r="BK1" s="56"/>
      <c r="BL1" s="56"/>
      <c r="BM1" s="56"/>
      <c r="BN1" s="56"/>
      <c r="BO1" s="56"/>
      <c r="BP1" s="82"/>
      <c r="BQ1" s="82"/>
      <c r="BR1" s="82"/>
      <c r="BS1" s="82"/>
      <c r="BT1" s="67"/>
      <c r="BU1" s="67"/>
    </row>
    <row r="2" spans="1:73" ht="15.75" customHeight="1">
      <c r="A2" s="53"/>
      <c r="B2" s="6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55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56"/>
      <c r="BI2" s="56"/>
      <c r="BJ2" s="56"/>
      <c r="BK2" s="56"/>
      <c r="BL2" s="56"/>
      <c r="BM2" s="56"/>
      <c r="BN2" s="56"/>
      <c r="BO2" s="56"/>
      <c r="BP2" s="82"/>
      <c r="BQ2" s="82"/>
      <c r="BR2" s="82"/>
      <c r="BS2" s="82"/>
      <c r="BT2" s="67"/>
      <c r="BU2" s="67"/>
    </row>
    <row r="3" spans="1:73" ht="15.75" customHeight="1">
      <c r="A3" s="39"/>
      <c r="B3" s="69" t="s">
        <v>202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67"/>
      <c r="BU3" s="67"/>
    </row>
    <row r="4" spans="1:73" ht="15.75" customHeight="1">
      <c r="A4" s="55" t="s">
        <v>2</v>
      </c>
      <c r="B4" s="70"/>
      <c r="C4" s="53" t="s">
        <v>203</v>
      </c>
      <c r="D4" s="53"/>
      <c r="E4" s="59"/>
      <c r="F4" s="53" t="s">
        <v>204</v>
      </c>
      <c r="G4" s="53"/>
      <c r="H4" s="59"/>
      <c r="I4" s="53" t="s">
        <v>205</v>
      </c>
      <c r="J4" s="53"/>
      <c r="K4" s="53"/>
      <c r="L4" s="53" t="s">
        <v>206</v>
      </c>
      <c r="M4" s="53"/>
      <c r="N4" s="59"/>
      <c r="O4" s="53" t="s">
        <v>207</v>
      </c>
      <c r="P4" s="53"/>
      <c r="Q4" s="59"/>
      <c r="R4" s="53" t="s">
        <v>208</v>
      </c>
      <c r="S4" s="53"/>
      <c r="T4" s="53"/>
      <c r="U4" s="53" t="s">
        <v>209</v>
      </c>
      <c r="V4" s="53"/>
      <c r="W4" s="53"/>
      <c r="X4" s="53" t="s">
        <v>210</v>
      </c>
      <c r="Y4" s="53"/>
      <c r="Z4" s="59"/>
      <c r="AA4" s="53" t="s">
        <v>211</v>
      </c>
      <c r="AB4" s="53"/>
      <c r="AC4" s="59"/>
      <c r="AD4" s="53" t="s">
        <v>212</v>
      </c>
      <c r="AE4" s="53"/>
      <c r="AF4" s="59"/>
      <c r="AG4" s="53" t="s">
        <v>213</v>
      </c>
      <c r="AH4" s="53"/>
      <c r="AI4" s="59"/>
      <c r="AJ4" s="53" t="s">
        <v>214</v>
      </c>
      <c r="AK4" s="53"/>
      <c r="AL4" s="59"/>
      <c r="AM4" s="53" t="s">
        <v>215</v>
      </c>
      <c r="AN4" s="53"/>
      <c r="AO4" s="59"/>
      <c r="AP4" s="53" t="s">
        <v>216</v>
      </c>
      <c r="AQ4" s="53"/>
      <c r="AR4" s="59"/>
      <c r="AS4" s="53" t="s">
        <v>217</v>
      </c>
      <c r="AT4" s="53"/>
      <c r="AU4" s="59"/>
      <c r="AV4" s="53" t="s">
        <v>218</v>
      </c>
      <c r="AW4" s="53"/>
      <c r="AX4" s="59"/>
      <c r="AY4" s="53" t="s">
        <v>219</v>
      </c>
      <c r="AZ4" s="53"/>
      <c r="BA4" s="59"/>
      <c r="BB4" s="53" t="s">
        <v>220</v>
      </c>
      <c r="BC4" s="53"/>
      <c r="BD4" s="59"/>
      <c r="BE4" s="53" t="s">
        <v>221</v>
      </c>
      <c r="BF4" s="53"/>
      <c r="BG4" s="59"/>
      <c r="BH4" s="53" t="s">
        <v>222</v>
      </c>
      <c r="BI4" s="60"/>
      <c r="BJ4" s="60"/>
      <c r="BK4" s="53" t="s">
        <v>223</v>
      </c>
      <c r="BL4" s="53"/>
      <c r="BM4" s="53"/>
      <c r="BN4" s="53" t="s">
        <v>3</v>
      </c>
      <c r="BO4" s="53"/>
      <c r="BP4" s="84"/>
      <c r="BQ4" s="84"/>
      <c r="BR4" s="84"/>
      <c r="BS4" s="84"/>
      <c r="BT4" s="84"/>
      <c r="BU4" s="85"/>
    </row>
    <row r="5" spans="1:73" ht="15.75" customHeight="1" thickBot="1">
      <c r="A5" s="39"/>
      <c r="B5" s="70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60"/>
      <c r="BI5" s="60"/>
      <c r="BJ5" s="60"/>
      <c r="BK5" s="60"/>
      <c r="BL5" s="60"/>
      <c r="BM5" s="60"/>
      <c r="BN5" s="60"/>
      <c r="BO5" s="60"/>
      <c r="BP5" s="85"/>
      <c r="BQ5" s="85"/>
      <c r="BR5" s="85"/>
      <c r="BS5" s="85"/>
      <c r="BT5" s="85"/>
      <c r="BU5" s="85"/>
    </row>
    <row r="6" spans="1:255" ht="15" customHeight="1" thickTop="1">
      <c r="A6" s="32"/>
      <c r="B6" s="7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24"/>
      <c r="HE6" s="24"/>
      <c r="HF6" s="24"/>
      <c r="HG6" s="24"/>
      <c r="HH6" s="32"/>
      <c r="HI6" s="71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</row>
    <row r="7" spans="1:255" ht="15.75" customHeight="1">
      <c r="A7" s="59"/>
      <c r="B7" s="70"/>
      <c r="C7" s="49" t="s">
        <v>4</v>
      </c>
      <c r="D7" s="49" t="s">
        <v>4</v>
      </c>
      <c r="E7" s="49"/>
      <c r="F7" s="49" t="s">
        <v>4</v>
      </c>
      <c r="G7" s="49" t="s">
        <v>4</v>
      </c>
      <c r="H7" s="49"/>
      <c r="I7" s="49" t="s">
        <v>4</v>
      </c>
      <c r="J7" s="49" t="s">
        <v>4</v>
      </c>
      <c r="K7" s="49"/>
      <c r="L7" s="49" t="s">
        <v>4</v>
      </c>
      <c r="M7" s="49" t="s">
        <v>4</v>
      </c>
      <c r="N7" s="49"/>
      <c r="O7" s="49" t="s">
        <v>4</v>
      </c>
      <c r="P7" s="49" t="s">
        <v>4</v>
      </c>
      <c r="Q7" s="49"/>
      <c r="R7" s="49" t="s">
        <v>4</v>
      </c>
      <c r="S7" s="49" t="s">
        <v>4</v>
      </c>
      <c r="T7" s="49"/>
      <c r="U7" s="49" t="s">
        <v>4</v>
      </c>
      <c r="V7" s="49" t="s">
        <v>4</v>
      </c>
      <c r="W7" s="49"/>
      <c r="X7" s="49" t="s">
        <v>4</v>
      </c>
      <c r="Y7" s="49" t="s">
        <v>4</v>
      </c>
      <c r="Z7" s="49"/>
      <c r="AA7" s="49" t="s">
        <v>4</v>
      </c>
      <c r="AB7" s="49" t="s">
        <v>4</v>
      </c>
      <c r="AC7" s="49"/>
      <c r="AD7" s="49" t="s">
        <v>4</v>
      </c>
      <c r="AE7" s="49" t="s">
        <v>4</v>
      </c>
      <c r="AF7" s="49"/>
      <c r="AG7" s="49" t="s">
        <v>4</v>
      </c>
      <c r="AH7" s="49" t="s">
        <v>4</v>
      </c>
      <c r="AI7" s="49"/>
      <c r="AJ7" s="49" t="s">
        <v>4</v>
      </c>
      <c r="AK7" s="49" t="s">
        <v>4</v>
      </c>
      <c r="AL7" s="49"/>
      <c r="AM7" s="49" t="s">
        <v>4</v>
      </c>
      <c r="AN7" s="49" t="s">
        <v>4</v>
      </c>
      <c r="AO7" s="49"/>
      <c r="AP7" s="49" t="s">
        <v>4</v>
      </c>
      <c r="AQ7" s="49" t="s">
        <v>4</v>
      </c>
      <c r="AR7" s="49"/>
      <c r="AS7" s="49" t="s">
        <v>4</v>
      </c>
      <c r="AT7" s="49" t="s">
        <v>4</v>
      </c>
      <c r="AU7" s="49"/>
      <c r="AV7" s="49" t="s">
        <v>4</v>
      </c>
      <c r="AW7" s="49" t="s">
        <v>4</v>
      </c>
      <c r="AX7" s="49"/>
      <c r="AY7" s="49" t="s">
        <v>4</v>
      </c>
      <c r="AZ7" s="49" t="s">
        <v>4</v>
      </c>
      <c r="BA7" s="49"/>
      <c r="BB7" s="49" t="s">
        <v>4</v>
      </c>
      <c r="BC7" s="49" t="s">
        <v>4</v>
      </c>
      <c r="BD7" s="49"/>
      <c r="BE7" s="49" t="s">
        <v>4</v>
      </c>
      <c r="BF7" s="49" t="s">
        <v>4</v>
      </c>
      <c r="BG7" s="49"/>
      <c r="BH7" s="49" t="s">
        <v>4</v>
      </c>
      <c r="BI7" s="49" t="s">
        <v>4</v>
      </c>
      <c r="BJ7" s="49"/>
      <c r="BK7" s="96" t="s">
        <v>4</v>
      </c>
      <c r="BL7" s="96" t="s">
        <v>4</v>
      </c>
      <c r="BM7" s="96"/>
      <c r="BN7" s="96" t="s">
        <v>5</v>
      </c>
      <c r="BO7" s="96" t="s">
        <v>5</v>
      </c>
      <c r="BP7" s="28"/>
      <c r="BQ7" s="28"/>
      <c r="BR7" s="28"/>
      <c r="BS7" s="28"/>
      <c r="BT7" s="27"/>
      <c r="BU7" s="24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7"/>
      <c r="EO7" s="24"/>
      <c r="EP7" s="28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28"/>
      <c r="HE7" s="28"/>
      <c r="HF7" s="28"/>
      <c r="HG7" s="28"/>
      <c r="HH7" s="59"/>
      <c r="HI7" s="70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</row>
    <row r="8" spans="1:255" ht="15.75" customHeight="1">
      <c r="A8" s="39"/>
      <c r="B8" s="72" t="s">
        <v>6</v>
      </c>
      <c r="C8" s="49" t="s">
        <v>7</v>
      </c>
      <c r="D8" s="49" t="s">
        <v>7</v>
      </c>
      <c r="E8" s="49"/>
      <c r="F8" s="49" t="s">
        <v>7</v>
      </c>
      <c r="G8" s="49" t="s">
        <v>7</v>
      </c>
      <c r="H8" s="49"/>
      <c r="I8" s="49" t="s">
        <v>7</v>
      </c>
      <c r="J8" s="49" t="s">
        <v>7</v>
      </c>
      <c r="K8" s="49"/>
      <c r="L8" s="49" t="s">
        <v>7</v>
      </c>
      <c r="M8" s="49" t="s">
        <v>7</v>
      </c>
      <c r="N8" s="49"/>
      <c r="O8" s="49" t="s">
        <v>7</v>
      </c>
      <c r="P8" s="49" t="s">
        <v>7</v>
      </c>
      <c r="Q8" s="49"/>
      <c r="R8" s="49" t="s">
        <v>7</v>
      </c>
      <c r="S8" s="49" t="s">
        <v>7</v>
      </c>
      <c r="T8" s="49"/>
      <c r="U8" s="49" t="s">
        <v>7</v>
      </c>
      <c r="V8" s="49" t="s">
        <v>7</v>
      </c>
      <c r="W8" s="49"/>
      <c r="X8" s="49" t="s">
        <v>7</v>
      </c>
      <c r="Y8" s="49" t="s">
        <v>7</v>
      </c>
      <c r="Z8" s="49"/>
      <c r="AA8" s="49" t="s">
        <v>7</v>
      </c>
      <c r="AB8" s="49" t="s">
        <v>7</v>
      </c>
      <c r="AC8" s="49"/>
      <c r="AD8" s="49" t="s">
        <v>7</v>
      </c>
      <c r="AE8" s="49" t="s">
        <v>7</v>
      </c>
      <c r="AF8" s="49"/>
      <c r="AG8" s="49" t="s">
        <v>7</v>
      </c>
      <c r="AH8" s="49" t="s">
        <v>7</v>
      </c>
      <c r="AI8" s="49"/>
      <c r="AJ8" s="49" t="s">
        <v>7</v>
      </c>
      <c r="AK8" s="49" t="s">
        <v>7</v>
      </c>
      <c r="AL8" s="49"/>
      <c r="AM8" s="49" t="s">
        <v>7</v>
      </c>
      <c r="AN8" s="49" t="s">
        <v>7</v>
      </c>
      <c r="AO8" s="49"/>
      <c r="AP8" s="49" t="s">
        <v>7</v>
      </c>
      <c r="AQ8" s="49" t="s">
        <v>7</v>
      </c>
      <c r="AR8" s="49"/>
      <c r="AS8" s="49" t="s">
        <v>7</v>
      </c>
      <c r="AT8" s="49" t="s">
        <v>7</v>
      </c>
      <c r="AU8" s="49"/>
      <c r="AV8" s="49" t="s">
        <v>7</v>
      </c>
      <c r="AW8" s="49" t="s">
        <v>7</v>
      </c>
      <c r="AX8" s="49"/>
      <c r="AY8" s="49" t="s">
        <v>7</v>
      </c>
      <c r="AZ8" s="49" t="s">
        <v>7</v>
      </c>
      <c r="BA8" s="49"/>
      <c r="BB8" s="49" t="s">
        <v>7</v>
      </c>
      <c r="BC8" s="49" t="s">
        <v>7</v>
      </c>
      <c r="BD8" s="49"/>
      <c r="BE8" s="49" t="s">
        <v>7</v>
      </c>
      <c r="BF8" s="49" t="s">
        <v>7</v>
      </c>
      <c r="BG8" s="49"/>
      <c r="BH8" s="49" t="s">
        <v>7</v>
      </c>
      <c r="BI8" s="49" t="s">
        <v>7</v>
      </c>
      <c r="BJ8" s="49"/>
      <c r="BK8" s="96" t="s">
        <v>7</v>
      </c>
      <c r="BL8" s="96" t="s">
        <v>7</v>
      </c>
      <c r="BM8" s="96"/>
      <c r="BN8" s="96" t="s">
        <v>8</v>
      </c>
      <c r="BO8" s="96" t="s">
        <v>9</v>
      </c>
      <c r="BP8" s="28"/>
      <c r="BQ8" s="28"/>
      <c r="BR8" s="28"/>
      <c r="BS8" s="28"/>
      <c r="BT8" s="24"/>
      <c r="BU8" s="93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4"/>
      <c r="EO8" s="93"/>
      <c r="EP8" s="28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28"/>
      <c r="HE8" s="28"/>
      <c r="HF8" s="28"/>
      <c r="HG8" s="28"/>
      <c r="HH8" s="39"/>
      <c r="HI8" s="72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</row>
    <row r="9" spans="1:255" ht="15.75" customHeight="1">
      <c r="A9" s="35"/>
      <c r="B9" s="73"/>
      <c r="C9" s="37" t="s">
        <v>10</v>
      </c>
      <c r="D9" s="38" t="s">
        <v>9</v>
      </c>
      <c r="E9" s="39"/>
      <c r="F9" s="37" t="s">
        <v>10</v>
      </c>
      <c r="G9" s="38" t="s">
        <v>9</v>
      </c>
      <c r="H9" s="39"/>
      <c r="I9" s="37" t="s">
        <v>10</v>
      </c>
      <c r="J9" s="38" t="s">
        <v>9</v>
      </c>
      <c r="K9" s="39"/>
      <c r="L9" s="37" t="s">
        <v>10</v>
      </c>
      <c r="M9" s="38" t="s">
        <v>9</v>
      </c>
      <c r="N9" s="39"/>
      <c r="O9" s="37" t="s">
        <v>10</v>
      </c>
      <c r="P9" s="38" t="s">
        <v>9</v>
      </c>
      <c r="Q9" s="39"/>
      <c r="R9" s="37" t="s">
        <v>10</v>
      </c>
      <c r="S9" s="38" t="s">
        <v>9</v>
      </c>
      <c r="T9" s="39"/>
      <c r="U9" s="37" t="s">
        <v>10</v>
      </c>
      <c r="V9" s="38" t="s">
        <v>9</v>
      </c>
      <c r="W9" s="39"/>
      <c r="X9" s="37" t="s">
        <v>10</v>
      </c>
      <c r="Y9" s="38" t="s">
        <v>9</v>
      </c>
      <c r="Z9" s="39"/>
      <c r="AA9" s="37" t="s">
        <v>10</v>
      </c>
      <c r="AB9" s="38" t="s">
        <v>9</v>
      </c>
      <c r="AC9" s="39"/>
      <c r="AD9" s="37" t="s">
        <v>10</v>
      </c>
      <c r="AE9" s="38" t="s">
        <v>9</v>
      </c>
      <c r="AF9" s="39"/>
      <c r="AG9" s="37" t="s">
        <v>10</v>
      </c>
      <c r="AH9" s="38" t="s">
        <v>9</v>
      </c>
      <c r="AI9" s="39"/>
      <c r="AJ9" s="37" t="s">
        <v>10</v>
      </c>
      <c r="AK9" s="38" t="s">
        <v>9</v>
      </c>
      <c r="AL9" s="39"/>
      <c r="AM9" s="37" t="s">
        <v>10</v>
      </c>
      <c r="AN9" s="38" t="s">
        <v>9</v>
      </c>
      <c r="AO9" s="39"/>
      <c r="AP9" s="37" t="s">
        <v>10</v>
      </c>
      <c r="AQ9" s="38" t="s">
        <v>9</v>
      </c>
      <c r="AR9" s="39"/>
      <c r="AS9" s="37" t="s">
        <v>10</v>
      </c>
      <c r="AT9" s="38" t="s">
        <v>9</v>
      </c>
      <c r="AU9" s="39"/>
      <c r="AV9" s="37" t="s">
        <v>10</v>
      </c>
      <c r="AW9" s="38" t="s">
        <v>9</v>
      </c>
      <c r="AX9" s="39"/>
      <c r="AY9" s="37" t="s">
        <v>10</v>
      </c>
      <c r="AZ9" s="38" t="s">
        <v>9</v>
      </c>
      <c r="BA9" s="39"/>
      <c r="BB9" s="37" t="s">
        <v>10</v>
      </c>
      <c r="BC9" s="38" t="s">
        <v>9</v>
      </c>
      <c r="BD9" s="39"/>
      <c r="BE9" s="37" t="s">
        <v>10</v>
      </c>
      <c r="BF9" s="38" t="s">
        <v>9</v>
      </c>
      <c r="BG9" s="39"/>
      <c r="BH9" s="37" t="s">
        <v>10</v>
      </c>
      <c r="BI9" s="38" t="s">
        <v>9</v>
      </c>
      <c r="BJ9" s="39"/>
      <c r="BK9" s="97" t="s">
        <v>10</v>
      </c>
      <c r="BL9" s="98" t="s">
        <v>9</v>
      </c>
      <c r="BM9" s="98"/>
      <c r="BN9" s="97" t="s">
        <v>7</v>
      </c>
      <c r="BO9" s="97" t="s">
        <v>11</v>
      </c>
      <c r="BP9" s="28"/>
      <c r="BQ9" s="28"/>
      <c r="BR9" s="28"/>
      <c r="BS9" s="28"/>
      <c r="BT9" s="24"/>
      <c r="BU9" s="24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4"/>
      <c r="EO9" s="24"/>
      <c r="EP9" s="28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28"/>
      <c r="HE9" s="28"/>
      <c r="HF9" s="28"/>
      <c r="HG9" s="28"/>
      <c r="HH9" s="39"/>
      <c r="HI9" s="70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</row>
    <row r="10" spans="1:255" ht="15.75" customHeight="1">
      <c r="A10" s="35"/>
      <c r="B10" s="73"/>
      <c r="C10" s="37"/>
      <c r="D10" s="38" t="s">
        <v>12</v>
      </c>
      <c r="E10" s="39"/>
      <c r="F10" s="37"/>
      <c r="G10" s="38" t="s">
        <v>12</v>
      </c>
      <c r="H10" s="39"/>
      <c r="I10" s="37"/>
      <c r="J10" s="38" t="s">
        <v>12</v>
      </c>
      <c r="K10" s="39"/>
      <c r="L10" s="37"/>
      <c r="M10" s="38" t="s">
        <v>12</v>
      </c>
      <c r="N10" s="39"/>
      <c r="O10" s="37"/>
      <c r="P10" s="38" t="s">
        <v>12</v>
      </c>
      <c r="Q10" s="39"/>
      <c r="R10" s="37"/>
      <c r="S10" s="38" t="s">
        <v>12</v>
      </c>
      <c r="T10" s="39"/>
      <c r="U10" s="37"/>
      <c r="V10" s="38" t="s">
        <v>12</v>
      </c>
      <c r="W10" s="39"/>
      <c r="X10" s="37"/>
      <c r="Y10" s="38" t="s">
        <v>12</v>
      </c>
      <c r="Z10" s="39"/>
      <c r="AA10" s="37"/>
      <c r="AB10" s="38" t="s">
        <v>12</v>
      </c>
      <c r="AC10" s="39"/>
      <c r="AD10" s="37"/>
      <c r="AE10" s="38" t="s">
        <v>12</v>
      </c>
      <c r="AF10" s="39"/>
      <c r="AG10" s="37"/>
      <c r="AH10" s="38" t="s">
        <v>12</v>
      </c>
      <c r="AI10" s="39"/>
      <c r="AJ10" s="37"/>
      <c r="AK10" s="38" t="s">
        <v>12</v>
      </c>
      <c r="AL10" s="39"/>
      <c r="AM10" s="37"/>
      <c r="AN10" s="38" t="s">
        <v>12</v>
      </c>
      <c r="AO10" s="39"/>
      <c r="AP10" s="37"/>
      <c r="AQ10" s="38" t="s">
        <v>12</v>
      </c>
      <c r="AR10" s="39"/>
      <c r="AS10" s="37"/>
      <c r="AT10" s="38" t="s">
        <v>12</v>
      </c>
      <c r="AU10" s="39"/>
      <c r="AV10" s="37"/>
      <c r="AW10" s="38" t="s">
        <v>12</v>
      </c>
      <c r="AX10" s="39"/>
      <c r="AY10" s="37"/>
      <c r="AZ10" s="38" t="s">
        <v>12</v>
      </c>
      <c r="BA10" s="39"/>
      <c r="BB10" s="37"/>
      <c r="BC10" s="38" t="s">
        <v>12</v>
      </c>
      <c r="BD10" s="39"/>
      <c r="BE10" s="37"/>
      <c r="BF10" s="38" t="s">
        <v>12</v>
      </c>
      <c r="BG10" s="39"/>
      <c r="BH10" s="37"/>
      <c r="BI10" s="38" t="s">
        <v>12</v>
      </c>
      <c r="BJ10" s="39"/>
      <c r="BK10" s="97"/>
      <c r="BL10" s="98" t="s">
        <v>12</v>
      </c>
      <c r="BM10" s="98"/>
      <c r="BN10" s="97" t="s">
        <v>10</v>
      </c>
      <c r="BO10" s="97" t="s">
        <v>12</v>
      </c>
      <c r="BP10" s="24"/>
      <c r="BQ10" s="28"/>
      <c r="BR10" s="28"/>
      <c r="BS10" s="28"/>
      <c r="BT10" s="24"/>
      <c r="BU10" s="24"/>
      <c r="BV10" s="24"/>
      <c r="BW10" s="28"/>
      <c r="BX10" s="28"/>
      <c r="BY10" s="24"/>
      <c r="BZ10" s="28"/>
      <c r="CA10" s="28"/>
      <c r="CB10" s="24"/>
      <c r="CC10" s="28"/>
      <c r="CD10" s="24"/>
      <c r="CE10" s="24"/>
      <c r="CF10" s="28"/>
      <c r="CG10" s="28"/>
      <c r="CH10" s="24"/>
      <c r="CI10" s="28"/>
      <c r="CJ10" s="28"/>
      <c r="CK10" s="24"/>
      <c r="CL10" s="28"/>
      <c r="CM10" s="28"/>
      <c r="CN10" s="24"/>
      <c r="CO10" s="28"/>
      <c r="CP10" s="28"/>
      <c r="CQ10" s="24"/>
      <c r="CR10" s="28"/>
      <c r="CS10" s="28"/>
      <c r="CT10" s="24"/>
      <c r="CU10" s="28"/>
      <c r="CV10" s="28"/>
      <c r="CW10" s="24"/>
      <c r="CX10" s="28"/>
      <c r="CY10" s="28"/>
      <c r="CZ10" s="24"/>
      <c r="DA10" s="28"/>
      <c r="DB10" s="28"/>
      <c r="DC10" s="24"/>
      <c r="DD10" s="28"/>
      <c r="DE10" s="28"/>
      <c r="DF10" s="24"/>
      <c r="DG10" s="28"/>
      <c r="DH10" s="28"/>
      <c r="DI10" s="24"/>
      <c r="DJ10" s="28"/>
      <c r="DK10" s="28"/>
      <c r="DL10" s="24"/>
      <c r="DM10" s="28"/>
      <c r="DN10" s="28"/>
      <c r="DO10" s="24"/>
      <c r="DP10" s="28"/>
      <c r="DQ10" s="28"/>
      <c r="DR10" s="24"/>
      <c r="DS10" s="28"/>
      <c r="DT10" s="28"/>
      <c r="DU10" s="24"/>
      <c r="DV10" s="28"/>
      <c r="DW10" s="28"/>
      <c r="DX10" s="24"/>
      <c r="DY10" s="28"/>
      <c r="DZ10" s="28"/>
      <c r="EA10" s="24"/>
      <c r="EB10" s="28"/>
      <c r="EC10" s="28"/>
      <c r="ED10" s="24"/>
      <c r="EE10" s="28"/>
      <c r="EF10" s="28"/>
      <c r="EG10" s="24"/>
      <c r="EH10" s="28"/>
      <c r="EI10" s="24"/>
      <c r="EJ10" s="24"/>
      <c r="EK10" s="28"/>
      <c r="EL10" s="28"/>
      <c r="EM10" s="28"/>
      <c r="EN10" s="24"/>
      <c r="EO10" s="24"/>
      <c r="EP10" s="24"/>
      <c r="EQ10" s="49"/>
      <c r="ER10" s="49"/>
      <c r="ES10" s="39"/>
      <c r="ET10" s="49"/>
      <c r="EU10" s="49"/>
      <c r="EV10" s="39"/>
      <c r="EW10" s="49"/>
      <c r="EX10" s="39"/>
      <c r="EY10" s="39"/>
      <c r="EZ10" s="49"/>
      <c r="FA10" s="49"/>
      <c r="FB10" s="39"/>
      <c r="FC10" s="49"/>
      <c r="FD10" s="49"/>
      <c r="FE10" s="39"/>
      <c r="FF10" s="49"/>
      <c r="FG10" s="49"/>
      <c r="FH10" s="39"/>
      <c r="FI10" s="49"/>
      <c r="FJ10" s="49"/>
      <c r="FK10" s="39"/>
      <c r="FL10" s="49"/>
      <c r="FM10" s="49"/>
      <c r="FN10" s="39"/>
      <c r="FO10" s="49"/>
      <c r="FP10" s="49"/>
      <c r="FQ10" s="39"/>
      <c r="FR10" s="49"/>
      <c r="FS10" s="49"/>
      <c r="FT10" s="39"/>
      <c r="FU10" s="49"/>
      <c r="FV10" s="49"/>
      <c r="FW10" s="39"/>
      <c r="FX10" s="49"/>
      <c r="FY10" s="49"/>
      <c r="FZ10" s="39"/>
      <c r="GA10" s="49"/>
      <c r="GB10" s="49"/>
      <c r="GC10" s="39"/>
      <c r="GD10" s="49"/>
      <c r="GE10" s="49"/>
      <c r="GF10" s="39"/>
      <c r="GG10" s="49"/>
      <c r="GH10" s="49"/>
      <c r="GI10" s="39"/>
      <c r="GJ10" s="49"/>
      <c r="GK10" s="49"/>
      <c r="GL10" s="39"/>
      <c r="GM10" s="49"/>
      <c r="GN10" s="49"/>
      <c r="GO10" s="39"/>
      <c r="GP10" s="49"/>
      <c r="GQ10" s="49"/>
      <c r="GR10" s="39"/>
      <c r="GS10" s="49"/>
      <c r="GT10" s="49"/>
      <c r="GU10" s="39"/>
      <c r="GV10" s="49"/>
      <c r="GW10" s="49"/>
      <c r="GX10" s="39"/>
      <c r="GY10" s="49"/>
      <c r="GZ10" s="49"/>
      <c r="HA10" s="39"/>
      <c r="HB10" s="49"/>
      <c r="HC10" s="39"/>
      <c r="HD10" s="24"/>
      <c r="HE10" s="28"/>
      <c r="HF10" s="28"/>
      <c r="HG10" s="28"/>
      <c r="HH10" s="39"/>
      <c r="HI10" s="70"/>
      <c r="HJ10" s="39"/>
      <c r="HK10" s="49"/>
      <c r="HL10" s="49"/>
      <c r="HM10" s="39"/>
      <c r="HN10" s="49"/>
      <c r="HO10" s="49"/>
      <c r="HP10" s="39"/>
      <c r="HQ10" s="49"/>
      <c r="HR10" s="39"/>
      <c r="HS10" s="39"/>
      <c r="HT10" s="49"/>
      <c r="HU10" s="49"/>
      <c r="HV10" s="39"/>
      <c r="HW10" s="49"/>
      <c r="HX10" s="49"/>
      <c r="HY10" s="39"/>
      <c r="HZ10" s="49"/>
      <c r="IA10" s="49"/>
      <c r="IB10" s="39"/>
      <c r="IC10" s="49"/>
      <c r="ID10" s="49"/>
      <c r="IE10" s="39"/>
      <c r="IF10" s="49"/>
      <c r="IG10" s="49"/>
      <c r="IH10" s="39"/>
      <c r="II10" s="49"/>
      <c r="IJ10" s="49"/>
      <c r="IK10" s="39"/>
      <c r="IL10" s="49"/>
      <c r="IM10" s="49"/>
      <c r="IN10" s="39"/>
      <c r="IO10" s="49"/>
      <c r="IP10" s="49"/>
      <c r="IQ10" s="39"/>
      <c r="IR10" s="49"/>
      <c r="IS10" s="49"/>
      <c r="IT10" s="39"/>
      <c r="IU10" s="49"/>
    </row>
    <row r="11" spans="1:255" s="83" customFormat="1" ht="15.75" customHeight="1" thickBo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24"/>
      <c r="HE11" s="24"/>
      <c r="HF11" s="24"/>
      <c r="HG11" s="24"/>
      <c r="HH11" s="39"/>
      <c r="HI11" s="70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</row>
    <row r="12" spans="1:255" ht="16.5" customHeight="1" thickTop="1">
      <c r="A12" s="91" t="s">
        <v>2</v>
      </c>
      <c r="B12" s="70"/>
      <c r="C12" s="27"/>
      <c r="D12" s="24"/>
      <c r="E12" s="24"/>
      <c r="F12" s="27"/>
      <c r="G12" s="24"/>
      <c r="H12" s="24"/>
      <c r="I12" s="27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91"/>
      <c r="BU12" s="24"/>
      <c r="BV12" s="27"/>
      <c r="BW12" s="24"/>
      <c r="BX12" s="24"/>
      <c r="BY12" s="27"/>
      <c r="BZ12" s="24"/>
      <c r="CA12" s="24"/>
      <c r="CB12" s="27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91"/>
      <c r="EO12" s="24"/>
      <c r="EP12" s="27"/>
      <c r="EQ12" s="32"/>
      <c r="ER12" s="32"/>
      <c r="ES12" s="33"/>
      <c r="ET12" s="32"/>
      <c r="EU12" s="32"/>
      <c r="EV12" s="33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24"/>
      <c r="HE12" s="24"/>
      <c r="HF12" s="24"/>
      <c r="HG12" s="24"/>
      <c r="HH12" s="31"/>
      <c r="HI12" s="71"/>
      <c r="HJ12" s="33"/>
      <c r="HK12" s="32"/>
      <c r="HL12" s="32"/>
      <c r="HM12" s="33"/>
      <c r="HN12" s="32"/>
      <c r="HO12" s="32"/>
      <c r="HP12" s="33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</row>
    <row r="13" spans="1:255" ht="15.75" customHeight="1">
      <c r="A13" s="35">
        <v>1</v>
      </c>
      <c r="B13" s="73" t="s">
        <v>14</v>
      </c>
      <c r="C13" s="37">
        <v>107.74</v>
      </c>
      <c r="D13" s="38">
        <v>76.99</v>
      </c>
      <c r="E13" s="39"/>
      <c r="F13" s="37">
        <v>108.55</v>
      </c>
      <c r="G13" s="38">
        <v>77.27</v>
      </c>
      <c r="H13" s="39"/>
      <c r="I13" s="37">
        <v>108.62</v>
      </c>
      <c r="J13" s="38">
        <v>77.95</v>
      </c>
      <c r="K13" s="39"/>
      <c r="L13" s="37">
        <v>108.41</v>
      </c>
      <c r="M13" s="38">
        <v>77.6</v>
      </c>
      <c r="N13" s="39"/>
      <c r="O13" s="37">
        <v>106.35</v>
      </c>
      <c r="P13" s="38">
        <v>80.43</v>
      </c>
      <c r="Q13" s="39"/>
      <c r="R13" s="37">
        <v>108.6</v>
      </c>
      <c r="S13" s="38">
        <v>78.92</v>
      </c>
      <c r="T13" s="39"/>
      <c r="U13" s="37">
        <v>108.09</v>
      </c>
      <c r="V13" s="38">
        <v>79.91</v>
      </c>
      <c r="W13" s="39"/>
      <c r="X13" s="37">
        <v>107.46</v>
      </c>
      <c r="Y13" s="38">
        <v>80.89</v>
      </c>
      <c r="Z13" s="39"/>
      <c r="AA13" s="37">
        <v>106.76</v>
      </c>
      <c r="AB13" s="38">
        <v>82.82</v>
      </c>
      <c r="AC13" s="39"/>
      <c r="AD13" s="37">
        <v>107.44</v>
      </c>
      <c r="AE13" s="38">
        <v>81.43</v>
      </c>
      <c r="AF13" s="39"/>
      <c r="AG13" s="37">
        <v>104.87</v>
      </c>
      <c r="AH13" s="38">
        <v>82.63</v>
      </c>
      <c r="AI13" s="39"/>
      <c r="AJ13" s="37">
        <v>104.37</v>
      </c>
      <c r="AK13" s="38">
        <v>83.19</v>
      </c>
      <c r="AL13" s="39"/>
      <c r="AM13" s="37">
        <v>105.6</v>
      </c>
      <c r="AN13" s="38">
        <v>82.27</v>
      </c>
      <c r="AO13" s="39"/>
      <c r="AP13" s="37">
        <v>104.49</v>
      </c>
      <c r="AQ13" s="38">
        <v>81.95</v>
      </c>
      <c r="AR13" s="39"/>
      <c r="AS13" s="37">
        <v>107.42</v>
      </c>
      <c r="AT13" s="38">
        <v>81</v>
      </c>
      <c r="AU13" s="39"/>
      <c r="AV13" s="37">
        <v>106.5</v>
      </c>
      <c r="AW13" s="38">
        <v>80.01</v>
      </c>
      <c r="AX13" s="39"/>
      <c r="AY13" s="37">
        <v>105.52</v>
      </c>
      <c r="AZ13" s="38">
        <v>79.79</v>
      </c>
      <c r="BA13" s="39"/>
      <c r="BB13" s="37">
        <v>106.22</v>
      </c>
      <c r="BC13" s="38">
        <v>79.58</v>
      </c>
      <c r="BD13" s="39"/>
      <c r="BE13" s="37">
        <v>105.95</v>
      </c>
      <c r="BF13" s="38">
        <v>79.55</v>
      </c>
      <c r="BG13" s="39"/>
      <c r="BH13" s="37">
        <v>105.41</v>
      </c>
      <c r="BI13" s="38">
        <v>80.67</v>
      </c>
      <c r="BJ13" s="39"/>
      <c r="BK13" s="37">
        <v>106.31</v>
      </c>
      <c r="BL13" s="38">
        <v>81.25</v>
      </c>
      <c r="BM13" s="38"/>
      <c r="BN13" s="37">
        <f>(C13+F13+I13+L13+O13+R13+U13+X13+AA13+AD13+AG13+AJ13+AM13+AP13+AS13+AV13+AY13+BB13+BE13+BH13+BK13)/21</f>
        <v>106.6990476190476</v>
      </c>
      <c r="BO13" s="37">
        <f>(D13+G13+J13+M13+P13+S13+V13+Y13+AB13+AE13+AH13+AK13+AN13+AQ13+AT13+AW13+AZ13+BC13+BF13+BI13+BL13)/21</f>
        <v>80.29047619047618</v>
      </c>
      <c r="BP13" s="25"/>
      <c r="BQ13" s="25"/>
      <c r="BR13" s="25"/>
      <c r="BS13" s="89"/>
      <c r="BT13" s="40"/>
      <c r="BU13" s="40"/>
      <c r="BV13" s="25"/>
      <c r="BW13" s="26"/>
      <c r="BX13" s="24"/>
      <c r="BY13" s="25"/>
      <c r="BZ13" s="25"/>
      <c r="CA13" s="24"/>
      <c r="CB13" s="25"/>
      <c r="CC13" s="26"/>
      <c r="CD13" s="24"/>
      <c r="CE13" s="25"/>
      <c r="CF13" s="26"/>
      <c r="CG13" s="24"/>
      <c r="CH13" s="25"/>
      <c r="CI13" s="26"/>
      <c r="CJ13" s="24"/>
      <c r="CK13" s="25"/>
      <c r="CL13" s="26"/>
      <c r="CM13" s="24"/>
      <c r="CN13" s="25"/>
      <c r="CO13" s="26"/>
      <c r="CP13" s="24"/>
      <c r="CQ13" s="25"/>
      <c r="CR13" s="26"/>
      <c r="CS13" s="24"/>
      <c r="CT13" s="25"/>
      <c r="CU13" s="26"/>
      <c r="CV13" s="24"/>
      <c r="CW13" s="25"/>
      <c r="CX13" s="26"/>
      <c r="CY13" s="24"/>
      <c r="CZ13" s="25"/>
      <c r="DA13" s="26"/>
      <c r="DB13" s="24"/>
      <c r="DC13" s="25"/>
      <c r="DD13" s="26"/>
      <c r="DE13" s="24"/>
      <c r="DF13" s="25"/>
      <c r="DG13" s="26"/>
      <c r="DH13" s="24"/>
      <c r="DI13" s="25"/>
      <c r="DJ13" s="26"/>
      <c r="DK13" s="24"/>
      <c r="DL13" s="25"/>
      <c r="DM13" s="26"/>
      <c r="DN13" s="24"/>
      <c r="DO13" s="25"/>
      <c r="DP13" s="26"/>
      <c r="DQ13" s="24"/>
      <c r="DR13" s="25"/>
      <c r="DS13" s="26"/>
      <c r="DT13" s="24"/>
      <c r="DU13" s="25"/>
      <c r="DV13" s="26"/>
      <c r="DW13" s="24"/>
      <c r="DX13" s="25"/>
      <c r="DY13" s="26"/>
      <c r="DZ13" s="24"/>
      <c r="EA13" s="25"/>
      <c r="EB13" s="26"/>
      <c r="EC13" s="24"/>
      <c r="ED13" s="25"/>
      <c r="EE13" s="26"/>
      <c r="EF13" s="26"/>
      <c r="EG13" s="25"/>
      <c r="EH13" s="25"/>
      <c r="EI13" s="25"/>
      <c r="EJ13" s="25"/>
      <c r="EK13" s="25"/>
      <c r="EL13" s="25"/>
      <c r="EM13" s="89"/>
      <c r="EN13" s="40"/>
      <c r="EO13" s="41"/>
      <c r="EP13" s="25"/>
      <c r="EQ13" s="38"/>
      <c r="ER13" s="39"/>
      <c r="ES13" s="37"/>
      <c r="ET13" s="38"/>
      <c r="EU13" s="39"/>
      <c r="EV13" s="37"/>
      <c r="EW13" s="38"/>
      <c r="EX13" s="39"/>
      <c r="EY13" s="37"/>
      <c r="EZ13" s="38"/>
      <c r="FA13" s="39"/>
      <c r="FB13" s="37"/>
      <c r="FC13" s="38"/>
      <c r="FD13" s="39"/>
      <c r="FE13" s="37"/>
      <c r="FF13" s="38"/>
      <c r="FG13" s="39"/>
      <c r="FH13" s="37"/>
      <c r="FI13" s="38"/>
      <c r="FJ13" s="39"/>
      <c r="FK13" s="37"/>
      <c r="FL13" s="38"/>
      <c r="FM13" s="39"/>
      <c r="FN13" s="37"/>
      <c r="FO13" s="38"/>
      <c r="FP13" s="39"/>
      <c r="FQ13" s="37"/>
      <c r="FR13" s="38"/>
      <c r="FS13" s="39"/>
      <c r="FT13" s="37"/>
      <c r="FU13" s="38"/>
      <c r="FV13" s="39"/>
      <c r="FW13" s="37"/>
      <c r="FX13" s="38"/>
      <c r="FY13" s="39"/>
      <c r="FZ13" s="37"/>
      <c r="GA13" s="38"/>
      <c r="GB13" s="39"/>
      <c r="GC13" s="37"/>
      <c r="GD13" s="38"/>
      <c r="GE13" s="39"/>
      <c r="GF13" s="37"/>
      <c r="GG13" s="38"/>
      <c r="GH13" s="39"/>
      <c r="GI13" s="37"/>
      <c r="GJ13" s="38"/>
      <c r="GK13" s="39"/>
      <c r="GL13" s="37"/>
      <c r="GM13" s="38"/>
      <c r="GN13" s="39"/>
      <c r="GO13" s="37"/>
      <c r="GP13" s="38"/>
      <c r="GQ13" s="39"/>
      <c r="GR13" s="37"/>
      <c r="GS13" s="38"/>
      <c r="GT13" s="39"/>
      <c r="GU13" s="37"/>
      <c r="GV13" s="38"/>
      <c r="GW13" s="39"/>
      <c r="GX13" s="37"/>
      <c r="GY13" s="38"/>
      <c r="GZ13" s="38"/>
      <c r="HA13" s="37"/>
      <c r="HB13" s="37"/>
      <c r="HC13" s="37"/>
      <c r="HD13" s="25"/>
      <c r="HE13" s="25"/>
      <c r="HF13" s="25"/>
      <c r="HG13" s="89"/>
      <c r="HH13" s="35"/>
      <c r="HI13" s="73"/>
      <c r="HJ13" s="37"/>
      <c r="HK13" s="38"/>
      <c r="HL13" s="39"/>
      <c r="HM13" s="37"/>
      <c r="HN13" s="38"/>
      <c r="HO13" s="39"/>
      <c r="HP13" s="37"/>
      <c r="HQ13" s="38"/>
      <c r="HR13" s="39"/>
      <c r="HS13" s="37"/>
      <c r="HT13" s="38"/>
      <c r="HU13" s="39"/>
      <c r="HV13" s="37"/>
      <c r="HW13" s="38"/>
      <c r="HX13" s="39"/>
      <c r="HY13" s="37"/>
      <c r="HZ13" s="38"/>
      <c r="IA13" s="39"/>
      <c r="IB13" s="37"/>
      <c r="IC13" s="38"/>
      <c r="ID13" s="39"/>
      <c r="IE13" s="37"/>
      <c r="IF13" s="38"/>
      <c r="IG13" s="39"/>
      <c r="IH13" s="37"/>
      <c r="II13" s="38"/>
      <c r="IJ13" s="39"/>
      <c r="IK13" s="37"/>
      <c r="IL13" s="38"/>
      <c r="IM13" s="39"/>
      <c r="IN13" s="37"/>
      <c r="IO13" s="38"/>
      <c r="IP13" s="39"/>
      <c r="IQ13" s="37"/>
      <c r="IR13" s="38"/>
      <c r="IS13" s="39"/>
      <c r="IT13" s="37"/>
      <c r="IU13" s="38"/>
    </row>
    <row r="14" spans="1:255" s="47" customFormat="1" ht="15.75" customHeight="1">
      <c r="A14" s="40">
        <v>2</v>
      </c>
      <c r="B14" s="73" t="s">
        <v>15</v>
      </c>
      <c r="C14" s="25">
        <v>0.5544</v>
      </c>
      <c r="D14" s="26">
        <v>149.63</v>
      </c>
      <c r="E14" s="24"/>
      <c r="F14" s="25">
        <v>0.5615</v>
      </c>
      <c r="G14" s="26">
        <v>149.38</v>
      </c>
      <c r="H14" s="24"/>
      <c r="I14" s="25">
        <v>0.5653</v>
      </c>
      <c r="J14" s="26">
        <v>149.79</v>
      </c>
      <c r="K14" s="24"/>
      <c r="L14" s="25">
        <v>0.5608</v>
      </c>
      <c r="M14" s="26">
        <v>150</v>
      </c>
      <c r="N14" s="24"/>
      <c r="O14" s="25">
        <v>0.5672</v>
      </c>
      <c r="P14" s="26">
        <v>150.82</v>
      </c>
      <c r="Q14" s="24"/>
      <c r="R14" s="25">
        <v>0.5659</v>
      </c>
      <c r="S14" s="26">
        <v>151.46</v>
      </c>
      <c r="T14" s="24"/>
      <c r="U14" s="25">
        <v>0.5669</v>
      </c>
      <c r="V14" s="26">
        <v>152.37</v>
      </c>
      <c r="W14" s="24"/>
      <c r="X14" s="25">
        <v>0.5684</v>
      </c>
      <c r="Y14" s="26">
        <v>152.93</v>
      </c>
      <c r="Z14" s="24"/>
      <c r="AA14" s="25">
        <v>0.572</v>
      </c>
      <c r="AB14" s="26">
        <v>154.58</v>
      </c>
      <c r="AC14" s="24"/>
      <c r="AD14" s="25">
        <v>0.565</v>
      </c>
      <c r="AE14" s="26">
        <v>154.84</v>
      </c>
      <c r="AF14" s="24"/>
      <c r="AG14" s="25">
        <v>0.5558</v>
      </c>
      <c r="AH14" s="26">
        <v>155.93</v>
      </c>
      <c r="AI14" s="24"/>
      <c r="AJ14" s="25">
        <v>0.5582</v>
      </c>
      <c r="AK14" s="26">
        <v>155.55</v>
      </c>
      <c r="AL14" s="24"/>
      <c r="AM14" s="25">
        <v>0.5597</v>
      </c>
      <c r="AN14" s="26">
        <v>155.22</v>
      </c>
      <c r="AO14" s="24"/>
      <c r="AP14" s="25">
        <v>0.55</v>
      </c>
      <c r="AQ14" s="26">
        <v>155.69</v>
      </c>
      <c r="AR14" s="24"/>
      <c r="AS14" s="25">
        <v>0.5569</v>
      </c>
      <c r="AT14" s="26">
        <v>156.24</v>
      </c>
      <c r="AU14" s="24"/>
      <c r="AV14" s="25">
        <v>0.5427</v>
      </c>
      <c r="AW14" s="26">
        <v>157.04</v>
      </c>
      <c r="AX14" s="24"/>
      <c r="AY14" s="25">
        <v>0.5395</v>
      </c>
      <c r="AZ14" s="26">
        <v>156.07</v>
      </c>
      <c r="BA14" s="24"/>
      <c r="BB14" s="25">
        <v>0.5382</v>
      </c>
      <c r="BC14" s="26">
        <v>157.06</v>
      </c>
      <c r="BD14" s="24"/>
      <c r="BE14" s="25">
        <v>0.5381</v>
      </c>
      <c r="BF14" s="26">
        <v>156.63</v>
      </c>
      <c r="BG14" s="24"/>
      <c r="BH14" s="25">
        <v>0.5447</v>
      </c>
      <c r="BI14" s="26">
        <v>156.11</v>
      </c>
      <c r="BJ14" s="24"/>
      <c r="BK14" s="25">
        <v>0.5552</v>
      </c>
      <c r="BL14" s="26">
        <v>155.56</v>
      </c>
      <c r="BM14" s="26"/>
      <c r="BN14" s="37">
        <f aca="true" t="shared" si="0" ref="BN14:BN25">(C14+F14+I14+L14+O14+R14+U14+X14+AA14+AD14+AG14+AJ14+AM14+AP14+AS14+AV14+AY14+BB14+BE14+BH14+BK14)/21</f>
        <v>0.5564952380952382</v>
      </c>
      <c r="BO14" s="37">
        <f aca="true" t="shared" si="1" ref="BO14:BO25">(D14+G14+J14+M14+P14+S14+V14+Y14+AB14+AE14+AH14+AK14+AN14+AQ14+AT14+AW14+AZ14+BC14+BF14+BI14+BL14)/21</f>
        <v>153.94761904761904</v>
      </c>
      <c r="BP14" s="25"/>
      <c r="BQ14" s="25"/>
      <c r="BR14" s="25"/>
      <c r="BS14" s="89"/>
      <c r="BT14" s="40"/>
      <c r="BU14" s="40"/>
      <c r="BV14" s="25"/>
      <c r="BW14" s="26"/>
      <c r="BX14" s="24"/>
      <c r="BY14" s="25"/>
      <c r="BZ14" s="25"/>
      <c r="CA14" s="24"/>
      <c r="CB14" s="25"/>
      <c r="CC14" s="26"/>
      <c r="CD14" s="24"/>
      <c r="CE14" s="25"/>
      <c r="CF14" s="26"/>
      <c r="CG14" s="24"/>
      <c r="CH14" s="25"/>
      <c r="CI14" s="26"/>
      <c r="CJ14" s="24"/>
      <c r="CK14" s="25"/>
      <c r="CL14" s="26"/>
      <c r="CM14" s="24"/>
      <c r="CN14" s="25"/>
      <c r="CO14" s="26"/>
      <c r="CP14" s="24"/>
      <c r="CQ14" s="25"/>
      <c r="CR14" s="26"/>
      <c r="CS14" s="24"/>
      <c r="CT14" s="25"/>
      <c r="CU14" s="26"/>
      <c r="CV14" s="24"/>
      <c r="CW14" s="25"/>
      <c r="CX14" s="26"/>
      <c r="CY14" s="24"/>
      <c r="CZ14" s="25"/>
      <c r="DA14" s="26"/>
      <c r="DB14" s="24"/>
      <c r="DC14" s="25"/>
      <c r="DD14" s="26"/>
      <c r="DE14" s="24"/>
      <c r="DF14" s="25"/>
      <c r="DG14" s="26"/>
      <c r="DH14" s="24"/>
      <c r="DI14" s="25"/>
      <c r="DJ14" s="26"/>
      <c r="DK14" s="24"/>
      <c r="DL14" s="25"/>
      <c r="DM14" s="26"/>
      <c r="DN14" s="24"/>
      <c r="DO14" s="25"/>
      <c r="DP14" s="26"/>
      <c r="DQ14" s="24"/>
      <c r="DR14" s="25"/>
      <c r="DS14" s="26"/>
      <c r="DT14" s="24"/>
      <c r="DU14" s="25"/>
      <c r="DV14" s="26"/>
      <c r="DW14" s="24"/>
      <c r="DX14" s="25"/>
      <c r="DY14" s="26"/>
      <c r="DZ14" s="24"/>
      <c r="EA14" s="25"/>
      <c r="EB14" s="26"/>
      <c r="EC14" s="24"/>
      <c r="ED14" s="25"/>
      <c r="EE14" s="26"/>
      <c r="EF14" s="26"/>
      <c r="EG14" s="25"/>
      <c r="EH14" s="25"/>
      <c r="EI14" s="25"/>
      <c r="EJ14" s="25"/>
      <c r="EK14" s="25"/>
      <c r="EL14" s="25"/>
      <c r="EM14" s="89"/>
      <c r="EN14" s="40"/>
      <c r="EO14" s="41"/>
      <c r="EP14" s="25"/>
      <c r="EQ14" s="26"/>
      <c r="ER14" s="24"/>
      <c r="ES14" s="25"/>
      <c r="ET14" s="26"/>
      <c r="EU14" s="24"/>
      <c r="EV14" s="25"/>
      <c r="EW14" s="26"/>
      <c r="EX14" s="24"/>
      <c r="EY14" s="25"/>
      <c r="EZ14" s="26"/>
      <c r="FA14" s="24"/>
      <c r="FB14" s="25"/>
      <c r="FC14" s="26"/>
      <c r="FD14" s="24"/>
      <c r="FE14" s="25"/>
      <c r="FF14" s="26"/>
      <c r="FG14" s="24"/>
      <c r="FH14" s="25"/>
      <c r="FI14" s="26"/>
      <c r="FJ14" s="24"/>
      <c r="FK14" s="25"/>
      <c r="FL14" s="26"/>
      <c r="FM14" s="24"/>
      <c r="FN14" s="25"/>
      <c r="FO14" s="26"/>
      <c r="FP14" s="24"/>
      <c r="FQ14" s="25"/>
      <c r="FR14" s="26"/>
      <c r="FS14" s="24"/>
      <c r="FT14" s="25"/>
      <c r="FU14" s="26"/>
      <c r="FV14" s="24"/>
      <c r="FW14" s="25"/>
      <c r="FX14" s="26"/>
      <c r="FY14" s="24"/>
      <c r="FZ14" s="25"/>
      <c r="GA14" s="26"/>
      <c r="GB14" s="24"/>
      <c r="GC14" s="25"/>
      <c r="GD14" s="26"/>
      <c r="GE14" s="24"/>
      <c r="GF14" s="25"/>
      <c r="GG14" s="26"/>
      <c r="GH14" s="24"/>
      <c r="GI14" s="25"/>
      <c r="GJ14" s="26"/>
      <c r="GK14" s="24"/>
      <c r="GL14" s="25"/>
      <c r="GM14" s="26"/>
      <c r="GN14" s="24"/>
      <c r="GO14" s="25"/>
      <c r="GP14" s="26"/>
      <c r="GQ14" s="24"/>
      <c r="GR14" s="25"/>
      <c r="GS14" s="26"/>
      <c r="GT14" s="24"/>
      <c r="GU14" s="25"/>
      <c r="GV14" s="26"/>
      <c r="GW14" s="24"/>
      <c r="GX14" s="25"/>
      <c r="GY14" s="26"/>
      <c r="GZ14" s="26"/>
      <c r="HA14" s="37"/>
      <c r="HB14" s="37"/>
      <c r="HC14" s="25"/>
      <c r="HD14" s="25"/>
      <c r="HE14" s="25"/>
      <c r="HF14" s="25"/>
      <c r="HG14" s="89"/>
      <c r="HH14" s="40"/>
      <c r="HI14" s="73"/>
      <c r="HJ14" s="25"/>
      <c r="HK14" s="26"/>
      <c r="HL14" s="24"/>
      <c r="HM14" s="25"/>
      <c r="HN14" s="26"/>
      <c r="HO14" s="24"/>
      <c r="HP14" s="25"/>
      <c r="HQ14" s="26"/>
      <c r="HR14" s="24"/>
      <c r="HS14" s="25"/>
      <c r="HT14" s="26"/>
      <c r="HU14" s="24"/>
      <c r="HV14" s="25"/>
      <c r="HW14" s="26"/>
      <c r="HX14" s="24"/>
      <c r="HY14" s="25"/>
      <c r="HZ14" s="26"/>
      <c r="IA14" s="24"/>
      <c r="IB14" s="25"/>
      <c r="IC14" s="26"/>
      <c r="ID14" s="24"/>
      <c r="IE14" s="25"/>
      <c r="IF14" s="26"/>
      <c r="IG14" s="24"/>
      <c r="IH14" s="25"/>
      <c r="II14" s="26"/>
      <c r="IJ14" s="24"/>
      <c r="IK14" s="25"/>
      <c r="IL14" s="26"/>
      <c r="IM14" s="24"/>
      <c r="IN14" s="25"/>
      <c r="IO14" s="26"/>
      <c r="IP14" s="24"/>
      <c r="IQ14" s="25"/>
      <c r="IR14" s="26"/>
      <c r="IS14" s="24"/>
      <c r="IT14" s="25"/>
      <c r="IU14" s="26"/>
    </row>
    <row r="15" spans="1:255" ht="15.75" customHeight="1">
      <c r="A15" s="35">
        <v>3</v>
      </c>
      <c r="B15" s="73" t="s">
        <v>16</v>
      </c>
      <c r="C15" s="37">
        <v>1.0976</v>
      </c>
      <c r="D15" s="38">
        <v>75.58</v>
      </c>
      <c r="E15" s="39"/>
      <c r="F15" s="37">
        <v>1.112</v>
      </c>
      <c r="G15" s="38">
        <v>75.43</v>
      </c>
      <c r="H15" s="39"/>
      <c r="I15" s="37">
        <v>1.1158</v>
      </c>
      <c r="J15" s="38">
        <v>75.88</v>
      </c>
      <c r="K15" s="39"/>
      <c r="L15" s="37">
        <v>1.1027</v>
      </c>
      <c r="M15" s="38">
        <v>76.29</v>
      </c>
      <c r="N15" s="39"/>
      <c r="O15" s="37">
        <v>1.1143</v>
      </c>
      <c r="P15" s="38">
        <v>76.76</v>
      </c>
      <c r="Q15" s="39"/>
      <c r="R15" s="37">
        <v>1.1268</v>
      </c>
      <c r="S15" s="38">
        <v>76.06</v>
      </c>
      <c r="T15" s="39"/>
      <c r="U15" s="37">
        <v>1.1279</v>
      </c>
      <c r="V15" s="38">
        <v>76.58</v>
      </c>
      <c r="W15" s="39"/>
      <c r="X15" s="37">
        <v>1.1289</v>
      </c>
      <c r="Y15" s="38">
        <v>77</v>
      </c>
      <c r="Z15" s="39"/>
      <c r="AA15" s="37">
        <v>1.1404</v>
      </c>
      <c r="AB15" s="38">
        <v>77.53</v>
      </c>
      <c r="AC15" s="39"/>
      <c r="AD15" s="37">
        <v>1.1347</v>
      </c>
      <c r="AE15" s="38">
        <v>77.11</v>
      </c>
      <c r="AF15" s="39"/>
      <c r="AG15" s="37">
        <v>1.1144</v>
      </c>
      <c r="AH15" s="38">
        <v>77.76</v>
      </c>
      <c r="AI15" s="39"/>
      <c r="AJ15" s="37">
        <v>1.1101</v>
      </c>
      <c r="AK15" s="38">
        <v>78.22</v>
      </c>
      <c r="AL15" s="39"/>
      <c r="AM15" s="37">
        <v>1.1185</v>
      </c>
      <c r="AN15" s="38">
        <v>77.67</v>
      </c>
      <c r="AO15" s="39"/>
      <c r="AP15" s="37">
        <v>1.0971</v>
      </c>
      <c r="AQ15" s="38">
        <v>78.05</v>
      </c>
      <c r="AR15" s="39"/>
      <c r="AS15" s="37">
        <v>1.1238</v>
      </c>
      <c r="AT15" s="38">
        <v>77.42</v>
      </c>
      <c r="AU15" s="39"/>
      <c r="AV15" s="37">
        <v>1.0976</v>
      </c>
      <c r="AW15" s="38">
        <v>77.64</v>
      </c>
      <c r="AX15" s="39"/>
      <c r="AY15" s="37">
        <v>1.0816</v>
      </c>
      <c r="AZ15" s="38">
        <v>77.85</v>
      </c>
      <c r="BA15" s="39"/>
      <c r="BB15" s="37">
        <v>1.0875</v>
      </c>
      <c r="BC15" s="38">
        <v>77.73</v>
      </c>
      <c r="BD15" s="39"/>
      <c r="BE15" s="37">
        <v>1.0837</v>
      </c>
      <c r="BF15" s="38">
        <v>77.77</v>
      </c>
      <c r="BG15" s="39"/>
      <c r="BH15" s="37">
        <v>1.0894</v>
      </c>
      <c r="BI15" s="38">
        <v>78.06</v>
      </c>
      <c r="BJ15" s="39"/>
      <c r="BK15" s="37">
        <v>1.1068</v>
      </c>
      <c r="BL15" s="38">
        <v>78.04</v>
      </c>
      <c r="BM15" s="38"/>
      <c r="BN15" s="37">
        <f t="shared" si="0"/>
        <v>1.1100761904761907</v>
      </c>
      <c r="BO15" s="37">
        <f t="shared" si="1"/>
        <v>77.16333333333334</v>
      </c>
      <c r="BP15" s="25"/>
      <c r="BQ15" s="25"/>
      <c r="BR15" s="25"/>
      <c r="BS15" s="89"/>
      <c r="BT15" s="40"/>
      <c r="BU15" s="40"/>
      <c r="BV15" s="25"/>
      <c r="BW15" s="26"/>
      <c r="BX15" s="24"/>
      <c r="BY15" s="25"/>
      <c r="BZ15" s="25"/>
      <c r="CA15" s="24"/>
      <c r="CB15" s="25"/>
      <c r="CC15" s="26"/>
      <c r="CD15" s="24"/>
      <c r="CE15" s="25"/>
      <c r="CF15" s="26"/>
      <c r="CG15" s="24"/>
      <c r="CH15" s="25"/>
      <c r="CI15" s="26"/>
      <c r="CJ15" s="24"/>
      <c r="CK15" s="25"/>
      <c r="CL15" s="26"/>
      <c r="CM15" s="24"/>
      <c r="CN15" s="25"/>
      <c r="CO15" s="26"/>
      <c r="CP15" s="24"/>
      <c r="CQ15" s="25"/>
      <c r="CR15" s="26"/>
      <c r="CS15" s="24"/>
      <c r="CT15" s="25"/>
      <c r="CU15" s="26"/>
      <c r="CV15" s="24"/>
      <c r="CW15" s="25"/>
      <c r="CX15" s="26"/>
      <c r="CY15" s="24"/>
      <c r="CZ15" s="25"/>
      <c r="DA15" s="26"/>
      <c r="DB15" s="24"/>
      <c r="DC15" s="25"/>
      <c r="DD15" s="26"/>
      <c r="DE15" s="24"/>
      <c r="DF15" s="25"/>
      <c r="DG15" s="26"/>
      <c r="DH15" s="24"/>
      <c r="DI15" s="25"/>
      <c r="DJ15" s="26"/>
      <c r="DK15" s="24"/>
      <c r="DL15" s="25"/>
      <c r="DM15" s="26"/>
      <c r="DN15" s="24"/>
      <c r="DO15" s="25"/>
      <c r="DP15" s="26"/>
      <c r="DQ15" s="24"/>
      <c r="DR15" s="25"/>
      <c r="DS15" s="26"/>
      <c r="DT15" s="24"/>
      <c r="DU15" s="25"/>
      <c r="DV15" s="26"/>
      <c r="DW15" s="24"/>
      <c r="DX15" s="25"/>
      <c r="DY15" s="26"/>
      <c r="DZ15" s="24"/>
      <c r="EA15" s="25"/>
      <c r="EB15" s="26"/>
      <c r="EC15" s="24"/>
      <c r="ED15" s="25"/>
      <c r="EE15" s="26"/>
      <c r="EF15" s="26"/>
      <c r="EG15" s="25"/>
      <c r="EH15" s="25"/>
      <c r="EI15" s="25"/>
      <c r="EJ15" s="25"/>
      <c r="EK15" s="25"/>
      <c r="EL15" s="25"/>
      <c r="EM15" s="89"/>
      <c r="EN15" s="40"/>
      <c r="EO15" s="41"/>
      <c r="EP15" s="25"/>
      <c r="EQ15" s="38"/>
      <c r="ER15" s="39"/>
      <c r="ES15" s="37"/>
      <c r="ET15" s="38"/>
      <c r="EU15" s="39"/>
      <c r="EV15" s="37"/>
      <c r="EW15" s="38"/>
      <c r="EX15" s="39"/>
      <c r="EY15" s="37"/>
      <c r="EZ15" s="38"/>
      <c r="FA15" s="39"/>
      <c r="FB15" s="37"/>
      <c r="FC15" s="38"/>
      <c r="FD15" s="39"/>
      <c r="FE15" s="37"/>
      <c r="FF15" s="38"/>
      <c r="FG15" s="39"/>
      <c r="FH15" s="37"/>
      <c r="FI15" s="38"/>
      <c r="FJ15" s="39"/>
      <c r="FK15" s="37"/>
      <c r="FL15" s="38"/>
      <c r="FM15" s="39"/>
      <c r="FN15" s="37"/>
      <c r="FO15" s="38"/>
      <c r="FP15" s="39"/>
      <c r="FQ15" s="37"/>
      <c r="FR15" s="38"/>
      <c r="FS15" s="39"/>
      <c r="FT15" s="37"/>
      <c r="FU15" s="38"/>
      <c r="FV15" s="39"/>
      <c r="FW15" s="37"/>
      <c r="FX15" s="38"/>
      <c r="FY15" s="39"/>
      <c r="FZ15" s="37"/>
      <c r="GA15" s="38"/>
      <c r="GB15" s="39"/>
      <c r="GC15" s="37"/>
      <c r="GD15" s="38"/>
      <c r="GE15" s="39"/>
      <c r="GF15" s="37"/>
      <c r="GG15" s="38"/>
      <c r="GH15" s="39"/>
      <c r="GI15" s="37"/>
      <c r="GJ15" s="38"/>
      <c r="GK15" s="39"/>
      <c r="GL15" s="37"/>
      <c r="GM15" s="38"/>
      <c r="GN15" s="39"/>
      <c r="GO15" s="37"/>
      <c r="GP15" s="38"/>
      <c r="GQ15" s="39"/>
      <c r="GR15" s="37"/>
      <c r="GS15" s="38"/>
      <c r="GT15" s="39"/>
      <c r="GU15" s="37"/>
      <c r="GV15" s="38"/>
      <c r="GW15" s="39"/>
      <c r="GX15" s="37"/>
      <c r="GY15" s="38"/>
      <c r="GZ15" s="38"/>
      <c r="HA15" s="37"/>
      <c r="HB15" s="37"/>
      <c r="HC15" s="37"/>
      <c r="HD15" s="25"/>
      <c r="HE15" s="25"/>
      <c r="HF15" s="25"/>
      <c r="HG15" s="89"/>
      <c r="HH15" s="35"/>
      <c r="HI15" s="73"/>
      <c r="HJ15" s="37"/>
      <c r="HK15" s="38"/>
      <c r="HL15" s="39"/>
      <c r="HM15" s="37"/>
      <c r="HN15" s="38"/>
      <c r="HO15" s="39"/>
      <c r="HP15" s="37"/>
      <c r="HQ15" s="38"/>
      <c r="HR15" s="39"/>
      <c r="HS15" s="37"/>
      <c r="HT15" s="38"/>
      <c r="HU15" s="39"/>
      <c r="HV15" s="37"/>
      <c r="HW15" s="38"/>
      <c r="HX15" s="39"/>
      <c r="HY15" s="37"/>
      <c r="HZ15" s="38"/>
      <c r="IA15" s="39"/>
      <c r="IB15" s="37"/>
      <c r="IC15" s="38"/>
      <c r="ID15" s="39"/>
      <c r="IE15" s="37"/>
      <c r="IF15" s="38"/>
      <c r="IG15" s="39"/>
      <c r="IH15" s="37"/>
      <c r="II15" s="38"/>
      <c r="IJ15" s="39"/>
      <c r="IK15" s="37"/>
      <c r="IL15" s="38"/>
      <c r="IM15" s="39"/>
      <c r="IN15" s="37"/>
      <c r="IO15" s="38"/>
      <c r="IP15" s="39"/>
      <c r="IQ15" s="37"/>
      <c r="IR15" s="38"/>
      <c r="IS15" s="39"/>
      <c r="IT15" s="37"/>
      <c r="IU15" s="38"/>
    </row>
    <row r="16" spans="1:255" ht="15.75" customHeight="1">
      <c r="A16" s="35">
        <v>4</v>
      </c>
      <c r="B16" s="73" t="s">
        <v>17</v>
      </c>
      <c r="C16" s="37">
        <v>0.683</v>
      </c>
      <c r="D16" s="38">
        <v>121.53</v>
      </c>
      <c r="E16" s="39"/>
      <c r="F16" s="37">
        <v>0.6903</v>
      </c>
      <c r="G16" s="38">
        <v>121.59</v>
      </c>
      <c r="H16" s="39"/>
      <c r="I16" s="37">
        <v>0.6948</v>
      </c>
      <c r="J16" s="38">
        <v>121.81</v>
      </c>
      <c r="K16" s="39"/>
      <c r="L16" s="37">
        <v>0.6888</v>
      </c>
      <c r="M16" s="38">
        <v>122.11</v>
      </c>
      <c r="N16" s="39"/>
      <c r="O16" s="37">
        <v>0.7021</v>
      </c>
      <c r="P16" s="38">
        <v>121.87</v>
      </c>
      <c r="Q16" s="39"/>
      <c r="R16" s="37">
        <v>0.7032</v>
      </c>
      <c r="S16" s="38">
        <v>122</v>
      </c>
      <c r="T16" s="39"/>
      <c r="U16" s="37">
        <v>0.7047</v>
      </c>
      <c r="V16" s="38">
        <v>122.25</v>
      </c>
      <c r="W16" s="39"/>
      <c r="X16" s="37">
        <v>0.7086</v>
      </c>
      <c r="Y16" s="38">
        <v>122.76</v>
      </c>
      <c r="Z16" s="39"/>
      <c r="AA16" s="37">
        <v>0.7191</v>
      </c>
      <c r="AB16" s="38">
        <v>122.96</v>
      </c>
      <c r="AC16" s="39"/>
      <c r="AD16" s="37">
        <v>0.709</v>
      </c>
      <c r="AE16" s="38">
        <v>123.23</v>
      </c>
      <c r="AF16" s="39"/>
      <c r="AG16" s="37">
        <v>0.7013</v>
      </c>
      <c r="AH16" s="38">
        <v>123.52</v>
      </c>
      <c r="AI16" s="39"/>
      <c r="AJ16" s="37">
        <v>0.7025</v>
      </c>
      <c r="AK16" s="38">
        <v>123.59</v>
      </c>
      <c r="AL16" s="39"/>
      <c r="AM16" s="37">
        <v>0.7032</v>
      </c>
      <c r="AN16" s="38">
        <v>123.53</v>
      </c>
      <c r="AO16" s="39"/>
      <c r="AP16" s="37">
        <v>0.6932</v>
      </c>
      <c r="AQ16" s="38">
        <v>123.61</v>
      </c>
      <c r="AR16" s="39"/>
      <c r="AS16" s="37">
        <v>0.7045</v>
      </c>
      <c r="AT16" s="38">
        <v>123.57</v>
      </c>
      <c r="AU16" s="39"/>
      <c r="AV16" s="37">
        <v>0.6868</v>
      </c>
      <c r="AW16" s="38">
        <v>124.08</v>
      </c>
      <c r="AX16" s="39"/>
      <c r="AY16" s="37">
        <v>0.6788</v>
      </c>
      <c r="AZ16" s="38">
        <v>124.07</v>
      </c>
      <c r="BA16" s="39"/>
      <c r="BB16" s="37">
        <v>0.6819</v>
      </c>
      <c r="BC16" s="38">
        <v>123.99</v>
      </c>
      <c r="BD16" s="39"/>
      <c r="BE16" s="37">
        <v>0.6797</v>
      </c>
      <c r="BF16" s="38">
        <v>124.03</v>
      </c>
      <c r="BG16" s="39"/>
      <c r="BH16" s="37">
        <v>0.686</v>
      </c>
      <c r="BI16" s="38">
        <v>124.09</v>
      </c>
      <c r="BJ16" s="39"/>
      <c r="BK16" s="37">
        <v>0.698</v>
      </c>
      <c r="BL16" s="38">
        <v>123.89</v>
      </c>
      <c r="BM16" s="38"/>
      <c r="BN16" s="37">
        <f t="shared" si="0"/>
        <v>0.6961666666666667</v>
      </c>
      <c r="BO16" s="37">
        <f t="shared" si="1"/>
        <v>123.05142857142857</v>
      </c>
      <c r="BP16" s="25"/>
      <c r="BQ16" s="25"/>
      <c r="BR16" s="25"/>
      <c r="BS16" s="89"/>
      <c r="BT16" s="40"/>
      <c r="BU16" s="40"/>
      <c r="BV16" s="25"/>
      <c r="BW16" s="26"/>
      <c r="BX16" s="24"/>
      <c r="BY16" s="25"/>
      <c r="BZ16" s="25"/>
      <c r="CA16" s="24"/>
      <c r="CB16" s="25"/>
      <c r="CC16" s="26"/>
      <c r="CD16" s="24"/>
      <c r="CE16" s="25"/>
      <c r="CF16" s="26"/>
      <c r="CG16" s="24"/>
      <c r="CH16" s="25"/>
      <c r="CI16" s="26"/>
      <c r="CJ16" s="24"/>
      <c r="CK16" s="25"/>
      <c r="CL16" s="26"/>
      <c r="CM16" s="24"/>
      <c r="CN16" s="25"/>
      <c r="CO16" s="26"/>
      <c r="CP16" s="24"/>
      <c r="CQ16" s="25"/>
      <c r="CR16" s="26"/>
      <c r="CS16" s="24"/>
      <c r="CT16" s="25"/>
      <c r="CU16" s="26"/>
      <c r="CV16" s="24"/>
      <c r="CW16" s="25"/>
      <c r="CX16" s="26"/>
      <c r="CY16" s="24"/>
      <c r="CZ16" s="25"/>
      <c r="DA16" s="26"/>
      <c r="DB16" s="24"/>
      <c r="DC16" s="25"/>
      <c r="DD16" s="26"/>
      <c r="DE16" s="24"/>
      <c r="DF16" s="25"/>
      <c r="DG16" s="26"/>
      <c r="DH16" s="24"/>
      <c r="DI16" s="25"/>
      <c r="DJ16" s="26"/>
      <c r="DK16" s="24"/>
      <c r="DL16" s="25"/>
      <c r="DM16" s="26"/>
      <c r="DN16" s="24"/>
      <c r="DO16" s="25"/>
      <c r="DP16" s="26"/>
      <c r="DQ16" s="24"/>
      <c r="DR16" s="25"/>
      <c r="DS16" s="26"/>
      <c r="DT16" s="24"/>
      <c r="DU16" s="25"/>
      <c r="DV16" s="26"/>
      <c r="DW16" s="24"/>
      <c r="DX16" s="25"/>
      <c r="DY16" s="26"/>
      <c r="DZ16" s="24"/>
      <c r="EA16" s="25"/>
      <c r="EB16" s="26"/>
      <c r="EC16" s="24"/>
      <c r="ED16" s="25"/>
      <c r="EE16" s="26"/>
      <c r="EF16" s="26"/>
      <c r="EG16" s="25"/>
      <c r="EH16" s="25"/>
      <c r="EI16" s="25"/>
      <c r="EJ16" s="25"/>
      <c r="EK16" s="25"/>
      <c r="EL16" s="25"/>
      <c r="EM16" s="89"/>
      <c r="EN16" s="40"/>
      <c r="EO16" s="41"/>
      <c r="EP16" s="25"/>
      <c r="EQ16" s="38"/>
      <c r="ER16" s="39"/>
      <c r="ES16" s="37"/>
      <c r="ET16" s="38"/>
      <c r="EU16" s="39"/>
      <c r="EV16" s="37"/>
      <c r="EW16" s="38"/>
      <c r="EX16" s="39"/>
      <c r="EY16" s="37"/>
      <c r="EZ16" s="38"/>
      <c r="FA16" s="39"/>
      <c r="FB16" s="37"/>
      <c r="FC16" s="38"/>
      <c r="FD16" s="39"/>
      <c r="FE16" s="37"/>
      <c r="FF16" s="38"/>
      <c r="FG16" s="39"/>
      <c r="FH16" s="37"/>
      <c r="FI16" s="38"/>
      <c r="FJ16" s="39"/>
      <c r="FK16" s="37"/>
      <c r="FL16" s="38"/>
      <c r="FM16" s="39"/>
      <c r="FN16" s="37"/>
      <c r="FO16" s="38"/>
      <c r="FP16" s="39"/>
      <c r="FQ16" s="37"/>
      <c r="FR16" s="38"/>
      <c r="FS16" s="39"/>
      <c r="FT16" s="37"/>
      <c r="FU16" s="38"/>
      <c r="FV16" s="39"/>
      <c r="FW16" s="37"/>
      <c r="FX16" s="38"/>
      <c r="FY16" s="39"/>
      <c r="FZ16" s="37"/>
      <c r="GA16" s="38"/>
      <c r="GB16" s="39"/>
      <c r="GC16" s="37"/>
      <c r="GD16" s="38"/>
      <c r="GE16" s="39"/>
      <c r="GF16" s="37"/>
      <c r="GG16" s="38"/>
      <c r="GH16" s="39"/>
      <c r="GI16" s="37"/>
      <c r="GJ16" s="38"/>
      <c r="GK16" s="39"/>
      <c r="GL16" s="37"/>
      <c r="GM16" s="38"/>
      <c r="GN16" s="39"/>
      <c r="GO16" s="37"/>
      <c r="GP16" s="38"/>
      <c r="GQ16" s="39"/>
      <c r="GR16" s="37"/>
      <c r="GS16" s="38"/>
      <c r="GT16" s="39"/>
      <c r="GU16" s="37"/>
      <c r="GV16" s="38"/>
      <c r="GW16" s="39"/>
      <c r="GX16" s="37"/>
      <c r="GY16" s="38"/>
      <c r="GZ16" s="38"/>
      <c r="HA16" s="37"/>
      <c r="HB16" s="37"/>
      <c r="HC16" s="37"/>
      <c r="HD16" s="25"/>
      <c r="HE16" s="25"/>
      <c r="HF16" s="25"/>
      <c r="HG16" s="89"/>
      <c r="HH16" s="35"/>
      <c r="HI16" s="73"/>
      <c r="HJ16" s="37"/>
      <c r="HK16" s="38"/>
      <c r="HL16" s="39"/>
      <c r="HM16" s="37"/>
      <c r="HN16" s="38"/>
      <c r="HO16" s="39"/>
      <c r="HP16" s="37"/>
      <c r="HQ16" s="38"/>
      <c r="HR16" s="39"/>
      <c r="HS16" s="37"/>
      <c r="HT16" s="38"/>
      <c r="HU16" s="39"/>
      <c r="HV16" s="37"/>
      <c r="HW16" s="38"/>
      <c r="HX16" s="39"/>
      <c r="HY16" s="37"/>
      <c r="HZ16" s="38"/>
      <c r="IA16" s="39"/>
      <c r="IB16" s="37"/>
      <c r="IC16" s="38"/>
      <c r="ID16" s="39"/>
      <c r="IE16" s="37"/>
      <c r="IF16" s="38"/>
      <c r="IG16" s="39"/>
      <c r="IH16" s="37"/>
      <c r="II16" s="38"/>
      <c r="IJ16" s="39"/>
      <c r="IK16" s="37"/>
      <c r="IL16" s="38"/>
      <c r="IM16" s="39"/>
      <c r="IN16" s="37"/>
      <c r="IO16" s="38"/>
      <c r="IP16" s="39"/>
      <c r="IQ16" s="37"/>
      <c r="IR16" s="38"/>
      <c r="IS16" s="39"/>
      <c r="IT16" s="37"/>
      <c r="IU16" s="38"/>
    </row>
    <row r="17" spans="1:255" ht="15.75" customHeight="1">
      <c r="A17" s="35">
        <v>5</v>
      </c>
      <c r="B17" s="73" t="s">
        <v>18</v>
      </c>
      <c r="C17" s="37">
        <v>831</v>
      </c>
      <c r="D17" s="52">
        <v>68933.53</v>
      </c>
      <c r="E17" s="39"/>
      <c r="F17" s="37">
        <v>803.4</v>
      </c>
      <c r="G17" s="52">
        <v>67384.17</v>
      </c>
      <c r="H17" s="39"/>
      <c r="I17" s="37">
        <v>792.1</v>
      </c>
      <c r="J17" s="52">
        <v>67065.13</v>
      </c>
      <c r="K17" s="39"/>
      <c r="L17" s="37">
        <v>810.9</v>
      </c>
      <c r="M17" s="52">
        <v>68214.43</v>
      </c>
      <c r="N17" s="39"/>
      <c r="O17" s="37">
        <v>794.1</v>
      </c>
      <c r="P17" s="52">
        <v>67925.83</v>
      </c>
      <c r="Q17" s="39"/>
      <c r="R17" s="37">
        <v>807</v>
      </c>
      <c r="S17" s="52">
        <v>69167.47</v>
      </c>
      <c r="T17" s="39"/>
      <c r="U17" s="37">
        <v>801.4</v>
      </c>
      <c r="V17" s="52">
        <v>69218.92</v>
      </c>
      <c r="W17" s="39"/>
      <c r="X17" s="37">
        <v>773.25</v>
      </c>
      <c r="Y17" s="52">
        <v>67217.17</v>
      </c>
      <c r="Z17" s="39"/>
      <c r="AA17" s="37">
        <v>741.2</v>
      </c>
      <c r="AB17" s="52">
        <v>65533.66</v>
      </c>
      <c r="AC17" s="39"/>
      <c r="AD17" s="37">
        <v>755.25</v>
      </c>
      <c r="AE17" s="52">
        <v>66078.24</v>
      </c>
      <c r="AF17" s="39"/>
      <c r="AG17" s="37">
        <v>778.4</v>
      </c>
      <c r="AH17" s="52">
        <v>67455.17</v>
      </c>
      <c r="AI17" s="39"/>
      <c r="AJ17" s="37">
        <v>777.5</v>
      </c>
      <c r="AK17" s="52">
        <v>67509.35</v>
      </c>
      <c r="AL17" s="39"/>
      <c r="AM17" s="37">
        <v>784.9</v>
      </c>
      <c r="AN17" s="52">
        <v>68191.62</v>
      </c>
      <c r="AO17" s="39"/>
      <c r="AP17" s="37">
        <v>862.2</v>
      </c>
      <c r="AQ17" s="52">
        <v>73828.57</v>
      </c>
      <c r="AR17" s="39"/>
      <c r="AS17" s="37">
        <v>836.45</v>
      </c>
      <c r="AT17" s="52">
        <v>72778.47</v>
      </c>
      <c r="AU17" s="39"/>
      <c r="AV17" s="37">
        <v>872</v>
      </c>
      <c r="AW17" s="52">
        <v>74308.03</v>
      </c>
      <c r="AX17" s="39"/>
      <c r="AY17" s="37">
        <v>892.4</v>
      </c>
      <c r="AZ17" s="52">
        <v>75139.52</v>
      </c>
      <c r="BA17" s="39"/>
      <c r="BB17" s="37">
        <v>887.7</v>
      </c>
      <c r="BC17" s="52">
        <v>75036.73</v>
      </c>
      <c r="BD17" s="39"/>
      <c r="BE17" s="37">
        <v>887.25</v>
      </c>
      <c r="BF17" s="52">
        <v>74779.65</v>
      </c>
      <c r="BG17" s="39"/>
      <c r="BH17" s="37">
        <v>868.45</v>
      </c>
      <c r="BI17" s="52">
        <v>73851.36</v>
      </c>
      <c r="BJ17" s="39"/>
      <c r="BK17" s="37">
        <v>875.25</v>
      </c>
      <c r="BL17" s="52">
        <v>75601.36</v>
      </c>
      <c r="BM17" s="52"/>
      <c r="BN17" s="37">
        <f t="shared" si="0"/>
        <v>820.5761904761906</v>
      </c>
      <c r="BO17" s="37">
        <f t="shared" si="1"/>
        <v>70248.49428571429</v>
      </c>
      <c r="BP17" s="25"/>
      <c r="BQ17" s="25"/>
      <c r="BR17" s="25"/>
      <c r="BS17" s="89"/>
      <c r="BT17" s="40"/>
      <c r="BU17" s="40"/>
      <c r="BV17" s="25"/>
      <c r="BW17" s="94"/>
      <c r="BX17" s="24"/>
      <c r="BY17" s="25"/>
      <c r="BZ17" s="25"/>
      <c r="CA17" s="24"/>
      <c r="CB17" s="25"/>
      <c r="CC17" s="94"/>
      <c r="CD17" s="24"/>
      <c r="CE17" s="25"/>
      <c r="CF17" s="94"/>
      <c r="CG17" s="24"/>
      <c r="CH17" s="25"/>
      <c r="CI17" s="94"/>
      <c r="CJ17" s="24"/>
      <c r="CK17" s="25"/>
      <c r="CL17" s="94"/>
      <c r="CM17" s="24"/>
      <c r="CN17" s="25"/>
      <c r="CO17" s="94"/>
      <c r="CP17" s="24"/>
      <c r="CQ17" s="25"/>
      <c r="CR17" s="94"/>
      <c r="CS17" s="24"/>
      <c r="CT17" s="25"/>
      <c r="CU17" s="94"/>
      <c r="CV17" s="24"/>
      <c r="CW17" s="25"/>
      <c r="CX17" s="94"/>
      <c r="CY17" s="24"/>
      <c r="CZ17" s="25"/>
      <c r="DA17" s="94"/>
      <c r="DB17" s="24"/>
      <c r="DC17" s="25"/>
      <c r="DD17" s="94"/>
      <c r="DE17" s="24"/>
      <c r="DF17" s="25"/>
      <c r="DG17" s="94"/>
      <c r="DH17" s="24"/>
      <c r="DI17" s="25"/>
      <c r="DJ17" s="94"/>
      <c r="DK17" s="24"/>
      <c r="DL17" s="25"/>
      <c r="DM17" s="94"/>
      <c r="DN17" s="24"/>
      <c r="DO17" s="25"/>
      <c r="DP17" s="94"/>
      <c r="DQ17" s="24"/>
      <c r="DR17" s="25"/>
      <c r="DS17" s="94"/>
      <c r="DT17" s="24"/>
      <c r="DU17" s="25"/>
      <c r="DV17" s="94"/>
      <c r="DW17" s="24"/>
      <c r="DX17" s="25"/>
      <c r="DY17" s="94"/>
      <c r="DZ17" s="24"/>
      <c r="EA17" s="25"/>
      <c r="EB17" s="94"/>
      <c r="EC17" s="24"/>
      <c r="ED17" s="25"/>
      <c r="EE17" s="94"/>
      <c r="EF17" s="94"/>
      <c r="EG17" s="25"/>
      <c r="EH17" s="25"/>
      <c r="EI17" s="25"/>
      <c r="EJ17" s="25"/>
      <c r="EK17" s="88"/>
      <c r="EL17" s="88"/>
      <c r="EM17" s="89"/>
      <c r="EN17" s="40"/>
      <c r="EO17" s="41"/>
      <c r="EP17" s="25"/>
      <c r="EQ17" s="52"/>
      <c r="ER17" s="39"/>
      <c r="ES17" s="37"/>
      <c r="ET17" s="52"/>
      <c r="EU17" s="39"/>
      <c r="EV17" s="37"/>
      <c r="EW17" s="52"/>
      <c r="EX17" s="39"/>
      <c r="EY17" s="37"/>
      <c r="EZ17" s="52"/>
      <c r="FA17" s="39"/>
      <c r="FB17" s="37"/>
      <c r="FC17" s="52"/>
      <c r="FD17" s="39"/>
      <c r="FE17" s="37"/>
      <c r="FF17" s="52"/>
      <c r="FG17" s="39"/>
      <c r="FH17" s="37"/>
      <c r="FI17" s="52"/>
      <c r="FJ17" s="39"/>
      <c r="FK17" s="37"/>
      <c r="FL17" s="52"/>
      <c r="FM17" s="39"/>
      <c r="FN17" s="37"/>
      <c r="FO17" s="52"/>
      <c r="FP17" s="39"/>
      <c r="FQ17" s="37"/>
      <c r="FR17" s="52"/>
      <c r="FS17" s="39"/>
      <c r="FT17" s="37"/>
      <c r="FU17" s="52"/>
      <c r="FV17" s="39"/>
      <c r="FW17" s="37"/>
      <c r="FX17" s="52"/>
      <c r="FY17" s="39"/>
      <c r="FZ17" s="37"/>
      <c r="GA17" s="52"/>
      <c r="GB17" s="39"/>
      <c r="GC17" s="37"/>
      <c r="GD17" s="52"/>
      <c r="GE17" s="39"/>
      <c r="GF17" s="37"/>
      <c r="GG17" s="52"/>
      <c r="GH17" s="39"/>
      <c r="GI17" s="37"/>
      <c r="GJ17" s="52"/>
      <c r="GK17" s="39"/>
      <c r="GL17" s="37"/>
      <c r="GM17" s="52"/>
      <c r="GN17" s="39"/>
      <c r="GO17" s="37"/>
      <c r="GP17" s="52"/>
      <c r="GQ17" s="39"/>
      <c r="GR17" s="37"/>
      <c r="GS17" s="52"/>
      <c r="GT17" s="39"/>
      <c r="GU17" s="37"/>
      <c r="GV17" s="52"/>
      <c r="GW17" s="39"/>
      <c r="GX17" s="37"/>
      <c r="GY17" s="52"/>
      <c r="GZ17" s="52"/>
      <c r="HA17" s="37"/>
      <c r="HB17" s="37"/>
      <c r="HC17" s="37"/>
      <c r="HD17" s="25"/>
      <c r="HE17" s="88"/>
      <c r="HF17" s="88"/>
      <c r="HG17" s="89"/>
      <c r="HH17" s="35"/>
      <c r="HI17" s="73"/>
      <c r="HJ17" s="37"/>
      <c r="HK17" s="52"/>
      <c r="HL17" s="39"/>
      <c r="HM17" s="37"/>
      <c r="HN17" s="52"/>
      <c r="HO17" s="39"/>
      <c r="HP17" s="37"/>
      <c r="HQ17" s="52"/>
      <c r="HR17" s="39"/>
      <c r="HS17" s="37"/>
      <c r="HT17" s="52"/>
      <c r="HU17" s="39"/>
      <c r="HV17" s="37"/>
      <c r="HW17" s="52"/>
      <c r="HX17" s="39"/>
      <c r="HY17" s="37"/>
      <c r="HZ17" s="52"/>
      <c r="IA17" s="39"/>
      <c r="IB17" s="37"/>
      <c r="IC17" s="52"/>
      <c r="ID17" s="39"/>
      <c r="IE17" s="37"/>
      <c r="IF17" s="52"/>
      <c r="IG17" s="39"/>
      <c r="IH17" s="37"/>
      <c r="II17" s="52"/>
      <c r="IJ17" s="39"/>
      <c r="IK17" s="37"/>
      <c r="IL17" s="52"/>
      <c r="IM17" s="39"/>
      <c r="IN17" s="37"/>
      <c r="IO17" s="52"/>
      <c r="IP17" s="39"/>
      <c r="IQ17" s="37"/>
      <c r="IR17" s="52"/>
      <c r="IS17" s="39"/>
      <c r="IT17" s="37"/>
      <c r="IU17" s="52"/>
    </row>
    <row r="18" spans="1:255" ht="15.75" customHeight="1">
      <c r="A18" s="35">
        <v>6</v>
      </c>
      <c r="B18" s="74" t="s">
        <v>19</v>
      </c>
      <c r="C18" s="37">
        <v>13.68</v>
      </c>
      <c r="D18" s="38">
        <v>1134.79</v>
      </c>
      <c r="E18" s="39"/>
      <c r="F18" s="37">
        <v>13.07</v>
      </c>
      <c r="G18" s="38">
        <v>1096.23</v>
      </c>
      <c r="H18" s="39"/>
      <c r="I18" s="37">
        <v>12.67</v>
      </c>
      <c r="J18" s="38">
        <v>1072.74</v>
      </c>
      <c r="K18" s="39"/>
      <c r="L18" s="37">
        <v>13.12</v>
      </c>
      <c r="M18" s="38">
        <v>1103.68</v>
      </c>
      <c r="N18" s="39"/>
      <c r="O18" s="37">
        <v>12.7</v>
      </c>
      <c r="P18" s="38">
        <v>1086.33</v>
      </c>
      <c r="Q18" s="39"/>
      <c r="R18" s="37">
        <v>12.38</v>
      </c>
      <c r="S18" s="38">
        <v>1061.08</v>
      </c>
      <c r="T18" s="39"/>
      <c r="U18" s="37">
        <v>12.06</v>
      </c>
      <c r="V18" s="38">
        <v>1041.65</v>
      </c>
      <c r="W18" s="39"/>
      <c r="X18" s="37">
        <v>11.18</v>
      </c>
      <c r="Y18" s="38">
        <v>971.86</v>
      </c>
      <c r="Z18" s="39"/>
      <c r="AA18" s="37">
        <v>10.61</v>
      </c>
      <c r="AB18" s="38">
        <v>938.09</v>
      </c>
      <c r="AC18" s="39"/>
      <c r="AD18" s="37">
        <v>10.83</v>
      </c>
      <c r="AE18" s="38">
        <v>947.54</v>
      </c>
      <c r="AF18" s="39"/>
      <c r="AG18" s="37">
        <v>10.86</v>
      </c>
      <c r="AH18" s="38">
        <v>941.11</v>
      </c>
      <c r="AI18" s="39"/>
      <c r="AJ18" s="37">
        <v>10.88</v>
      </c>
      <c r="AK18" s="38">
        <v>944.7</v>
      </c>
      <c r="AL18" s="39"/>
      <c r="AM18" s="37">
        <v>10.65</v>
      </c>
      <c r="AN18" s="38">
        <v>925.27</v>
      </c>
      <c r="AO18" s="39"/>
      <c r="AP18" s="37">
        <v>12.19</v>
      </c>
      <c r="AQ18" s="38">
        <v>1043.81</v>
      </c>
      <c r="AR18" s="39"/>
      <c r="AS18" s="37">
        <v>12.02</v>
      </c>
      <c r="AT18" s="38">
        <v>1045.85</v>
      </c>
      <c r="AU18" s="39"/>
      <c r="AV18" s="37">
        <v>12.86</v>
      </c>
      <c r="AW18" s="38">
        <v>1095.87</v>
      </c>
      <c r="AX18" s="39"/>
      <c r="AY18" s="37">
        <v>13.32</v>
      </c>
      <c r="AZ18" s="38">
        <v>1121.54</v>
      </c>
      <c r="BA18" s="39"/>
      <c r="BB18" s="37">
        <v>13.33</v>
      </c>
      <c r="BC18" s="38">
        <v>1126.78</v>
      </c>
      <c r="BD18" s="39"/>
      <c r="BE18" s="37">
        <v>13.42</v>
      </c>
      <c r="BF18" s="38">
        <v>1131.07</v>
      </c>
      <c r="BG18" s="39"/>
      <c r="BH18" s="37">
        <v>13.08</v>
      </c>
      <c r="BI18" s="38">
        <v>1112.3</v>
      </c>
      <c r="BJ18" s="39"/>
      <c r="BK18" s="37">
        <v>12.93</v>
      </c>
      <c r="BL18" s="38">
        <v>1116.85</v>
      </c>
      <c r="BM18" s="38"/>
      <c r="BN18" s="37">
        <f t="shared" si="0"/>
        <v>12.278095238095236</v>
      </c>
      <c r="BO18" s="37">
        <f t="shared" si="1"/>
        <v>1050.435238095238</v>
      </c>
      <c r="BP18" s="25"/>
      <c r="BQ18" s="25"/>
      <c r="BR18" s="25"/>
      <c r="BS18" s="89"/>
      <c r="BT18" s="40"/>
      <c r="BU18" s="40"/>
      <c r="BV18" s="25"/>
      <c r="BW18" s="26"/>
      <c r="BX18" s="24"/>
      <c r="BY18" s="25"/>
      <c r="BZ18" s="25"/>
      <c r="CA18" s="24"/>
      <c r="CB18" s="25"/>
      <c r="CC18" s="26"/>
      <c r="CD18" s="24"/>
      <c r="CE18" s="25"/>
      <c r="CF18" s="26"/>
      <c r="CG18" s="24"/>
      <c r="CH18" s="25"/>
      <c r="CI18" s="26"/>
      <c r="CJ18" s="24"/>
      <c r="CK18" s="25"/>
      <c r="CL18" s="26"/>
      <c r="CM18" s="24"/>
      <c r="CN18" s="25"/>
      <c r="CO18" s="26"/>
      <c r="CP18" s="24"/>
      <c r="CQ18" s="25"/>
      <c r="CR18" s="26"/>
      <c r="CS18" s="24"/>
      <c r="CT18" s="25"/>
      <c r="CU18" s="26"/>
      <c r="CV18" s="24"/>
      <c r="CW18" s="25"/>
      <c r="CX18" s="26"/>
      <c r="CY18" s="24"/>
      <c r="CZ18" s="25"/>
      <c r="DA18" s="26"/>
      <c r="DB18" s="24"/>
      <c r="DC18" s="25"/>
      <c r="DD18" s="26"/>
      <c r="DE18" s="24"/>
      <c r="DF18" s="25"/>
      <c r="DG18" s="26"/>
      <c r="DH18" s="24"/>
      <c r="DI18" s="25"/>
      <c r="DJ18" s="26"/>
      <c r="DK18" s="24"/>
      <c r="DL18" s="25"/>
      <c r="DM18" s="26"/>
      <c r="DN18" s="24"/>
      <c r="DO18" s="25"/>
      <c r="DP18" s="26"/>
      <c r="DQ18" s="24"/>
      <c r="DR18" s="25"/>
      <c r="DS18" s="26"/>
      <c r="DT18" s="24"/>
      <c r="DU18" s="25"/>
      <c r="DV18" s="26"/>
      <c r="DW18" s="24"/>
      <c r="DX18" s="25"/>
      <c r="DY18" s="26"/>
      <c r="DZ18" s="24"/>
      <c r="EA18" s="25"/>
      <c r="EB18" s="26"/>
      <c r="EC18" s="24"/>
      <c r="ED18" s="25"/>
      <c r="EE18" s="26"/>
      <c r="EF18" s="26"/>
      <c r="EG18" s="25"/>
      <c r="EH18" s="25"/>
      <c r="EI18" s="25"/>
      <c r="EJ18" s="25"/>
      <c r="EK18" s="25"/>
      <c r="EL18" s="25"/>
      <c r="EM18" s="89"/>
      <c r="EN18" s="40"/>
      <c r="EO18" s="95"/>
      <c r="EP18" s="25"/>
      <c r="EQ18" s="38"/>
      <c r="ER18" s="39"/>
      <c r="ES18" s="37"/>
      <c r="ET18" s="38"/>
      <c r="EU18" s="39"/>
      <c r="EV18" s="37"/>
      <c r="EW18" s="38"/>
      <c r="EX18" s="39"/>
      <c r="EY18" s="37"/>
      <c r="EZ18" s="38"/>
      <c r="FA18" s="39"/>
      <c r="FB18" s="37"/>
      <c r="FC18" s="38"/>
      <c r="FD18" s="39"/>
      <c r="FE18" s="37"/>
      <c r="FF18" s="38"/>
      <c r="FG18" s="39"/>
      <c r="FH18" s="37"/>
      <c r="FI18" s="38"/>
      <c r="FJ18" s="39"/>
      <c r="FK18" s="37"/>
      <c r="FL18" s="38"/>
      <c r="FM18" s="39"/>
      <c r="FN18" s="37"/>
      <c r="FO18" s="38"/>
      <c r="FP18" s="39"/>
      <c r="FQ18" s="37"/>
      <c r="FR18" s="38"/>
      <c r="FS18" s="39"/>
      <c r="FT18" s="37"/>
      <c r="FU18" s="38"/>
      <c r="FV18" s="39"/>
      <c r="FW18" s="37"/>
      <c r="FX18" s="38"/>
      <c r="FY18" s="39"/>
      <c r="FZ18" s="37"/>
      <c r="GA18" s="38"/>
      <c r="GB18" s="39"/>
      <c r="GC18" s="37"/>
      <c r="GD18" s="38"/>
      <c r="GE18" s="39"/>
      <c r="GF18" s="37"/>
      <c r="GG18" s="38"/>
      <c r="GH18" s="39"/>
      <c r="GI18" s="37"/>
      <c r="GJ18" s="38"/>
      <c r="GK18" s="39"/>
      <c r="GL18" s="37"/>
      <c r="GM18" s="38"/>
      <c r="GN18" s="39"/>
      <c r="GO18" s="37"/>
      <c r="GP18" s="38"/>
      <c r="GQ18" s="39"/>
      <c r="GR18" s="37"/>
      <c r="GS18" s="38"/>
      <c r="GT18" s="39"/>
      <c r="GU18" s="37"/>
      <c r="GV18" s="38"/>
      <c r="GW18" s="39"/>
      <c r="GX18" s="37"/>
      <c r="GY18" s="38"/>
      <c r="GZ18" s="38"/>
      <c r="HA18" s="37"/>
      <c r="HB18" s="37"/>
      <c r="HC18" s="37"/>
      <c r="HD18" s="25"/>
      <c r="HE18" s="25"/>
      <c r="HF18" s="25"/>
      <c r="HG18" s="89"/>
      <c r="HH18" s="35"/>
      <c r="HI18" s="74"/>
      <c r="HJ18" s="37"/>
      <c r="HK18" s="38"/>
      <c r="HL18" s="39"/>
      <c r="HM18" s="37"/>
      <c r="HN18" s="38"/>
      <c r="HO18" s="39"/>
      <c r="HP18" s="37"/>
      <c r="HQ18" s="38"/>
      <c r="HR18" s="39"/>
      <c r="HS18" s="37"/>
      <c r="HT18" s="38"/>
      <c r="HU18" s="39"/>
      <c r="HV18" s="37"/>
      <c r="HW18" s="38"/>
      <c r="HX18" s="39"/>
      <c r="HY18" s="37"/>
      <c r="HZ18" s="38"/>
      <c r="IA18" s="39"/>
      <c r="IB18" s="37"/>
      <c r="IC18" s="38"/>
      <c r="ID18" s="39"/>
      <c r="IE18" s="37"/>
      <c r="IF18" s="38"/>
      <c r="IG18" s="39"/>
      <c r="IH18" s="37"/>
      <c r="II18" s="38"/>
      <c r="IJ18" s="39"/>
      <c r="IK18" s="37"/>
      <c r="IL18" s="38"/>
      <c r="IM18" s="39"/>
      <c r="IN18" s="37"/>
      <c r="IO18" s="38"/>
      <c r="IP18" s="39"/>
      <c r="IQ18" s="37"/>
      <c r="IR18" s="38"/>
      <c r="IS18" s="39"/>
      <c r="IT18" s="37"/>
      <c r="IU18" s="38"/>
    </row>
    <row r="19" spans="1:255" ht="15.75" customHeight="1">
      <c r="A19" s="35">
        <v>7</v>
      </c>
      <c r="B19" s="73" t="s">
        <v>20</v>
      </c>
      <c r="C19" s="37">
        <v>1.1704</v>
      </c>
      <c r="D19" s="38">
        <v>70.87</v>
      </c>
      <c r="E19" s="39"/>
      <c r="F19" s="37">
        <v>1.2029</v>
      </c>
      <c r="G19" s="38">
        <v>69.72</v>
      </c>
      <c r="H19" s="39"/>
      <c r="I19" s="37">
        <v>1.2093</v>
      </c>
      <c r="J19" s="38">
        <v>70.01</v>
      </c>
      <c r="K19" s="39"/>
      <c r="L19" s="37">
        <v>1.1936</v>
      </c>
      <c r="M19" s="38">
        <v>70.48</v>
      </c>
      <c r="N19" s="39"/>
      <c r="O19" s="37">
        <v>1.2312</v>
      </c>
      <c r="P19" s="38">
        <v>69.47</v>
      </c>
      <c r="Q19" s="39"/>
      <c r="R19" s="37">
        <v>1.2146</v>
      </c>
      <c r="S19" s="38">
        <v>70.56</v>
      </c>
      <c r="T19" s="39"/>
      <c r="U19" s="37">
        <v>1.2259</v>
      </c>
      <c r="V19" s="38">
        <v>70.45</v>
      </c>
      <c r="W19" s="39"/>
      <c r="X19" s="37">
        <v>1.2442</v>
      </c>
      <c r="Y19" s="38">
        <v>69.86</v>
      </c>
      <c r="Z19" s="39"/>
      <c r="AA19" s="37">
        <v>1.2636</v>
      </c>
      <c r="AB19" s="38">
        <v>69.97</v>
      </c>
      <c r="AC19" s="39"/>
      <c r="AD19" s="37">
        <v>1.2356</v>
      </c>
      <c r="AE19" s="38">
        <v>70.81</v>
      </c>
      <c r="AF19" s="39"/>
      <c r="AG19" s="37">
        <v>1.2327</v>
      </c>
      <c r="AH19" s="38">
        <v>70.3</v>
      </c>
      <c r="AI19" s="39"/>
      <c r="AJ19" s="37">
        <v>1.2666</v>
      </c>
      <c r="AK19" s="38">
        <v>68.55</v>
      </c>
      <c r="AL19" s="39"/>
      <c r="AM19" s="37">
        <v>1.2571</v>
      </c>
      <c r="AN19" s="38">
        <v>69.11</v>
      </c>
      <c r="AO19" s="39"/>
      <c r="AP19" s="37">
        <v>1.2464</v>
      </c>
      <c r="AQ19" s="38">
        <v>68.7</v>
      </c>
      <c r="AR19" s="39"/>
      <c r="AS19" s="37">
        <v>1.2369</v>
      </c>
      <c r="AT19" s="38">
        <v>70.35</v>
      </c>
      <c r="AU19" s="39"/>
      <c r="AV19" s="37">
        <v>1.1965</v>
      </c>
      <c r="AW19" s="38">
        <v>71.22</v>
      </c>
      <c r="AX19" s="39"/>
      <c r="AY19" s="37">
        <v>1.1896</v>
      </c>
      <c r="AZ19" s="38">
        <v>70.78</v>
      </c>
      <c r="BA19" s="39"/>
      <c r="BB19" s="37">
        <v>1.1945</v>
      </c>
      <c r="BC19" s="38">
        <v>70.77</v>
      </c>
      <c r="BD19" s="39"/>
      <c r="BE19" s="37">
        <v>1.1908</v>
      </c>
      <c r="BF19" s="38">
        <v>70.78</v>
      </c>
      <c r="BG19" s="39"/>
      <c r="BH19" s="37">
        <v>1.2093</v>
      </c>
      <c r="BI19" s="38">
        <v>70.32</v>
      </c>
      <c r="BJ19" s="48"/>
      <c r="BK19" s="37">
        <v>1.2265</v>
      </c>
      <c r="BL19" s="38">
        <v>70.42</v>
      </c>
      <c r="BM19" s="38"/>
      <c r="BN19" s="37">
        <f t="shared" si="0"/>
        <v>1.2208666666666665</v>
      </c>
      <c r="BO19" s="37">
        <f t="shared" si="1"/>
        <v>70.16666666666667</v>
      </c>
      <c r="BP19" s="25"/>
      <c r="BQ19" s="25"/>
      <c r="BR19" s="25"/>
      <c r="BS19" s="89"/>
      <c r="BT19" s="40"/>
      <c r="BU19" s="40"/>
      <c r="BV19" s="25"/>
      <c r="BW19" s="26"/>
      <c r="BX19" s="24"/>
      <c r="BY19" s="25"/>
      <c r="BZ19" s="25"/>
      <c r="CA19" s="24"/>
      <c r="CB19" s="25"/>
      <c r="CC19" s="26"/>
      <c r="CD19" s="24"/>
      <c r="CE19" s="25"/>
      <c r="CF19" s="26"/>
      <c r="CG19" s="24"/>
      <c r="CH19" s="25"/>
      <c r="CI19" s="26"/>
      <c r="CJ19" s="24"/>
      <c r="CK19" s="25"/>
      <c r="CL19" s="26"/>
      <c r="CM19" s="24"/>
      <c r="CN19" s="25"/>
      <c r="CO19" s="26"/>
      <c r="CP19" s="24"/>
      <c r="CQ19" s="25"/>
      <c r="CR19" s="26"/>
      <c r="CS19" s="24"/>
      <c r="CT19" s="25"/>
      <c r="CU19" s="26"/>
      <c r="CV19" s="24"/>
      <c r="CW19" s="25"/>
      <c r="CX19" s="26"/>
      <c r="CY19" s="24"/>
      <c r="CZ19" s="25"/>
      <c r="DA19" s="26"/>
      <c r="DB19" s="24"/>
      <c r="DC19" s="25"/>
      <c r="DD19" s="26"/>
      <c r="DE19" s="24"/>
      <c r="DF19" s="25"/>
      <c r="DG19" s="26"/>
      <c r="DH19" s="24"/>
      <c r="DI19" s="25"/>
      <c r="DJ19" s="26"/>
      <c r="DK19" s="24"/>
      <c r="DL19" s="25"/>
      <c r="DM19" s="26"/>
      <c r="DN19" s="24"/>
      <c r="DO19" s="25"/>
      <c r="DP19" s="26"/>
      <c r="DQ19" s="24"/>
      <c r="DR19" s="25"/>
      <c r="DS19" s="26"/>
      <c r="DT19" s="24"/>
      <c r="DU19" s="25"/>
      <c r="DV19" s="26"/>
      <c r="DW19" s="24"/>
      <c r="DX19" s="25"/>
      <c r="DY19" s="26"/>
      <c r="DZ19" s="24"/>
      <c r="EA19" s="25"/>
      <c r="EB19" s="26"/>
      <c r="EC19" s="65"/>
      <c r="ED19" s="25"/>
      <c r="EE19" s="26"/>
      <c r="EF19" s="26"/>
      <c r="EG19" s="25"/>
      <c r="EH19" s="25"/>
      <c r="EI19" s="25"/>
      <c r="EJ19" s="25"/>
      <c r="EK19" s="25"/>
      <c r="EL19" s="25"/>
      <c r="EM19" s="89"/>
      <c r="EN19" s="40"/>
      <c r="EO19" s="41"/>
      <c r="EP19" s="25"/>
      <c r="EQ19" s="38"/>
      <c r="ER19" s="39"/>
      <c r="ES19" s="37"/>
      <c r="ET19" s="38"/>
      <c r="EU19" s="39"/>
      <c r="EV19" s="37"/>
      <c r="EW19" s="38"/>
      <c r="EX19" s="39"/>
      <c r="EY19" s="37"/>
      <c r="EZ19" s="38"/>
      <c r="FA19" s="39"/>
      <c r="FB19" s="37"/>
      <c r="FC19" s="38"/>
      <c r="FD19" s="39"/>
      <c r="FE19" s="37"/>
      <c r="FF19" s="38"/>
      <c r="FG19" s="39"/>
      <c r="FH19" s="37"/>
      <c r="FI19" s="38"/>
      <c r="FJ19" s="39"/>
      <c r="FK19" s="37"/>
      <c r="FL19" s="38"/>
      <c r="FM19" s="39"/>
      <c r="FN19" s="37"/>
      <c r="FO19" s="38"/>
      <c r="FP19" s="39"/>
      <c r="FQ19" s="37"/>
      <c r="FR19" s="38"/>
      <c r="FS19" s="39"/>
      <c r="FT19" s="37"/>
      <c r="FU19" s="38"/>
      <c r="FV19" s="39"/>
      <c r="FW19" s="37"/>
      <c r="FX19" s="38"/>
      <c r="FY19" s="39"/>
      <c r="FZ19" s="37"/>
      <c r="GA19" s="38"/>
      <c r="GB19" s="39"/>
      <c r="GC19" s="37"/>
      <c r="GD19" s="38"/>
      <c r="GE19" s="39"/>
      <c r="GF19" s="37"/>
      <c r="GG19" s="38"/>
      <c r="GH19" s="39"/>
      <c r="GI19" s="37"/>
      <c r="GJ19" s="38"/>
      <c r="GK19" s="39"/>
      <c r="GL19" s="37"/>
      <c r="GM19" s="38"/>
      <c r="GN19" s="39"/>
      <c r="GO19" s="37"/>
      <c r="GP19" s="38"/>
      <c r="GQ19" s="39"/>
      <c r="GR19" s="37"/>
      <c r="GS19" s="38"/>
      <c r="GT19" s="39"/>
      <c r="GU19" s="37"/>
      <c r="GV19" s="38"/>
      <c r="GW19" s="48"/>
      <c r="GX19" s="37"/>
      <c r="GY19" s="38"/>
      <c r="GZ19" s="38"/>
      <c r="HA19" s="37"/>
      <c r="HB19" s="37"/>
      <c r="HC19" s="37"/>
      <c r="HD19" s="25"/>
      <c r="HE19" s="25"/>
      <c r="HF19" s="25"/>
      <c r="HG19" s="89"/>
      <c r="HH19" s="35"/>
      <c r="HI19" s="73"/>
      <c r="HJ19" s="37"/>
      <c r="HK19" s="38"/>
      <c r="HL19" s="39"/>
      <c r="HM19" s="37"/>
      <c r="HN19" s="38"/>
      <c r="HO19" s="39"/>
      <c r="HP19" s="37"/>
      <c r="HQ19" s="38"/>
      <c r="HR19" s="39"/>
      <c r="HS19" s="37"/>
      <c r="HT19" s="38"/>
      <c r="HU19" s="39"/>
      <c r="HV19" s="37"/>
      <c r="HW19" s="38"/>
      <c r="HX19" s="39"/>
      <c r="HY19" s="37"/>
      <c r="HZ19" s="38"/>
      <c r="IA19" s="39"/>
      <c r="IB19" s="37"/>
      <c r="IC19" s="38"/>
      <c r="ID19" s="39"/>
      <c r="IE19" s="37"/>
      <c r="IF19" s="38"/>
      <c r="IG19" s="39"/>
      <c r="IH19" s="37"/>
      <c r="II19" s="38"/>
      <c r="IJ19" s="39"/>
      <c r="IK19" s="37"/>
      <c r="IL19" s="38"/>
      <c r="IM19" s="39"/>
      <c r="IN19" s="37"/>
      <c r="IO19" s="38"/>
      <c r="IP19" s="39"/>
      <c r="IQ19" s="37"/>
      <c r="IR19" s="38"/>
      <c r="IS19" s="39"/>
      <c r="IT19" s="37"/>
      <c r="IU19" s="38"/>
    </row>
    <row r="20" spans="1:255" ht="15.75" customHeight="1">
      <c r="A20" s="35">
        <v>8</v>
      </c>
      <c r="B20" s="73" t="s">
        <v>21</v>
      </c>
      <c r="C20" s="37">
        <v>1.0647</v>
      </c>
      <c r="D20" s="38">
        <v>77.91</v>
      </c>
      <c r="E20" s="39"/>
      <c r="F20" s="37">
        <v>1.0714</v>
      </c>
      <c r="G20" s="38">
        <v>78.28</v>
      </c>
      <c r="H20" s="39"/>
      <c r="I20" s="37">
        <v>1.0755</v>
      </c>
      <c r="J20" s="38">
        <v>78.72</v>
      </c>
      <c r="K20" s="39"/>
      <c r="L20" s="37">
        <v>1.0584</v>
      </c>
      <c r="M20" s="38">
        <v>79.48</v>
      </c>
      <c r="N20" s="39"/>
      <c r="O20" s="37">
        <v>1.0691</v>
      </c>
      <c r="P20" s="38">
        <v>80.01</v>
      </c>
      <c r="Q20" s="39"/>
      <c r="R20" s="37">
        <v>1.0619</v>
      </c>
      <c r="S20" s="38">
        <v>80.71</v>
      </c>
      <c r="T20" s="39"/>
      <c r="U20" s="37">
        <v>1.0612</v>
      </c>
      <c r="V20" s="38">
        <v>81.39</v>
      </c>
      <c r="W20" s="39"/>
      <c r="X20" s="37">
        <v>1.0692</v>
      </c>
      <c r="Y20" s="38">
        <v>81.3</v>
      </c>
      <c r="Z20" s="39"/>
      <c r="AA20" s="37">
        <v>1.075</v>
      </c>
      <c r="AB20" s="38">
        <v>82.25</v>
      </c>
      <c r="AC20" s="39"/>
      <c r="AD20" s="37">
        <v>1.0679</v>
      </c>
      <c r="AE20" s="38">
        <v>81.93</v>
      </c>
      <c r="AF20" s="39"/>
      <c r="AG20" s="37">
        <v>1.0677</v>
      </c>
      <c r="AH20" s="38">
        <v>81.16</v>
      </c>
      <c r="AI20" s="39"/>
      <c r="AJ20" s="37">
        <v>1.0712</v>
      </c>
      <c r="AK20" s="38">
        <v>81.06</v>
      </c>
      <c r="AL20" s="39"/>
      <c r="AM20" s="37">
        <v>1.0621</v>
      </c>
      <c r="AN20" s="38">
        <v>81.8</v>
      </c>
      <c r="AO20" s="39"/>
      <c r="AP20" s="37">
        <v>1.0631</v>
      </c>
      <c r="AQ20" s="38">
        <v>80.55</v>
      </c>
      <c r="AR20" s="39"/>
      <c r="AS20" s="37">
        <v>1.0634</v>
      </c>
      <c r="AT20" s="38">
        <v>81.82</v>
      </c>
      <c r="AU20" s="39"/>
      <c r="AV20" s="37">
        <v>1.0461</v>
      </c>
      <c r="AW20" s="38">
        <v>81.46</v>
      </c>
      <c r="AX20" s="39"/>
      <c r="AY20" s="37">
        <v>1.036</v>
      </c>
      <c r="AZ20" s="38">
        <v>81.27</v>
      </c>
      <c r="BA20" s="39"/>
      <c r="BB20" s="37">
        <v>1.0359</v>
      </c>
      <c r="BC20" s="38">
        <v>81.6</v>
      </c>
      <c r="BD20" s="39"/>
      <c r="BE20" s="37">
        <v>1.0338</v>
      </c>
      <c r="BF20" s="38">
        <v>81.53</v>
      </c>
      <c r="BG20" s="39"/>
      <c r="BH20" s="37">
        <v>1.0355</v>
      </c>
      <c r="BI20" s="38">
        <v>82.12</v>
      </c>
      <c r="BJ20" s="39"/>
      <c r="BK20" s="37">
        <v>1.0406</v>
      </c>
      <c r="BL20" s="38">
        <v>83.01</v>
      </c>
      <c r="BM20" s="38"/>
      <c r="BN20" s="37">
        <f t="shared" si="0"/>
        <v>1.058557142857143</v>
      </c>
      <c r="BO20" s="37">
        <f t="shared" si="1"/>
        <v>80.92190476190476</v>
      </c>
      <c r="BP20" s="25"/>
      <c r="BQ20" s="25"/>
      <c r="BR20" s="25"/>
      <c r="BS20" s="89"/>
      <c r="BT20" s="40"/>
      <c r="BU20" s="40"/>
      <c r="BV20" s="25"/>
      <c r="BW20" s="26"/>
      <c r="BX20" s="24"/>
      <c r="BY20" s="25"/>
      <c r="BZ20" s="25"/>
      <c r="CA20" s="24"/>
      <c r="CB20" s="25"/>
      <c r="CC20" s="26"/>
      <c r="CD20" s="24"/>
      <c r="CE20" s="25"/>
      <c r="CF20" s="26"/>
      <c r="CG20" s="24"/>
      <c r="CH20" s="25"/>
      <c r="CI20" s="26"/>
      <c r="CJ20" s="24"/>
      <c r="CK20" s="25"/>
      <c r="CL20" s="26"/>
      <c r="CM20" s="24"/>
      <c r="CN20" s="25"/>
      <c r="CO20" s="26"/>
      <c r="CP20" s="24"/>
      <c r="CQ20" s="25"/>
      <c r="CR20" s="26"/>
      <c r="CS20" s="24"/>
      <c r="CT20" s="25"/>
      <c r="CU20" s="26"/>
      <c r="CV20" s="24"/>
      <c r="CW20" s="25"/>
      <c r="CX20" s="26"/>
      <c r="CY20" s="24"/>
      <c r="CZ20" s="25"/>
      <c r="DA20" s="26"/>
      <c r="DB20" s="24"/>
      <c r="DC20" s="25"/>
      <c r="DD20" s="26"/>
      <c r="DE20" s="24"/>
      <c r="DF20" s="25"/>
      <c r="DG20" s="26"/>
      <c r="DH20" s="24"/>
      <c r="DI20" s="25"/>
      <c r="DJ20" s="26"/>
      <c r="DK20" s="24"/>
      <c r="DL20" s="25"/>
      <c r="DM20" s="26"/>
      <c r="DN20" s="24"/>
      <c r="DO20" s="25"/>
      <c r="DP20" s="26"/>
      <c r="DQ20" s="24"/>
      <c r="DR20" s="25"/>
      <c r="DS20" s="26"/>
      <c r="DT20" s="24"/>
      <c r="DU20" s="25"/>
      <c r="DV20" s="26"/>
      <c r="DW20" s="24"/>
      <c r="DX20" s="25"/>
      <c r="DY20" s="26"/>
      <c r="DZ20" s="24"/>
      <c r="EA20" s="25"/>
      <c r="EB20" s="26"/>
      <c r="EC20" s="24"/>
      <c r="ED20" s="25"/>
      <c r="EE20" s="26"/>
      <c r="EF20" s="26"/>
      <c r="EG20" s="25"/>
      <c r="EH20" s="25"/>
      <c r="EI20" s="25"/>
      <c r="EJ20" s="25"/>
      <c r="EK20" s="25"/>
      <c r="EL20" s="25"/>
      <c r="EM20" s="89"/>
      <c r="EN20" s="40"/>
      <c r="EO20" s="41"/>
      <c r="EP20" s="25"/>
      <c r="EQ20" s="38"/>
      <c r="ER20" s="39"/>
      <c r="ES20" s="37"/>
      <c r="ET20" s="38"/>
      <c r="EU20" s="39"/>
      <c r="EV20" s="37"/>
      <c r="EW20" s="38"/>
      <c r="EX20" s="39"/>
      <c r="EY20" s="37"/>
      <c r="EZ20" s="38"/>
      <c r="FA20" s="39"/>
      <c r="FB20" s="37"/>
      <c r="FC20" s="38"/>
      <c r="FD20" s="39"/>
      <c r="FE20" s="37"/>
      <c r="FF20" s="38"/>
      <c r="FG20" s="39"/>
      <c r="FH20" s="37"/>
      <c r="FI20" s="38"/>
      <c r="FJ20" s="39"/>
      <c r="FK20" s="37"/>
      <c r="FL20" s="38"/>
      <c r="FM20" s="39"/>
      <c r="FN20" s="37"/>
      <c r="FO20" s="38"/>
      <c r="FP20" s="39"/>
      <c r="FQ20" s="37"/>
      <c r="FR20" s="38"/>
      <c r="FS20" s="39"/>
      <c r="FT20" s="37"/>
      <c r="FU20" s="38"/>
      <c r="FV20" s="39"/>
      <c r="FW20" s="37"/>
      <c r="FX20" s="38"/>
      <c r="FY20" s="39"/>
      <c r="FZ20" s="37"/>
      <c r="GA20" s="38"/>
      <c r="GB20" s="39"/>
      <c r="GC20" s="37"/>
      <c r="GD20" s="38"/>
      <c r="GE20" s="39"/>
      <c r="GF20" s="37"/>
      <c r="GG20" s="38"/>
      <c r="GH20" s="39"/>
      <c r="GI20" s="37"/>
      <c r="GJ20" s="38"/>
      <c r="GK20" s="39"/>
      <c r="GL20" s="37"/>
      <c r="GM20" s="38"/>
      <c r="GN20" s="39"/>
      <c r="GO20" s="37"/>
      <c r="GP20" s="38"/>
      <c r="GQ20" s="39"/>
      <c r="GR20" s="37"/>
      <c r="GS20" s="38"/>
      <c r="GT20" s="39"/>
      <c r="GU20" s="37"/>
      <c r="GV20" s="38"/>
      <c r="GW20" s="39"/>
      <c r="GX20" s="37"/>
      <c r="GY20" s="38"/>
      <c r="GZ20" s="38"/>
      <c r="HA20" s="37"/>
      <c r="HB20" s="37"/>
      <c r="HC20" s="37"/>
      <c r="HD20" s="25"/>
      <c r="HE20" s="25"/>
      <c r="HF20" s="25"/>
      <c r="HG20" s="89"/>
      <c r="HH20" s="35"/>
      <c r="HI20" s="73"/>
      <c r="HJ20" s="37"/>
      <c r="HK20" s="38"/>
      <c r="HL20" s="39"/>
      <c r="HM20" s="37"/>
      <c r="HN20" s="38"/>
      <c r="HO20" s="39"/>
      <c r="HP20" s="37"/>
      <c r="HQ20" s="38"/>
      <c r="HR20" s="39"/>
      <c r="HS20" s="37"/>
      <c r="HT20" s="38"/>
      <c r="HU20" s="39"/>
      <c r="HV20" s="37"/>
      <c r="HW20" s="38"/>
      <c r="HX20" s="39"/>
      <c r="HY20" s="37"/>
      <c r="HZ20" s="38"/>
      <c r="IA20" s="39"/>
      <c r="IB20" s="37"/>
      <c r="IC20" s="38"/>
      <c r="ID20" s="39"/>
      <c r="IE20" s="37"/>
      <c r="IF20" s="38"/>
      <c r="IG20" s="39"/>
      <c r="IH20" s="37"/>
      <c r="II20" s="38"/>
      <c r="IJ20" s="39"/>
      <c r="IK20" s="37"/>
      <c r="IL20" s="38"/>
      <c r="IM20" s="39"/>
      <c r="IN20" s="37"/>
      <c r="IO20" s="38"/>
      <c r="IP20" s="39"/>
      <c r="IQ20" s="37"/>
      <c r="IR20" s="38"/>
      <c r="IS20" s="39"/>
      <c r="IT20" s="37"/>
      <c r="IU20" s="38"/>
    </row>
    <row r="21" spans="1:255" ht="15.75" customHeight="1">
      <c r="A21" s="35">
        <v>9</v>
      </c>
      <c r="B21" s="73" t="s">
        <v>22</v>
      </c>
      <c r="C21" s="37">
        <v>6.4552</v>
      </c>
      <c r="D21" s="38">
        <v>12.85</v>
      </c>
      <c r="E21" s="39"/>
      <c r="F21" s="37">
        <v>6.5245</v>
      </c>
      <c r="G21" s="38">
        <v>12.86</v>
      </c>
      <c r="H21" s="39"/>
      <c r="I21" s="37">
        <v>6.5791</v>
      </c>
      <c r="J21" s="38">
        <v>12.87</v>
      </c>
      <c r="K21" s="39"/>
      <c r="L21" s="37">
        <v>6.5357</v>
      </c>
      <c r="M21" s="38">
        <v>12.87</v>
      </c>
      <c r="N21" s="39"/>
      <c r="O21" s="37">
        <v>6.6472</v>
      </c>
      <c r="P21" s="38">
        <v>12.87</v>
      </c>
      <c r="Q21" s="39"/>
      <c r="R21" s="37">
        <v>6.6462</v>
      </c>
      <c r="S21" s="38">
        <v>12.9</v>
      </c>
      <c r="T21" s="39"/>
      <c r="U21" s="37">
        <v>6.6672</v>
      </c>
      <c r="V21" s="38">
        <v>12.95</v>
      </c>
      <c r="W21" s="39"/>
      <c r="X21" s="37">
        <v>6.7396</v>
      </c>
      <c r="Y21" s="38">
        <v>12.9</v>
      </c>
      <c r="Z21" s="39"/>
      <c r="AA21" s="37">
        <v>6.8307</v>
      </c>
      <c r="AB21" s="38">
        <v>12.94</v>
      </c>
      <c r="AC21" s="39"/>
      <c r="AD21" s="37">
        <v>6.7414</v>
      </c>
      <c r="AE21" s="38">
        <v>12.98</v>
      </c>
      <c r="AF21" s="39"/>
      <c r="AG21" s="37">
        <v>6.7082</v>
      </c>
      <c r="AH21" s="38">
        <v>12.92</v>
      </c>
      <c r="AI21" s="39"/>
      <c r="AJ21" s="37">
        <v>6.7764</v>
      </c>
      <c r="AK21" s="38">
        <v>12.81</v>
      </c>
      <c r="AL21" s="39"/>
      <c r="AM21" s="37">
        <v>6.7462</v>
      </c>
      <c r="AN21" s="38">
        <v>12.88</v>
      </c>
      <c r="AO21" s="39"/>
      <c r="AP21" s="37">
        <v>6.669</v>
      </c>
      <c r="AQ21" s="38">
        <v>12.84</v>
      </c>
      <c r="AR21" s="39"/>
      <c r="AS21" s="37">
        <v>6.7412</v>
      </c>
      <c r="AT21" s="38">
        <v>12.91</v>
      </c>
      <c r="AU21" s="39"/>
      <c r="AV21" s="37">
        <v>6.5396</v>
      </c>
      <c r="AW21" s="38">
        <v>13.03</v>
      </c>
      <c r="AX21" s="39"/>
      <c r="AY21" s="37">
        <v>6.5051</v>
      </c>
      <c r="AZ21" s="38">
        <v>12.94</v>
      </c>
      <c r="BA21" s="39"/>
      <c r="BB21" s="37">
        <v>6.5683</v>
      </c>
      <c r="BC21" s="38">
        <v>12.87</v>
      </c>
      <c r="BD21" s="39"/>
      <c r="BE21" s="37">
        <v>6.5691</v>
      </c>
      <c r="BF21" s="38">
        <v>12.83</v>
      </c>
      <c r="BG21" s="39"/>
      <c r="BH21" s="37">
        <v>6.642</v>
      </c>
      <c r="BI21" s="38">
        <v>12.8</v>
      </c>
      <c r="BJ21" s="39"/>
      <c r="BK21" s="37">
        <v>6.7681</v>
      </c>
      <c r="BL21" s="38">
        <v>12.76</v>
      </c>
      <c r="BM21" s="38"/>
      <c r="BN21" s="37">
        <f t="shared" si="0"/>
        <v>6.647619047619049</v>
      </c>
      <c r="BO21" s="37">
        <f t="shared" si="1"/>
        <v>12.884761904761904</v>
      </c>
      <c r="BP21" s="25"/>
      <c r="BQ21" s="25"/>
      <c r="BR21" s="25"/>
      <c r="BS21" s="89"/>
      <c r="BT21" s="40"/>
      <c r="BU21" s="40"/>
      <c r="BV21" s="25"/>
      <c r="BW21" s="26"/>
      <c r="BX21" s="24"/>
      <c r="BY21" s="25"/>
      <c r="BZ21" s="25"/>
      <c r="CA21" s="24"/>
      <c r="CB21" s="25"/>
      <c r="CC21" s="26"/>
      <c r="CD21" s="24"/>
      <c r="CE21" s="25"/>
      <c r="CF21" s="26"/>
      <c r="CG21" s="24"/>
      <c r="CH21" s="25"/>
      <c r="CI21" s="26"/>
      <c r="CJ21" s="24"/>
      <c r="CK21" s="25"/>
      <c r="CL21" s="26"/>
      <c r="CM21" s="24"/>
      <c r="CN21" s="25"/>
      <c r="CO21" s="26"/>
      <c r="CP21" s="24"/>
      <c r="CQ21" s="25"/>
      <c r="CR21" s="26"/>
      <c r="CS21" s="24"/>
      <c r="CT21" s="25"/>
      <c r="CU21" s="26"/>
      <c r="CV21" s="24"/>
      <c r="CW21" s="25"/>
      <c r="CX21" s="26"/>
      <c r="CY21" s="24"/>
      <c r="CZ21" s="25"/>
      <c r="DA21" s="26"/>
      <c r="DB21" s="24"/>
      <c r="DC21" s="25"/>
      <c r="DD21" s="26"/>
      <c r="DE21" s="24"/>
      <c r="DF21" s="25"/>
      <c r="DG21" s="26"/>
      <c r="DH21" s="24"/>
      <c r="DI21" s="25"/>
      <c r="DJ21" s="26"/>
      <c r="DK21" s="24"/>
      <c r="DL21" s="25"/>
      <c r="DM21" s="26"/>
      <c r="DN21" s="24"/>
      <c r="DO21" s="25"/>
      <c r="DP21" s="26"/>
      <c r="DQ21" s="24"/>
      <c r="DR21" s="25"/>
      <c r="DS21" s="26"/>
      <c r="DT21" s="24"/>
      <c r="DU21" s="25"/>
      <c r="DV21" s="26"/>
      <c r="DW21" s="24"/>
      <c r="DX21" s="25"/>
      <c r="DY21" s="26"/>
      <c r="DZ21" s="24"/>
      <c r="EA21" s="25"/>
      <c r="EB21" s="26"/>
      <c r="EC21" s="24"/>
      <c r="ED21" s="25"/>
      <c r="EE21" s="26"/>
      <c r="EF21" s="26"/>
      <c r="EG21" s="25"/>
      <c r="EH21" s="25"/>
      <c r="EI21" s="25"/>
      <c r="EJ21" s="25"/>
      <c r="EK21" s="25"/>
      <c r="EL21" s="25"/>
      <c r="EM21" s="89"/>
      <c r="EN21" s="40"/>
      <c r="EO21" s="41"/>
      <c r="EP21" s="25"/>
      <c r="EQ21" s="38"/>
      <c r="ER21" s="39"/>
      <c r="ES21" s="37"/>
      <c r="ET21" s="38"/>
      <c r="EU21" s="39"/>
      <c r="EV21" s="37"/>
      <c r="EW21" s="38"/>
      <c r="EX21" s="39"/>
      <c r="EY21" s="37"/>
      <c r="EZ21" s="38"/>
      <c r="FA21" s="39"/>
      <c r="FB21" s="37"/>
      <c r="FC21" s="38"/>
      <c r="FD21" s="39"/>
      <c r="FE21" s="37"/>
      <c r="FF21" s="38"/>
      <c r="FG21" s="39"/>
      <c r="FH21" s="37"/>
      <c r="FI21" s="38"/>
      <c r="FJ21" s="39"/>
      <c r="FK21" s="37"/>
      <c r="FL21" s="38"/>
      <c r="FM21" s="39"/>
      <c r="FN21" s="37"/>
      <c r="FO21" s="38"/>
      <c r="FP21" s="39"/>
      <c r="FQ21" s="37"/>
      <c r="FR21" s="38"/>
      <c r="FS21" s="39"/>
      <c r="FT21" s="37"/>
      <c r="FU21" s="38"/>
      <c r="FV21" s="39"/>
      <c r="FW21" s="37"/>
      <c r="FX21" s="38"/>
      <c r="FY21" s="39"/>
      <c r="FZ21" s="37"/>
      <c r="GA21" s="38"/>
      <c r="GB21" s="39"/>
      <c r="GC21" s="37"/>
      <c r="GD21" s="38"/>
      <c r="GE21" s="39"/>
      <c r="GF21" s="37"/>
      <c r="GG21" s="38"/>
      <c r="GH21" s="39"/>
      <c r="GI21" s="37"/>
      <c r="GJ21" s="38"/>
      <c r="GK21" s="39"/>
      <c r="GL21" s="37"/>
      <c r="GM21" s="38"/>
      <c r="GN21" s="39"/>
      <c r="GO21" s="37"/>
      <c r="GP21" s="38"/>
      <c r="GQ21" s="39"/>
      <c r="GR21" s="37"/>
      <c r="GS21" s="38"/>
      <c r="GT21" s="39"/>
      <c r="GU21" s="37"/>
      <c r="GV21" s="38"/>
      <c r="GW21" s="39"/>
      <c r="GX21" s="37"/>
      <c r="GY21" s="38"/>
      <c r="GZ21" s="38"/>
      <c r="HA21" s="37"/>
      <c r="HB21" s="37"/>
      <c r="HC21" s="37"/>
      <c r="HD21" s="25"/>
      <c r="HE21" s="25"/>
      <c r="HF21" s="25"/>
      <c r="HG21" s="89"/>
      <c r="HH21" s="35"/>
      <c r="HI21" s="73"/>
      <c r="HJ21" s="37"/>
      <c r="HK21" s="38"/>
      <c r="HL21" s="39"/>
      <c r="HM21" s="37"/>
      <c r="HN21" s="38"/>
      <c r="HO21" s="39"/>
      <c r="HP21" s="37"/>
      <c r="HQ21" s="38"/>
      <c r="HR21" s="39"/>
      <c r="HS21" s="37"/>
      <c r="HT21" s="38"/>
      <c r="HU21" s="39"/>
      <c r="HV21" s="37"/>
      <c r="HW21" s="38"/>
      <c r="HX21" s="39"/>
      <c r="HY21" s="37"/>
      <c r="HZ21" s="38"/>
      <c r="IA21" s="39"/>
      <c r="IB21" s="37"/>
      <c r="IC21" s="38"/>
      <c r="ID21" s="39"/>
      <c r="IE21" s="37"/>
      <c r="IF21" s="38"/>
      <c r="IG21" s="39"/>
      <c r="IH21" s="37"/>
      <c r="II21" s="38"/>
      <c r="IJ21" s="39"/>
      <c r="IK21" s="37"/>
      <c r="IL21" s="38"/>
      <c r="IM21" s="39"/>
      <c r="IN21" s="37"/>
      <c r="IO21" s="38"/>
      <c r="IP21" s="39"/>
      <c r="IQ21" s="37"/>
      <c r="IR21" s="38"/>
      <c r="IS21" s="39"/>
      <c r="IT21" s="37"/>
      <c r="IU21" s="38"/>
    </row>
    <row r="22" spans="1:255" ht="15.75" customHeight="1">
      <c r="A22" s="35">
        <v>10</v>
      </c>
      <c r="B22" s="73" t="s">
        <v>23</v>
      </c>
      <c r="C22" s="37">
        <v>5.4385</v>
      </c>
      <c r="D22" s="38">
        <v>15.25</v>
      </c>
      <c r="E22" s="39"/>
      <c r="F22" s="37">
        <v>5.5276</v>
      </c>
      <c r="G22" s="38">
        <v>15.17</v>
      </c>
      <c r="H22" s="39"/>
      <c r="I22" s="37">
        <v>5.5619</v>
      </c>
      <c r="J22" s="38">
        <v>15.22</v>
      </c>
      <c r="K22" s="39"/>
      <c r="L22" s="37">
        <v>5.5215</v>
      </c>
      <c r="M22" s="38">
        <v>15.24</v>
      </c>
      <c r="N22" s="39"/>
      <c r="O22" s="37">
        <v>5.5896</v>
      </c>
      <c r="P22" s="38">
        <v>15.3</v>
      </c>
      <c r="Q22" s="39"/>
      <c r="R22" s="37">
        <v>5.6169</v>
      </c>
      <c r="S22" s="38">
        <v>15.26</v>
      </c>
      <c r="T22" s="39"/>
      <c r="U22" s="37">
        <v>5.6454</v>
      </c>
      <c r="V22" s="38">
        <v>15.3</v>
      </c>
      <c r="W22" s="39"/>
      <c r="X22" s="37">
        <v>5.6992</v>
      </c>
      <c r="Y22" s="38">
        <v>15.25</v>
      </c>
      <c r="Z22" s="39"/>
      <c r="AA22" s="37">
        <v>5.8121</v>
      </c>
      <c r="AB22" s="38">
        <v>15.21</v>
      </c>
      <c r="AC22" s="39"/>
      <c r="AD22" s="37">
        <v>5.7485</v>
      </c>
      <c r="AE22" s="38">
        <v>15.22</v>
      </c>
      <c r="AF22" s="39"/>
      <c r="AG22" s="37">
        <v>5.7311</v>
      </c>
      <c r="AH22" s="38">
        <v>15.12</v>
      </c>
      <c r="AI22" s="39"/>
      <c r="AJ22" s="37">
        <v>5.7932</v>
      </c>
      <c r="AK22" s="38">
        <v>14.99</v>
      </c>
      <c r="AL22" s="39"/>
      <c r="AM22" s="37">
        <v>5.8106</v>
      </c>
      <c r="AN22" s="38">
        <v>14.95</v>
      </c>
      <c r="AO22" s="39"/>
      <c r="AP22" s="37">
        <v>5.7881</v>
      </c>
      <c r="AQ22" s="38">
        <v>14.79</v>
      </c>
      <c r="AR22" s="39"/>
      <c r="AS22" s="37">
        <v>5.8207</v>
      </c>
      <c r="AT22" s="38">
        <v>14.95</v>
      </c>
      <c r="AU22" s="39"/>
      <c r="AV22" s="37">
        <v>5.6217</v>
      </c>
      <c r="AW22" s="38">
        <v>15.16</v>
      </c>
      <c r="AX22" s="39"/>
      <c r="AY22" s="37">
        <v>5.57</v>
      </c>
      <c r="AZ22" s="38">
        <v>15.12</v>
      </c>
      <c r="BA22" s="39"/>
      <c r="BB22" s="37">
        <v>5.6006</v>
      </c>
      <c r="BC22" s="38">
        <v>15.09</v>
      </c>
      <c r="BD22" s="39"/>
      <c r="BE22" s="37">
        <v>5.611</v>
      </c>
      <c r="BF22" s="38">
        <v>15.02</v>
      </c>
      <c r="BG22" s="39"/>
      <c r="BH22" s="37">
        <v>5.6705</v>
      </c>
      <c r="BI22" s="38">
        <v>15</v>
      </c>
      <c r="BJ22" s="39"/>
      <c r="BK22" s="37">
        <v>5.7827</v>
      </c>
      <c r="BL22" s="38">
        <v>14.94</v>
      </c>
      <c r="BM22" s="38"/>
      <c r="BN22" s="37">
        <f t="shared" si="0"/>
        <v>5.664828571428573</v>
      </c>
      <c r="BO22" s="37">
        <f t="shared" si="1"/>
        <v>15.12142857142857</v>
      </c>
      <c r="BP22" s="25"/>
      <c r="BQ22" s="25"/>
      <c r="BR22" s="25"/>
      <c r="BS22" s="89"/>
      <c r="BT22" s="40"/>
      <c r="BU22" s="40"/>
      <c r="BV22" s="25"/>
      <c r="BW22" s="26"/>
      <c r="BX22" s="24"/>
      <c r="BY22" s="25"/>
      <c r="BZ22" s="25"/>
      <c r="CA22" s="24"/>
      <c r="CB22" s="25"/>
      <c r="CC22" s="26"/>
      <c r="CD22" s="24"/>
      <c r="CE22" s="25"/>
      <c r="CF22" s="26"/>
      <c r="CG22" s="24"/>
      <c r="CH22" s="25"/>
      <c r="CI22" s="26"/>
      <c r="CJ22" s="24"/>
      <c r="CK22" s="25"/>
      <c r="CL22" s="26"/>
      <c r="CM22" s="24"/>
      <c r="CN22" s="25"/>
      <c r="CO22" s="26"/>
      <c r="CP22" s="24"/>
      <c r="CQ22" s="25"/>
      <c r="CR22" s="26"/>
      <c r="CS22" s="24"/>
      <c r="CT22" s="25"/>
      <c r="CU22" s="26"/>
      <c r="CV22" s="24"/>
      <c r="CW22" s="25"/>
      <c r="CX22" s="26"/>
      <c r="CY22" s="24"/>
      <c r="CZ22" s="25"/>
      <c r="DA22" s="26"/>
      <c r="DB22" s="24"/>
      <c r="DC22" s="25"/>
      <c r="DD22" s="26"/>
      <c r="DE22" s="24"/>
      <c r="DF22" s="25"/>
      <c r="DG22" s="26"/>
      <c r="DH22" s="24"/>
      <c r="DI22" s="25"/>
      <c r="DJ22" s="26"/>
      <c r="DK22" s="24"/>
      <c r="DL22" s="25"/>
      <c r="DM22" s="26"/>
      <c r="DN22" s="24"/>
      <c r="DO22" s="25"/>
      <c r="DP22" s="26"/>
      <c r="DQ22" s="24"/>
      <c r="DR22" s="25"/>
      <c r="DS22" s="26"/>
      <c r="DT22" s="24"/>
      <c r="DU22" s="25"/>
      <c r="DV22" s="26"/>
      <c r="DW22" s="24"/>
      <c r="DX22" s="25"/>
      <c r="DY22" s="26"/>
      <c r="DZ22" s="24"/>
      <c r="EA22" s="25"/>
      <c r="EB22" s="26"/>
      <c r="EC22" s="24"/>
      <c r="ED22" s="25"/>
      <c r="EE22" s="26"/>
      <c r="EF22" s="26"/>
      <c r="EG22" s="25"/>
      <c r="EH22" s="25"/>
      <c r="EI22" s="25"/>
      <c r="EJ22" s="25"/>
      <c r="EK22" s="25"/>
      <c r="EL22" s="25"/>
      <c r="EM22" s="89"/>
      <c r="EN22" s="40"/>
      <c r="EO22" s="41"/>
      <c r="EP22" s="25"/>
      <c r="EQ22" s="38"/>
      <c r="ER22" s="39"/>
      <c r="ES22" s="37"/>
      <c r="ET22" s="38"/>
      <c r="EU22" s="39"/>
      <c r="EV22" s="37"/>
      <c r="EW22" s="38"/>
      <c r="EX22" s="39"/>
      <c r="EY22" s="37"/>
      <c r="EZ22" s="38"/>
      <c r="FA22" s="39"/>
      <c r="FB22" s="37"/>
      <c r="FC22" s="38"/>
      <c r="FD22" s="39"/>
      <c r="FE22" s="37"/>
      <c r="FF22" s="38"/>
      <c r="FG22" s="39"/>
      <c r="FH22" s="37"/>
      <c r="FI22" s="38"/>
      <c r="FJ22" s="39"/>
      <c r="FK22" s="37"/>
      <c r="FL22" s="38"/>
      <c r="FM22" s="39"/>
      <c r="FN22" s="37"/>
      <c r="FO22" s="38"/>
      <c r="FP22" s="39"/>
      <c r="FQ22" s="37"/>
      <c r="FR22" s="38"/>
      <c r="FS22" s="39"/>
      <c r="FT22" s="37"/>
      <c r="FU22" s="38"/>
      <c r="FV22" s="39"/>
      <c r="FW22" s="37"/>
      <c r="FX22" s="38"/>
      <c r="FY22" s="39"/>
      <c r="FZ22" s="37"/>
      <c r="GA22" s="38"/>
      <c r="GB22" s="39"/>
      <c r="GC22" s="37"/>
      <c r="GD22" s="38"/>
      <c r="GE22" s="39"/>
      <c r="GF22" s="37"/>
      <c r="GG22" s="38"/>
      <c r="GH22" s="39"/>
      <c r="GI22" s="37"/>
      <c r="GJ22" s="38"/>
      <c r="GK22" s="39"/>
      <c r="GL22" s="37"/>
      <c r="GM22" s="38"/>
      <c r="GN22" s="39"/>
      <c r="GO22" s="37"/>
      <c r="GP22" s="38"/>
      <c r="GQ22" s="39"/>
      <c r="GR22" s="37"/>
      <c r="GS22" s="38"/>
      <c r="GT22" s="39"/>
      <c r="GU22" s="37"/>
      <c r="GV22" s="38"/>
      <c r="GW22" s="39"/>
      <c r="GX22" s="37"/>
      <c r="GY22" s="38"/>
      <c r="GZ22" s="38"/>
      <c r="HA22" s="37"/>
      <c r="HB22" s="37"/>
      <c r="HC22" s="37"/>
      <c r="HD22" s="25"/>
      <c r="HE22" s="25"/>
      <c r="HF22" s="25"/>
      <c r="HG22" s="89"/>
      <c r="HH22" s="35"/>
      <c r="HI22" s="73"/>
      <c r="HJ22" s="37"/>
      <c r="HK22" s="38"/>
      <c r="HL22" s="39"/>
      <c r="HM22" s="37"/>
      <c r="HN22" s="38"/>
      <c r="HO22" s="39"/>
      <c r="HP22" s="37"/>
      <c r="HQ22" s="38"/>
      <c r="HR22" s="39"/>
      <c r="HS22" s="37"/>
      <c r="HT22" s="38"/>
      <c r="HU22" s="39"/>
      <c r="HV22" s="37"/>
      <c r="HW22" s="38"/>
      <c r="HX22" s="39"/>
      <c r="HY22" s="37"/>
      <c r="HZ22" s="38"/>
      <c r="IA22" s="39"/>
      <c r="IB22" s="37"/>
      <c r="IC22" s="38"/>
      <c r="ID22" s="39"/>
      <c r="IE22" s="37"/>
      <c r="IF22" s="38"/>
      <c r="IG22" s="39"/>
      <c r="IH22" s="37"/>
      <c r="II22" s="38"/>
      <c r="IJ22" s="39"/>
      <c r="IK22" s="37"/>
      <c r="IL22" s="38"/>
      <c r="IM22" s="39"/>
      <c r="IN22" s="37"/>
      <c r="IO22" s="38"/>
      <c r="IP22" s="39"/>
      <c r="IQ22" s="37"/>
      <c r="IR22" s="38"/>
      <c r="IS22" s="39"/>
      <c r="IT22" s="37"/>
      <c r="IU22" s="38"/>
    </row>
    <row r="23" spans="1:255" ht="15.75" customHeight="1">
      <c r="A23" s="35">
        <v>11</v>
      </c>
      <c r="B23" s="73" t="s">
        <v>24</v>
      </c>
      <c r="C23" s="37">
        <v>5.0929</v>
      </c>
      <c r="D23" s="38">
        <v>16.29</v>
      </c>
      <c r="E23" s="39"/>
      <c r="F23" s="37">
        <v>5.1464</v>
      </c>
      <c r="G23" s="38">
        <v>16.3</v>
      </c>
      <c r="H23" s="39"/>
      <c r="I23" s="37">
        <v>5.1782</v>
      </c>
      <c r="J23" s="38">
        <v>16.35</v>
      </c>
      <c r="K23" s="39"/>
      <c r="L23" s="37">
        <v>5.1355</v>
      </c>
      <c r="M23" s="38">
        <v>16.38</v>
      </c>
      <c r="N23" s="39"/>
      <c r="O23" s="37">
        <v>5.2337</v>
      </c>
      <c r="P23" s="38">
        <v>16.34</v>
      </c>
      <c r="Q23" s="39"/>
      <c r="R23" s="37">
        <v>5.242</v>
      </c>
      <c r="S23" s="38">
        <v>16.35</v>
      </c>
      <c r="T23" s="39"/>
      <c r="U23" s="37">
        <v>5.2542</v>
      </c>
      <c r="V23" s="38">
        <v>16.44</v>
      </c>
      <c r="W23" s="39"/>
      <c r="X23" s="37">
        <v>5.2831</v>
      </c>
      <c r="Y23" s="38">
        <v>16.45</v>
      </c>
      <c r="Z23" s="39"/>
      <c r="AA23" s="37">
        <v>5.3614</v>
      </c>
      <c r="AB23" s="38">
        <v>16.49</v>
      </c>
      <c r="AC23" s="39"/>
      <c r="AD23" s="37">
        <v>5.2855</v>
      </c>
      <c r="AE23" s="38">
        <v>16.55</v>
      </c>
      <c r="AF23" s="39"/>
      <c r="AG23" s="37">
        <v>5.2291</v>
      </c>
      <c r="AH23" s="38">
        <v>16.57</v>
      </c>
      <c r="AI23" s="39"/>
      <c r="AJ23" s="37">
        <v>5.2381</v>
      </c>
      <c r="AK23" s="38">
        <v>16.58</v>
      </c>
      <c r="AL23" s="39"/>
      <c r="AM23" s="37">
        <v>5.2449</v>
      </c>
      <c r="AN23" s="38">
        <v>16.56</v>
      </c>
      <c r="AO23" s="39"/>
      <c r="AP23" s="37">
        <v>5.1689</v>
      </c>
      <c r="AQ23" s="38">
        <v>16.57</v>
      </c>
      <c r="AR23" s="39"/>
      <c r="AS23" s="37">
        <v>5.2547</v>
      </c>
      <c r="AT23" s="38">
        <v>16.56</v>
      </c>
      <c r="AU23" s="39"/>
      <c r="AV23" s="37">
        <v>5.1215</v>
      </c>
      <c r="AW23" s="38">
        <v>16.64</v>
      </c>
      <c r="AX23" s="39"/>
      <c r="AY23" s="37">
        <v>5.0628</v>
      </c>
      <c r="AZ23" s="38">
        <v>16.63</v>
      </c>
      <c r="BA23" s="39"/>
      <c r="BB23" s="37">
        <v>5.0864</v>
      </c>
      <c r="BC23" s="38">
        <v>16.62</v>
      </c>
      <c r="BD23" s="39"/>
      <c r="BE23" s="37">
        <v>5.0692</v>
      </c>
      <c r="BF23" s="38">
        <v>16.63</v>
      </c>
      <c r="BG23" s="39"/>
      <c r="BH23" s="37">
        <v>5.1152</v>
      </c>
      <c r="BI23" s="38">
        <v>16.62</v>
      </c>
      <c r="BJ23" s="39"/>
      <c r="BK23" s="37">
        <v>5.2069</v>
      </c>
      <c r="BL23" s="38">
        <v>16.59</v>
      </c>
      <c r="BM23" s="38"/>
      <c r="BN23" s="37">
        <f t="shared" si="0"/>
        <v>5.190980952380952</v>
      </c>
      <c r="BO23" s="37">
        <f t="shared" si="1"/>
        <v>16.50047619047619</v>
      </c>
      <c r="BP23" s="25"/>
      <c r="BQ23" s="25"/>
      <c r="BR23" s="25"/>
      <c r="BS23" s="89"/>
      <c r="BT23" s="40"/>
      <c r="BU23" s="40"/>
      <c r="BV23" s="25"/>
      <c r="BW23" s="26"/>
      <c r="BX23" s="24"/>
      <c r="BY23" s="25"/>
      <c r="BZ23" s="25"/>
      <c r="CA23" s="24"/>
      <c r="CB23" s="25"/>
      <c r="CC23" s="26"/>
      <c r="CD23" s="24"/>
      <c r="CE23" s="25"/>
      <c r="CF23" s="26"/>
      <c r="CG23" s="24"/>
      <c r="CH23" s="25"/>
      <c r="CI23" s="26"/>
      <c r="CJ23" s="24"/>
      <c r="CK23" s="25"/>
      <c r="CL23" s="26"/>
      <c r="CM23" s="24"/>
      <c r="CN23" s="25"/>
      <c r="CO23" s="26"/>
      <c r="CP23" s="24"/>
      <c r="CQ23" s="25"/>
      <c r="CR23" s="26"/>
      <c r="CS23" s="24"/>
      <c r="CT23" s="25"/>
      <c r="CU23" s="26"/>
      <c r="CV23" s="24"/>
      <c r="CW23" s="25"/>
      <c r="CX23" s="26"/>
      <c r="CY23" s="24"/>
      <c r="CZ23" s="25"/>
      <c r="DA23" s="26"/>
      <c r="DB23" s="24"/>
      <c r="DC23" s="25"/>
      <c r="DD23" s="26"/>
      <c r="DE23" s="24"/>
      <c r="DF23" s="25"/>
      <c r="DG23" s="26"/>
      <c r="DH23" s="24"/>
      <c r="DI23" s="25"/>
      <c r="DJ23" s="26"/>
      <c r="DK23" s="24"/>
      <c r="DL23" s="25"/>
      <c r="DM23" s="26"/>
      <c r="DN23" s="24"/>
      <c r="DO23" s="25"/>
      <c r="DP23" s="26"/>
      <c r="DQ23" s="24"/>
      <c r="DR23" s="25"/>
      <c r="DS23" s="26"/>
      <c r="DT23" s="24"/>
      <c r="DU23" s="25"/>
      <c r="DV23" s="26"/>
      <c r="DW23" s="24"/>
      <c r="DX23" s="25"/>
      <c r="DY23" s="26"/>
      <c r="DZ23" s="24"/>
      <c r="EA23" s="25"/>
      <c r="EB23" s="26"/>
      <c r="EC23" s="24"/>
      <c r="ED23" s="25"/>
      <c r="EE23" s="26"/>
      <c r="EF23" s="26"/>
      <c r="EG23" s="25"/>
      <c r="EH23" s="25"/>
      <c r="EI23" s="25"/>
      <c r="EJ23" s="25"/>
      <c r="EK23" s="25"/>
      <c r="EL23" s="25"/>
      <c r="EM23" s="89"/>
      <c r="EN23" s="40"/>
      <c r="EO23" s="41"/>
      <c r="EP23" s="25"/>
      <c r="EQ23" s="38"/>
      <c r="ER23" s="39"/>
      <c r="ES23" s="37"/>
      <c r="ET23" s="38"/>
      <c r="EU23" s="39"/>
      <c r="EV23" s="37"/>
      <c r="EW23" s="38"/>
      <c r="EX23" s="39"/>
      <c r="EY23" s="37"/>
      <c r="EZ23" s="38"/>
      <c r="FA23" s="39"/>
      <c r="FB23" s="37"/>
      <c r="FC23" s="38"/>
      <c r="FD23" s="39"/>
      <c r="FE23" s="37"/>
      <c r="FF23" s="38"/>
      <c r="FG23" s="39"/>
      <c r="FH23" s="37"/>
      <c r="FI23" s="38"/>
      <c r="FJ23" s="39"/>
      <c r="FK23" s="37"/>
      <c r="FL23" s="38"/>
      <c r="FM23" s="39"/>
      <c r="FN23" s="37"/>
      <c r="FO23" s="38"/>
      <c r="FP23" s="39"/>
      <c r="FQ23" s="37"/>
      <c r="FR23" s="38"/>
      <c r="FS23" s="39"/>
      <c r="FT23" s="37"/>
      <c r="FU23" s="38"/>
      <c r="FV23" s="39"/>
      <c r="FW23" s="37"/>
      <c r="FX23" s="38"/>
      <c r="FY23" s="39"/>
      <c r="FZ23" s="37"/>
      <c r="GA23" s="38"/>
      <c r="GB23" s="39"/>
      <c r="GC23" s="37"/>
      <c r="GD23" s="38"/>
      <c r="GE23" s="39"/>
      <c r="GF23" s="37"/>
      <c r="GG23" s="38"/>
      <c r="GH23" s="39"/>
      <c r="GI23" s="37"/>
      <c r="GJ23" s="38"/>
      <c r="GK23" s="39"/>
      <c r="GL23" s="37"/>
      <c r="GM23" s="38"/>
      <c r="GN23" s="39"/>
      <c r="GO23" s="37"/>
      <c r="GP23" s="38"/>
      <c r="GQ23" s="39"/>
      <c r="GR23" s="37"/>
      <c r="GS23" s="38"/>
      <c r="GT23" s="39"/>
      <c r="GU23" s="37"/>
      <c r="GV23" s="38"/>
      <c r="GW23" s="39"/>
      <c r="GX23" s="37"/>
      <c r="GY23" s="38"/>
      <c r="GZ23" s="38"/>
      <c r="HA23" s="37"/>
      <c r="HB23" s="37"/>
      <c r="HC23" s="37"/>
      <c r="HD23" s="25"/>
      <c r="HE23" s="25"/>
      <c r="HF23" s="25"/>
      <c r="HG23" s="89"/>
      <c r="HH23" s="35"/>
      <c r="HI23" s="73"/>
      <c r="HJ23" s="37"/>
      <c r="HK23" s="38"/>
      <c r="HL23" s="39"/>
      <c r="HM23" s="37"/>
      <c r="HN23" s="38"/>
      <c r="HO23" s="39"/>
      <c r="HP23" s="37"/>
      <c r="HQ23" s="38"/>
      <c r="HR23" s="39"/>
      <c r="HS23" s="37"/>
      <c r="HT23" s="38"/>
      <c r="HU23" s="39"/>
      <c r="HV23" s="37"/>
      <c r="HW23" s="38"/>
      <c r="HX23" s="39"/>
      <c r="HY23" s="37"/>
      <c r="HZ23" s="38"/>
      <c r="IA23" s="39"/>
      <c r="IB23" s="37"/>
      <c r="IC23" s="38"/>
      <c r="ID23" s="39"/>
      <c r="IE23" s="37"/>
      <c r="IF23" s="38"/>
      <c r="IG23" s="39"/>
      <c r="IH23" s="37"/>
      <c r="II23" s="38"/>
      <c r="IJ23" s="39"/>
      <c r="IK23" s="37"/>
      <c r="IL23" s="38"/>
      <c r="IM23" s="39"/>
      <c r="IN23" s="37"/>
      <c r="IO23" s="38"/>
      <c r="IP23" s="39"/>
      <c r="IQ23" s="37"/>
      <c r="IR23" s="38"/>
      <c r="IS23" s="39"/>
      <c r="IT23" s="37"/>
      <c r="IU23" s="38"/>
    </row>
    <row r="24" spans="1:255" ht="15.75" customHeight="1">
      <c r="A24" s="35">
        <v>12</v>
      </c>
      <c r="B24" s="73" t="s">
        <v>25</v>
      </c>
      <c r="C24" s="37">
        <v>0.63699</v>
      </c>
      <c r="D24" s="38">
        <v>130.23</v>
      </c>
      <c r="E24" s="39"/>
      <c r="F24" s="37">
        <v>0.63699</v>
      </c>
      <c r="G24" s="38">
        <v>131.67</v>
      </c>
      <c r="H24" s="39"/>
      <c r="I24" s="37">
        <v>0.64252</v>
      </c>
      <c r="J24" s="38">
        <v>131.77</v>
      </c>
      <c r="K24" s="39"/>
      <c r="L24" s="37">
        <v>0.6442</v>
      </c>
      <c r="M24" s="38">
        <v>130.58</v>
      </c>
      <c r="N24" s="39"/>
      <c r="O24" s="37">
        <v>0.64283</v>
      </c>
      <c r="P24" s="38">
        <v>133.06</v>
      </c>
      <c r="Q24" s="39"/>
      <c r="R24" s="37">
        <v>0.64661</v>
      </c>
      <c r="S24" s="38">
        <v>132.55</v>
      </c>
      <c r="T24" s="39"/>
      <c r="U24" s="37">
        <v>0.64792</v>
      </c>
      <c r="V24" s="38">
        <v>133.31</v>
      </c>
      <c r="W24" s="39"/>
      <c r="X24" s="37">
        <v>0.64812</v>
      </c>
      <c r="Y24" s="38">
        <v>134.12</v>
      </c>
      <c r="Z24" s="39"/>
      <c r="AA24" s="37">
        <v>0.64938</v>
      </c>
      <c r="AB24" s="38">
        <v>136.15</v>
      </c>
      <c r="AC24" s="39"/>
      <c r="AD24" s="37">
        <v>0.65189</v>
      </c>
      <c r="AE24" s="38">
        <v>134.21</v>
      </c>
      <c r="AF24" s="39"/>
      <c r="AG24" s="37">
        <v>0.64888</v>
      </c>
      <c r="AH24" s="38">
        <v>133.55</v>
      </c>
      <c r="AI24" s="39"/>
      <c r="AJ24" s="37">
        <v>0.64524</v>
      </c>
      <c r="AK24" s="38">
        <v>134.57</v>
      </c>
      <c r="AL24" s="39"/>
      <c r="AM24" s="37">
        <v>0.64494</v>
      </c>
      <c r="AN24" s="38">
        <v>134.71</v>
      </c>
      <c r="AO24" s="39"/>
      <c r="AP24" s="37">
        <v>0.6456</v>
      </c>
      <c r="AQ24" s="38">
        <v>132.63</v>
      </c>
      <c r="AR24" s="39"/>
      <c r="AS24" s="37">
        <v>0.6383</v>
      </c>
      <c r="AT24" s="38">
        <v>136.31</v>
      </c>
      <c r="AU24" s="39"/>
      <c r="AV24" s="37">
        <v>0.64572</v>
      </c>
      <c r="AW24" s="38">
        <v>131.97</v>
      </c>
      <c r="AX24" s="39"/>
      <c r="AY24" s="37">
        <v>0.6373</v>
      </c>
      <c r="AZ24" s="38">
        <v>132.12</v>
      </c>
      <c r="BA24" s="39"/>
      <c r="BB24" s="37">
        <v>0.6326</v>
      </c>
      <c r="BC24" s="38">
        <v>133.62</v>
      </c>
      <c r="BD24" s="39"/>
      <c r="BE24" s="37">
        <v>0.63542</v>
      </c>
      <c r="BF24" s="38">
        <v>132.64</v>
      </c>
      <c r="BG24" s="39"/>
      <c r="BH24" s="37">
        <v>0.6351</v>
      </c>
      <c r="BI24" s="38">
        <v>133.9</v>
      </c>
      <c r="BJ24" s="39"/>
      <c r="BK24" s="37">
        <v>0.63663</v>
      </c>
      <c r="BL24" s="38">
        <v>135.68</v>
      </c>
      <c r="BM24" s="38"/>
      <c r="BN24" s="37">
        <f t="shared" si="0"/>
        <v>0.6425323809523809</v>
      </c>
      <c r="BO24" s="37">
        <f t="shared" si="1"/>
        <v>133.30238095238093</v>
      </c>
      <c r="BP24" s="25"/>
      <c r="BQ24" s="25"/>
      <c r="BR24" s="25"/>
      <c r="BS24" s="89"/>
      <c r="BT24" s="40"/>
      <c r="BU24" s="40"/>
      <c r="BV24" s="25"/>
      <c r="BW24" s="26"/>
      <c r="BX24" s="24"/>
      <c r="BY24" s="25"/>
      <c r="BZ24" s="25"/>
      <c r="CA24" s="24"/>
      <c r="CB24" s="25"/>
      <c r="CC24" s="26"/>
      <c r="CD24" s="24"/>
      <c r="CE24" s="25"/>
      <c r="CF24" s="26"/>
      <c r="CG24" s="24"/>
      <c r="CH24" s="25"/>
      <c r="CI24" s="26"/>
      <c r="CJ24" s="24"/>
      <c r="CK24" s="25"/>
      <c r="CL24" s="26"/>
      <c r="CM24" s="24"/>
      <c r="CN24" s="25"/>
      <c r="CO24" s="26"/>
      <c r="CP24" s="24"/>
      <c r="CQ24" s="25"/>
      <c r="CR24" s="26"/>
      <c r="CS24" s="24"/>
      <c r="CT24" s="25"/>
      <c r="CU24" s="26"/>
      <c r="CV24" s="24"/>
      <c r="CW24" s="25"/>
      <c r="CX24" s="26"/>
      <c r="CY24" s="24"/>
      <c r="CZ24" s="25"/>
      <c r="DA24" s="26"/>
      <c r="DB24" s="24"/>
      <c r="DC24" s="25"/>
      <c r="DD24" s="26"/>
      <c r="DE24" s="24"/>
      <c r="DF24" s="25"/>
      <c r="DG24" s="26"/>
      <c r="DH24" s="24"/>
      <c r="DI24" s="25"/>
      <c r="DJ24" s="26"/>
      <c r="DK24" s="24"/>
      <c r="DL24" s="25"/>
      <c r="DM24" s="26"/>
      <c r="DN24" s="24"/>
      <c r="DO24" s="25"/>
      <c r="DP24" s="26"/>
      <c r="DQ24" s="24"/>
      <c r="DR24" s="25"/>
      <c r="DS24" s="26"/>
      <c r="DT24" s="24"/>
      <c r="DU24" s="25"/>
      <c r="DV24" s="26"/>
      <c r="DW24" s="24"/>
      <c r="DX24" s="25"/>
      <c r="DY24" s="26"/>
      <c r="DZ24" s="24"/>
      <c r="EA24" s="25"/>
      <c r="EB24" s="26"/>
      <c r="EC24" s="24"/>
      <c r="ED24" s="25"/>
      <c r="EE24" s="26"/>
      <c r="EF24" s="26"/>
      <c r="EG24" s="25"/>
      <c r="EH24" s="25"/>
      <c r="EI24" s="25"/>
      <c r="EJ24" s="25"/>
      <c r="EK24" s="25"/>
      <c r="EL24" s="25"/>
      <c r="EM24" s="89"/>
      <c r="EN24" s="40"/>
      <c r="EO24" s="41"/>
      <c r="EP24" s="25"/>
      <c r="EQ24" s="38"/>
      <c r="ER24" s="39"/>
      <c r="ES24" s="37"/>
      <c r="ET24" s="38"/>
      <c r="EU24" s="39"/>
      <c r="EV24" s="37"/>
      <c r="EW24" s="38"/>
      <c r="EX24" s="39"/>
      <c r="EY24" s="37"/>
      <c r="EZ24" s="38"/>
      <c r="FA24" s="39"/>
      <c r="FB24" s="37"/>
      <c r="FC24" s="38"/>
      <c r="FD24" s="39"/>
      <c r="FE24" s="37"/>
      <c r="FF24" s="38"/>
      <c r="FG24" s="39"/>
      <c r="FH24" s="37"/>
      <c r="FI24" s="38"/>
      <c r="FJ24" s="39"/>
      <c r="FK24" s="37"/>
      <c r="FL24" s="38"/>
      <c r="FM24" s="39"/>
      <c r="FN24" s="37"/>
      <c r="FO24" s="38"/>
      <c r="FP24" s="39"/>
      <c r="FQ24" s="37"/>
      <c r="FR24" s="38"/>
      <c r="FS24" s="39"/>
      <c r="FT24" s="37"/>
      <c r="FU24" s="38"/>
      <c r="FV24" s="39"/>
      <c r="FW24" s="37"/>
      <c r="FX24" s="38"/>
      <c r="FY24" s="39"/>
      <c r="FZ24" s="37"/>
      <c r="GA24" s="38"/>
      <c r="GB24" s="39"/>
      <c r="GC24" s="37"/>
      <c r="GD24" s="38"/>
      <c r="GE24" s="39"/>
      <c r="GF24" s="37"/>
      <c r="GG24" s="38"/>
      <c r="GH24" s="39"/>
      <c r="GI24" s="37"/>
      <c r="GJ24" s="38"/>
      <c r="GK24" s="39"/>
      <c r="GL24" s="37"/>
      <c r="GM24" s="38"/>
      <c r="GN24" s="39"/>
      <c r="GO24" s="37"/>
      <c r="GP24" s="38"/>
      <c r="GQ24" s="39"/>
      <c r="GR24" s="37"/>
      <c r="GS24" s="38"/>
      <c r="GT24" s="39"/>
      <c r="GU24" s="37"/>
      <c r="GV24" s="38"/>
      <c r="GW24" s="39"/>
      <c r="GX24" s="37"/>
      <c r="GY24" s="38"/>
      <c r="GZ24" s="38"/>
      <c r="HA24" s="37"/>
      <c r="HB24" s="37"/>
      <c r="HC24" s="37"/>
      <c r="HD24" s="25"/>
      <c r="HE24" s="25"/>
      <c r="HF24" s="25"/>
      <c r="HG24" s="89"/>
      <c r="HH24" s="35"/>
      <c r="HI24" s="73"/>
      <c r="HJ24" s="37"/>
      <c r="HK24" s="38"/>
      <c r="HL24" s="39"/>
      <c r="HM24" s="37"/>
      <c r="HN24" s="38"/>
      <c r="HO24" s="39"/>
      <c r="HP24" s="37"/>
      <c r="HQ24" s="38"/>
      <c r="HR24" s="39"/>
      <c r="HS24" s="37"/>
      <c r="HT24" s="38"/>
      <c r="HU24" s="39"/>
      <c r="HV24" s="37"/>
      <c r="HW24" s="38"/>
      <c r="HX24" s="39"/>
      <c r="HY24" s="37"/>
      <c r="HZ24" s="38"/>
      <c r="IA24" s="39"/>
      <c r="IB24" s="37"/>
      <c r="IC24" s="38"/>
      <c r="ID24" s="39"/>
      <c r="IE24" s="37"/>
      <c r="IF24" s="38"/>
      <c r="IG24" s="39"/>
      <c r="IH24" s="37"/>
      <c r="II24" s="38"/>
      <c r="IJ24" s="39"/>
      <c r="IK24" s="37"/>
      <c r="IL24" s="38"/>
      <c r="IM24" s="39"/>
      <c r="IN24" s="37"/>
      <c r="IO24" s="38"/>
      <c r="IP24" s="39"/>
      <c r="IQ24" s="37"/>
      <c r="IR24" s="38"/>
      <c r="IS24" s="39"/>
      <c r="IT24" s="37"/>
      <c r="IU24" s="38"/>
    </row>
    <row r="25" spans="1:255" s="92" customFormat="1" ht="15.75" customHeight="1" thickBot="1">
      <c r="A25" s="43">
        <v>13</v>
      </c>
      <c r="B25" s="75" t="s">
        <v>26</v>
      </c>
      <c r="C25" s="45">
        <v>1</v>
      </c>
      <c r="D25" s="46">
        <v>82.95</v>
      </c>
      <c r="E25" s="30"/>
      <c r="F25" s="45">
        <v>1</v>
      </c>
      <c r="G25" s="46">
        <v>83.87</v>
      </c>
      <c r="H25" s="30"/>
      <c r="I25" s="45">
        <v>1</v>
      </c>
      <c r="J25" s="46">
        <v>84.67</v>
      </c>
      <c r="K25" s="30"/>
      <c r="L25" s="45">
        <v>1</v>
      </c>
      <c r="M25" s="46">
        <v>84.12</v>
      </c>
      <c r="N25" s="30"/>
      <c r="O25" s="45">
        <v>1</v>
      </c>
      <c r="P25" s="46">
        <v>85.54</v>
      </c>
      <c r="Q25" s="30"/>
      <c r="R25" s="45">
        <v>1</v>
      </c>
      <c r="S25" s="46">
        <v>85.71</v>
      </c>
      <c r="T25" s="30"/>
      <c r="U25" s="45">
        <v>1</v>
      </c>
      <c r="V25" s="46">
        <v>86.37</v>
      </c>
      <c r="W25" s="30"/>
      <c r="X25" s="45">
        <v>1</v>
      </c>
      <c r="Y25" s="46">
        <v>86.93</v>
      </c>
      <c r="Z25" s="30"/>
      <c r="AA25" s="45">
        <v>1</v>
      </c>
      <c r="AB25" s="46">
        <v>88.42</v>
      </c>
      <c r="AC25" s="30"/>
      <c r="AD25" s="45">
        <v>1</v>
      </c>
      <c r="AE25" s="46">
        <v>87.49</v>
      </c>
      <c r="AF25" s="30"/>
      <c r="AG25" s="45">
        <v>1</v>
      </c>
      <c r="AH25" s="46">
        <v>86.66</v>
      </c>
      <c r="AI25" s="30"/>
      <c r="AJ25" s="45">
        <v>1</v>
      </c>
      <c r="AK25" s="46">
        <v>86.83</v>
      </c>
      <c r="AL25" s="30"/>
      <c r="AM25" s="45">
        <v>1</v>
      </c>
      <c r="AN25" s="46">
        <v>86.88</v>
      </c>
      <c r="AO25" s="30"/>
      <c r="AP25" s="45">
        <v>1</v>
      </c>
      <c r="AQ25" s="46">
        <v>85.63</v>
      </c>
      <c r="AR25" s="30"/>
      <c r="AS25" s="45">
        <v>1</v>
      </c>
      <c r="AT25" s="46">
        <v>87.01</v>
      </c>
      <c r="AU25" s="30"/>
      <c r="AV25" s="45">
        <v>1</v>
      </c>
      <c r="AW25" s="46">
        <v>85.22</v>
      </c>
      <c r="AX25" s="30"/>
      <c r="AY25" s="45">
        <v>1</v>
      </c>
      <c r="AZ25" s="46">
        <v>84.2</v>
      </c>
      <c r="BA25" s="30"/>
      <c r="BB25" s="45">
        <v>1</v>
      </c>
      <c r="BC25" s="46">
        <v>84.53</v>
      </c>
      <c r="BD25" s="30"/>
      <c r="BE25" s="45">
        <v>1</v>
      </c>
      <c r="BF25" s="46">
        <v>84.28</v>
      </c>
      <c r="BG25" s="30"/>
      <c r="BH25" s="45">
        <v>1</v>
      </c>
      <c r="BI25" s="46">
        <v>85.04</v>
      </c>
      <c r="BJ25" s="30"/>
      <c r="BK25" s="45">
        <v>1</v>
      </c>
      <c r="BL25" s="46">
        <v>86.38</v>
      </c>
      <c r="BM25" s="45"/>
      <c r="BN25" s="45">
        <f t="shared" si="0"/>
        <v>1</v>
      </c>
      <c r="BO25" s="45">
        <f t="shared" si="1"/>
        <v>85.65380952380953</v>
      </c>
      <c r="BP25" s="25"/>
      <c r="BQ25" s="25"/>
      <c r="BR25" s="25"/>
      <c r="BS25" s="89"/>
      <c r="BT25" s="40"/>
      <c r="BU25" s="40"/>
      <c r="BV25" s="25"/>
      <c r="BW25" s="26"/>
      <c r="BX25" s="24"/>
      <c r="BY25" s="25"/>
      <c r="BZ25" s="25"/>
      <c r="CA25" s="24"/>
      <c r="CB25" s="25"/>
      <c r="CC25" s="26"/>
      <c r="CD25" s="24"/>
      <c r="CE25" s="25"/>
      <c r="CF25" s="26"/>
      <c r="CG25" s="24"/>
      <c r="CH25" s="25"/>
      <c r="CI25" s="26"/>
      <c r="CJ25" s="24"/>
      <c r="CK25" s="25"/>
      <c r="CL25" s="26"/>
      <c r="CM25" s="24"/>
      <c r="CN25" s="25"/>
      <c r="CO25" s="26"/>
      <c r="CP25" s="24"/>
      <c r="CQ25" s="25"/>
      <c r="CR25" s="26"/>
      <c r="CS25" s="24"/>
      <c r="CT25" s="25"/>
      <c r="CU25" s="26"/>
      <c r="CV25" s="24"/>
      <c r="CW25" s="25"/>
      <c r="CX25" s="26"/>
      <c r="CY25" s="24"/>
      <c r="CZ25" s="25"/>
      <c r="DA25" s="26"/>
      <c r="DB25" s="24"/>
      <c r="DC25" s="25"/>
      <c r="DD25" s="26"/>
      <c r="DE25" s="24"/>
      <c r="DF25" s="25"/>
      <c r="DG25" s="26"/>
      <c r="DH25" s="24"/>
      <c r="DI25" s="25"/>
      <c r="DJ25" s="26"/>
      <c r="DK25" s="24"/>
      <c r="DL25" s="25"/>
      <c r="DM25" s="26"/>
      <c r="DN25" s="24"/>
      <c r="DO25" s="25"/>
      <c r="DP25" s="26"/>
      <c r="DQ25" s="24"/>
      <c r="DR25" s="25"/>
      <c r="DS25" s="26"/>
      <c r="DT25" s="24"/>
      <c r="DU25" s="25"/>
      <c r="DV25" s="26"/>
      <c r="DW25" s="24"/>
      <c r="DX25" s="25"/>
      <c r="DY25" s="26"/>
      <c r="DZ25" s="24"/>
      <c r="EA25" s="25"/>
      <c r="EB25" s="26"/>
      <c r="EC25" s="24"/>
      <c r="ED25" s="25"/>
      <c r="EE25" s="26"/>
      <c r="EF25" s="26"/>
      <c r="EG25" s="25"/>
      <c r="EH25" s="25"/>
      <c r="EI25" s="25"/>
      <c r="EJ25" s="25"/>
      <c r="EK25" s="25"/>
      <c r="EL25" s="25"/>
      <c r="EM25" s="89"/>
      <c r="EN25" s="40"/>
      <c r="EO25" s="41"/>
      <c r="EP25" s="25"/>
      <c r="EQ25" s="46"/>
      <c r="ER25" s="30"/>
      <c r="ES25" s="45"/>
      <c r="ET25" s="46"/>
      <c r="EU25" s="30"/>
      <c r="EV25" s="45"/>
      <c r="EW25" s="46"/>
      <c r="EX25" s="30"/>
      <c r="EY25" s="45"/>
      <c r="EZ25" s="46"/>
      <c r="FA25" s="30"/>
      <c r="FB25" s="45"/>
      <c r="FC25" s="46"/>
      <c r="FD25" s="30"/>
      <c r="FE25" s="45"/>
      <c r="FF25" s="46"/>
      <c r="FG25" s="30"/>
      <c r="FH25" s="45"/>
      <c r="FI25" s="46"/>
      <c r="FJ25" s="30"/>
      <c r="FK25" s="45"/>
      <c r="FL25" s="46"/>
      <c r="FM25" s="30"/>
      <c r="FN25" s="45"/>
      <c r="FO25" s="46"/>
      <c r="FP25" s="30"/>
      <c r="FQ25" s="45"/>
      <c r="FR25" s="46"/>
      <c r="FS25" s="30"/>
      <c r="FT25" s="45"/>
      <c r="FU25" s="46"/>
      <c r="FV25" s="30"/>
      <c r="FW25" s="45"/>
      <c r="FX25" s="46"/>
      <c r="FY25" s="30"/>
      <c r="FZ25" s="45"/>
      <c r="GA25" s="46"/>
      <c r="GB25" s="30"/>
      <c r="GC25" s="45"/>
      <c r="GD25" s="46"/>
      <c r="GE25" s="30"/>
      <c r="GF25" s="45"/>
      <c r="GG25" s="46"/>
      <c r="GH25" s="30"/>
      <c r="GI25" s="45"/>
      <c r="GJ25" s="46"/>
      <c r="GK25" s="30"/>
      <c r="GL25" s="45"/>
      <c r="GM25" s="46"/>
      <c r="GN25" s="30"/>
      <c r="GO25" s="45"/>
      <c r="GP25" s="46"/>
      <c r="GQ25" s="30"/>
      <c r="GR25" s="45"/>
      <c r="GS25" s="46"/>
      <c r="GT25" s="30"/>
      <c r="GU25" s="45"/>
      <c r="GV25" s="46"/>
      <c r="GW25" s="30"/>
      <c r="GX25" s="45"/>
      <c r="GY25" s="46"/>
      <c r="GZ25" s="46"/>
      <c r="HA25" s="45"/>
      <c r="HB25" s="45"/>
      <c r="HC25" s="45"/>
      <c r="HD25" s="25"/>
      <c r="HE25" s="25"/>
      <c r="HF25" s="25"/>
      <c r="HG25" s="89"/>
      <c r="HH25" s="43"/>
      <c r="HI25" s="75"/>
      <c r="HJ25" s="45"/>
      <c r="HK25" s="46"/>
      <c r="HL25" s="30"/>
      <c r="HM25" s="45"/>
      <c r="HN25" s="46"/>
      <c r="HO25" s="30"/>
      <c r="HP25" s="45"/>
      <c r="HQ25" s="46"/>
      <c r="HR25" s="30"/>
      <c r="HS25" s="45"/>
      <c r="HT25" s="46"/>
      <c r="HU25" s="30"/>
      <c r="HV25" s="45"/>
      <c r="HW25" s="46"/>
      <c r="HX25" s="30"/>
      <c r="HY25" s="45"/>
      <c r="HZ25" s="46"/>
      <c r="IA25" s="30"/>
      <c r="IB25" s="45"/>
      <c r="IC25" s="46"/>
      <c r="ID25" s="30"/>
      <c r="IE25" s="45"/>
      <c r="IF25" s="46"/>
      <c r="IG25" s="30"/>
      <c r="IH25" s="45"/>
      <c r="II25" s="46"/>
      <c r="IJ25" s="30"/>
      <c r="IK25" s="45"/>
      <c r="IL25" s="46"/>
      <c r="IM25" s="30"/>
      <c r="IN25" s="45"/>
      <c r="IO25" s="46"/>
      <c r="IP25" s="30"/>
      <c r="IQ25" s="45"/>
      <c r="IR25" s="46"/>
      <c r="IS25" s="30"/>
      <c r="IT25" s="45"/>
      <c r="IU25" s="46"/>
    </row>
    <row r="26" spans="1:73" ht="15.75" customHeight="1">
      <c r="A26" s="40"/>
      <c r="B26" s="73"/>
      <c r="C26" s="25"/>
      <c r="D26" s="26"/>
      <c r="E26" s="24"/>
      <c r="F26" s="25"/>
      <c r="G26" s="26"/>
      <c r="H26" s="24"/>
      <c r="I26" s="25"/>
      <c r="J26" s="26"/>
      <c r="K26" s="24"/>
      <c r="L26" s="25"/>
      <c r="M26" s="26"/>
      <c r="N26" s="24"/>
      <c r="O26" s="25"/>
      <c r="P26" s="26"/>
      <c r="Q26" s="24"/>
      <c r="R26" s="25"/>
      <c r="S26" s="26"/>
      <c r="T26" s="24"/>
      <c r="U26" s="25"/>
      <c r="V26" s="26"/>
      <c r="W26" s="24"/>
      <c r="X26" s="25"/>
      <c r="Y26" s="26"/>
      <c r="Z26" s="24"/>
      <c r="AA26" s="25"/>
      <c r="AB26" s="26"/>
      <c r="AC26" s="24"/>
      <c r="AD26" s="25"/>
      <c r="AE26" s="26"/>
      <c r="AF26" s="24"/>
      <c r="AG26" s="25"/>
      <c r="AH26" s="26"/>
      <c r="AI26" s="24"/>
      <c r="AJ26" s="25"/>
      <c r="AK26" s="26"/>
      <c r="AL26" s="24"/>
      <c r="AM26" s="25"/>
      <c r="AN26" s="26"/>
      <c r="AO26" s="24"/>
      <c r="AP26" s="25"/>
      <c r="AQ26" s="26"/>
      <c r="AR26" s="24"/>
      <c r="AS26" s="25"/>
      <c r="AT26" s="26"/>
      <c r="AU26" s="24"/>
      <c r="AV26" s="25"/>
      <c r="AW26" s="26"/>
      <c r="AX26" s="24"/>
      <c r="AY26" s="25"/>
      <c r="AZ26" s="26"/>
      <c r="BA26" s="24"/>
      <c r="BB26" s="25"/>
      <c r="BC26" s="26"/>
      <c r="BD26" s="24"/>
      <c r="BE26" s="25"/>
      <c r="BF26" s="26"/>
      <c r="BG26" s="24"/>
      <c r="BH26" s="24"/>
      <c r="BI26" s="24"/>
      <c r="BJ26" s="24"/>
      <c r="BK26" s="25"/>
      <c r="BL26" s="26"/>
      <c r="BM26" s="26"/>
      <c r="BN26" s="25"/>
      <c r="BO26" s="26"/>
      <c r="BP26" s="25"/>
      <c r="BQ26" s="26"/>
      <c r="BR26" s="26"/>
      <c r="BS26" s="25"/>
      <c r="BT26" s="26"/>
      <c r="BU26" s="24"/>
    </row>
    <row r="34" spans="63:64" ht="12.75">
      <c r="BK34" s="110"/>
      <c r="BL34" s="110"/>
    </row>
    <row r="35" spans="63:64" ht="12.75">
      <c r="BK35" s="111"/>
      <c r="BL35" s="111"/>
    </row>
    <row r="36" spans="63:64" ht="12.75">
      <c r="BK36" s="110"/>
      <c r="BL36" s="110"/>
    </row>
    <row r="37" spans="63:64" ht="12.75">
      <c r="BK37" s="112"/>
      <c r="BL37" s="11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Najada  Samarxhi</dc:creator>
  <cp:keywords/>
  <dc:description/>
  <cp:lastModifiedBy>Najada  Samarxhiu</cp:lastModifiedBy>
  <cp:lastPrinted>2008-09-29T08:51:52Z</cp:lastPrinted>
  <dcterms:created xsi:type="dcterms:W3CDTF">2002-01-04T09:02:27Z</dcterms:created>
  <dcterms:modified xsi:type="dcterms:W3CDTF">2018-03-05T13:12:14Z</dcterms:modified>
  <cp:category/>
  <cp:version/>
  <cp:contentType/>
  <cp:contentStatus/>
</cp:coreProperties>
</file>